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29.xml" ContentType="application/vnd.openxmlformats-officedocument.spreadsheetml.pivotTable+xml"/>
  <Override PartName="/xl/pivotTables/pivotTable30.xml" ContentType="application/vnd.openxmlformats-officedocument.spreadsheetml.pivotTable+xml"/>
  <Override PartName="/xl/pivotTables/pivotTable31.xml" ContentType="application/vnd.openxmlformats-officedocument.spreadsheetml.pivotTable+xml"/>
  <Override PartName="/xl/pivotTables/pivotTable32.xml" ContentType="application/vnd.openxmlformats-officedocument.spreadsheetml.pivotTable+xml"/>
  <Override PartName="/xl/pivotTables/pivotTable33.xml" ContentType="application/vnd.openxmlformats-officedocument.spreadsheetml.pivotTable+xml"/>
  <Override PartName="/xl/pivotTables/pivotTable34.xml" ContentType="application/vnd.openxmlformats-officedocument.spreadsheetml.pivotTable+xml"/>
  <Override PartName="/xl/pivotTables/pivotTable35.xml" ContentType="application/vnd.openxmlformats-officedocument.spreadsheetml.pivotTable+xml"/>
  <Override PartName="/xl/pivotTables/pivotTable36.xml" ContentType="application/vnd.openxmlformats-officedocument.spreadsheetml.pivotTable+xml"/>
  <Override PartName="/xl/pivotTables/pivotTable37.xml" ContentType="application/vnd.openxmlformats-officedocument.spreadsheetml.pivotTable+xml"/>
  <Override PartName="/xl/pivotTables/pivotTable38.xml" ContentType="application/vnd.openxmlformats-officedocument.spreadsheetml.pivotTable+xml"/>
  <Override PartName="/xl/pivotTables/pivotTable39.xml" ContentType="application/vnd.openxmlformats-officedocument.spreadsheetml.pivotTable+xml"/>
  <Override PartName="/xl/pivotTables/pivotTable40.xml" ContentType="application/vnd.openxmlformats-officedocument.spreadsheetml.pivotTable+xml"/>
  <Override PartName="/xl/pivotTables/pivotTable41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4376bac55d9e8d/Área de Trabalho/Seminários Dissertação/"/>
    </mc:Choice>
  </mc:AlternateContent>
  <xr:revisionPtr revIDLastSave="295" documentId="8_{615CC06F-F17B-4225-9C26-9C8D1CB40072}" xr6:coauthVersionLast="47" xr6:coauthVersionMax="47" xr10:uidLastSave="{E7329778-3524-44B0-8BC1-F83311AF643E}"/>
  <bookViews>
    <workbookView xWindow="28680" yWindow="-120" windowWidth="29040" windowHeight="15720" xr2:uid="{409FFBE6-9624-4329-9AA1-6B02DF3FECF8}"/>
  </bookViews>
  <sheets>
    <sheet name="Base" sheetId="1" r:id="rId1"/>
    <sheet name="Bonds" sheetId="7" r:id="rId2"/>
    <sheet name="Debs %CDI" sheetId="8" r:id="rId3"/>
    <sheet name="Debs IPCA" sheetId="3" r:id="rId4"/>
    <sheet name="Feriados" sheetId="4" r:id="rId5"/>
    <sheet name="EMBI+" sheetId="11" r:id="rId6"/>
    <sheet name="Dólar Spot" sheetId="10" r:id="rId7"/>
    <sheet name="Ratings" sheetId="2" r:id="rId8"/>
    <sheet name="Estatística Descritiva Rating" sheetId="12" r:id="rId9"/>
    <sheet name="Estatística Descritiva Rating2" sheetId="22" r:id="rId10"/>
    <sheet name="Estatística Descritiva Incentiv" sheetId="19" r:id="rId11"/>
    <sheet name="Estatística Descritiva Garantia" sheetId="18" r:id="rId12"/>
    <sheet name="Estatística Descritiva Call" sheetId="13" r:id="rId13"/>
    <sheet name="Estatística Descritiva Prazo" sheetId="15" r:id="rId14"/>
    <sheet name="Estatística Descritiva Ano" sheetId="21" r:id="rId15"/>
    <sheet name="Estatística Descritiva Volume" sheetId="16" r:id="rId16"/>
    <sheet name="Estatística Descritiva Spread" sheetId="17" r:id="rId17"/>
  </sheets>
  <definedNames>
    <definedName name="_xlnm._FilterDatabase" localSheetId="0" hidden="1">Base!$B$2:$AH$557</definedName>
    <definedName name="_xlnm._FilterDatabase" localSheetId="1" hidden="1">Bonds!$C$1:$AI$164</definedName>
    <definedName name="_xlnm._FilterDatabase" localSheetId="3" hidden="1">'Debs IPCA'!$B$1:$AC$76</definedName>
    <definedName name="_xlnm._FilterDatabase" localSheetId="6" hidden="1">'Dólar Spot'!$A$1:$B$2758</definedName>
    <definedName name="_xlnm._FilterDatabase" localSheetId="5" hidden="1">'EMBI+'!$A$1:$B$2849</definedName>
    <definedName name="_xlnm._FilterDatabase" localSheetId="7" hidden="1">Ratings!$A$1:$M$1</definedName>
  </definedNames>
  <calcPr calcId="191029"/>
  <pivotCaches>
    <pivotCache cacheId="1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5" i="1" l="1"/>
  <c r="Y6" i="1"/>
  <c r="Y7" i="1"/>
  <c r="Y8" i="1"/>
  <c r="Y9" i="1"/>
  <c r="Y10" i="1"/>
  <c r="Y11" i="1"/>
  <c r="Y13" i="1"/>
  <c r="Y21" i="1"/>
  <c r="Y32" i="1"/>
  <c r="Y33" i="1"/>
  <c r="Y36" i="1"/>
  <c r="Y37" i="1"/>
  <c r="Y42" i="1"/>
  <c r="Y44" i="1"/>
  <c r="Y45" i="1"/>
  <c r="Y58" i="1"/>
  <c r="Y59" i="1"/>
  <c r="Y60" i="1"/>
  <c r="Y61" i="1"/>
  <c r="Y64" i="1"/>
  <c r="Y65" i="1"/>
  <c r="Y66" i="1"/>
  <c r="Y67" i="1"/>
  <c r="Y68" i="1"/>
  <c r="Y80" i="1"/>
  <c r="Y82" i="1"/>
  <c r="Y91" i="1"/>
  <c r="Y92" i="1"/>
  <c r="Y93" i="1"/>
  <c r="Y97" i="1"/>
  <c r="Y98" i="1"/>
  <c r="Y100" i="1"/>
  <c r="Y102" i="1"/>
  <c r="Y103" i="1"/>
  <c r="Y104" i="1"/>
  <c r="Y105" i="1"/>
  <c r="Y110" i="1"/>
  <c r="Y115" i="1"/>
  <c r="Y119" i="1"/>
  <c r="Y125" i="1"/>
  <c r="Y126" i="1"/>
  <c r="Y128" i="1"/>
  <c r="Y129" i="1"/>
  <c r="Y130" i="1"/>
  <c r="Y149" i="1"/>
  <c r="Y152" i="1"/>
  <c r="Y153" i="1"/>
  <c r="Y154" i="1"/>
  <c r="Y156" i="1"/>
  <c r="Y164" i="1"/>
  <c r="Y177" i="1"/>
  <c r="Y178" i="1"/>
  <c r="Y179" i="1"/>
  <c r="Y189" i="1"/>
  <c r="Y190" i="1"/>
  <c r="Y197" i="1"/>
  <c r="Y198" i="1"/>
  <c r="Y200" i="1"/>
  <c r="Y201" i="1"/>
  <c r="Y202" i="1"/>
  <c r="Y203" i="1"/>
  <c r="Y204" i="1"/>
  <c r="Y207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7" i="1"/>
  <c r="Y228" i="1"/>
  <c r="Y229" i="1"/>
  <c r="Y230" i="1"/>
  <c r="Y231" i="1"/>
  <c r="Y232" i="1"/>
  <c r="Y233" i="1"/>
  <c r="Y234" i="1"/>
  <c r="Y235" i="1"/>
  <c r="Y237" i="1"/>
  <c r="Y238" i="1"/>
  <c r="Y239" i="1"/>
  <c r="Y240" i="1"/>
  <c r="Y241" i="1"/>
  <c r="Y243" i="1"/>
  <c r="Y244" i="1"/>
  <c r="Y245" i="1"/>
  <c r="Y255" i="1"/>
  <c r="Y256" i="1"/>
  <c r="Y257" i="1"/>
  <c r="Y258" i="1"/>
  <c r="Y261" i="1"/>
  <c r="Y262" i="1"/>
  <c r="Y263" i="1"/>
  <c r="Y264" i="1"/>
  <c r="Y266" i="1"/>
  <c r="Y268" i="1"/>
  <c r="Y269" i="1"/>
  <c r="Y270" i="1"/>
  <c r="Y273" i="1"/>
  <c r="Y274" i="1"/>
  <c r="Y275" i="1"/>
  <c r="Y276" i="1"/>
  <c r="Y278" i="1"/>
  <c r="Y279" i="1"/>
  <c r="Y281" i="1"/>
  <c r="Y284" i="1"/>
  <c r="Y285" i="1"/>
  <c r="Y287" i="1"/>
  <c r="Y292" i="1"/>
  <c r="Y293" i="1"/>
  <c r="Y294" i="1"/>
  <c r="Y305" i="1"/>
  <c r="Y306" i="1"/>
  <c r="Y307" i="1"/>
  <c r="Y317" i="1"/>
  <c r="Y318" i="1"/>
  <c r="Y319" i="1"/>
  <c r="Y320" i="1"/>
  <c r="Y321" i="1"/>
  <c r="Y322" i="1"/>
  <c r="Y323" i="1"/>
  <c r="Y324" i="1"/>
  <c r="Y326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9" i="1"/>
  <c r="Y355" i="1"/>
  <c r="Y360" i="1"/>
  <c r="Y365" i="1"/>
  <c r="Y366" i="1"/>
  <c r="Y367" i="1"/>
  <c r="Y368" i="1"/>
  <c r="Y369" i="1"/>
  <c r="Y373" i="1"/>
  <c r="Y374" i="1"/>
  <c r="Y375" i="1"/>
  <c r="Y376" i="1"/>
  <c r="Y422" i="1"/>
  <c r="Y425" i="1"/>
  <c r="Y428" i="1"/>
  <c r="Y434" i="1"/>
  <c r="Y435" i="1"/>
  <c r="Y436" i="1"/>
  <c r="Y437" i="1"/>
  <c r="Y438" i="1"/>
  <c r="Y439" i="1"/>
  <c r="Y441" i="1"/>
  <c r="Y442" i="1"/>
  <c r="Y443" i="1"/>
  <c r="Y444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61" i="1"/>
  <c r="Y462" i="1"/>
  <c r="Y463" i="1"/>
  <c r="Y465" i="1"/>
  <c r="Y466" i="1"/>
  <c r="Y477" i="1"/>
  <c r="Y479" i="1"/>
  <c r="Y480" i="1"/>
  <c r="Y484" i="1"/>
  <c r="Y489" i="1"/>
  <c r="Y490" i="1"/>
  <c r="Y491" i="1"/>
  <c r="Y493" i="1"/>
  <c r="Y494" i="1"/>
  <c r="Y501" i="1"/>
  <c r="Y522" i="1"/>
  <c r="Y523" i="1"/>
  <c r="Y524" i="1"/>
  <c r="Y525" i="1"/>
  <c r="Y526" i="1"/>
  <c r="Y527" i="1"/>
  <c r="Y528" i="1"/>
  <c r="Y529" i="1"/>
  <c r="Y547" i="1"/>
  <c r="Y548" i="1"/>
  <c r="Y550" i="1"/>
  <c r="Y555" i="1"/>
  <c r="W22" i="3"/>
  <c r="X22" i="3"/>
  <c r="K21" i="3"/>
  <c r="O21" i="3" s="1"/>
  <c r="AF4" i="1" a="1"/>
  <c r="AF4" i="1" s="1"/>
  <c r="AG4" i="1" s="1"/>
  <c r="AF5" i="1" a="1"/>
  <c r="AF5" i="1" s="1"/>
  <c r="AG5" i="1" s="1"/>
  <c r="AF6" i="1" a="1"/>
  <c r="AF6" i="1" s="1"/>
  <c r="AG6" i="1" s="1"/>
  <c r="AF7" i="1" a="1"/>
  <c r="AF7" i="1" s="1"/>
  <c r="AG7" i="1" s="1"/>
  <c r="AF8" i="1" a="1"/>
  <c r="AF8" i="1" s="1"/>
  <c r="AG8" i="1" s="1"/>
  <c r="AF9" i="1" a="1"/>
  <c r="AF9" i="1" s="1"/>
  <c r="AG9" i="1" s="1"/>
  <c r="AF10" i="1" a="1"/>
  <c r="AF10" i="1" s="1"/>
  <c r="AG10" i="1" s="1"/>
  <c r="AF11" i="1" a="1"/>
  <c r="AF11" i="1" s="1"/>
  <c r="AG11" i="1" s="1"/>
  <c r="AF12" i="1" a="1"/>
  <c r="AF12" i="1" s="1"/>
  <c r="AG12" i="1" s="1"/>
  <c r="AF13" i="1" a="1"/>
  <c r="AF13" i="1" s="1"/>
  <c r="AG13" i="1" s="1"/>
  <c r="AF14" i="1" a="1"/>
  <c r="AF14" i="1" s="1"/>
  <c r="AG14" i="1" s="1"/>
  <c r="AF15" i="1" a="1"/>
  <c r="AF15" i="1" s="1"/>
  <c r="AG15" i="1" s="1"/>
  <c r="AF16" i="1" a="1"/>
  <c r="AF16" i="1" s="1"/>
  <c r="AG16" i="1" s="1"/>
  <c r="AF17" i="1" a="1"/>
  <c r="AF17" i="1" s="1"/>
  <c r="AG17" i="1" s="1"/>
  <c r="AF18" i="1" a="1"/>
  <c r="AF18" i="1" s="1"/>
  <c r="AG18" i="1" s="1"/>
  <c r="AF19" i="1" a="1"/>
  <c r="AF19" i="1" s="1"/>
  <c r="AG19" i="1" s="1"/>
  <c r="AF20" i="1" a="1"/>
  <c r="AF20" i="1" s="1"/>
  <c r="AG20" i="1" s="1"/>
  <c r="AF21" i="1" a="1"/>
  <c r="AF21" i="1" s="1"/>
  <c r="AG21" i="1" s="1"/>
  <c r="AF22" i="1" a="1"/>
  <c r="AF22" i="1" s="1"/>
  <c r="AG22" i="1" s="1"/>
  <c r="AF23" i="1" a="1"/>
  <c r="AF23" i="1" s="1"/>
  <c r="AG23" i="1" s="1"/>
  <c r="AF24" i="1" a="1"/>
  <c r="AF24" i="1" s="1"/>
  <c r="AG24" i="1" s="1"/>
  <c r="AF25" i="1" a="1"/>
  <c r="AF25" i="1" s="1"/>
  <c r="AG25" i="1" s="1"/>
  <c r="AF26" i="1" a="1"/>
  <c r="AF26" i="1" s="1"/>
  <c r="AG26" i="1" s="1"/>
  <c r="AF27" i="1" a="1"/>
  <c r="AF27" i="1" s="1"/>
  <c r="AG27" i="1" s="1"/>
  <c r="AF28" i="1" a="1"/>
  <c r="AF28" i="1" s="1"/>
  <c r="AG28" i="1" s="1"/>
  <c r="AF29" i="1" a="1"/>
  <c r="AF29" i="1" s="1"/>
  <c r="AG29" i="1" s="1"/>
  <c r="AF30" i="1" a="1"/>
  <c r="AF30" i="1" s="1"/>
  <c r="AG30" i="1" s="1"/>
  <c r="AF31" i="1" a="1"/>
  <c r="AF31" i="1" s="1"/>
  <c r="AG31" i="1" s="1"/>
  <c r="AF32" i="1" a="1"/>
  <c r="AF32" i="1" s="1"/>
  <c r="AG32" i="1" s="1"/>
  <c r="AF33" i="1" a="1"/>
  <c r="AF33" i="1" s="1"/>
  <c r="AG33" i="1" s="1"/>
  <c r="AF34" i="1" a="1"/>
  <c r="AF34" i="1" s="1"/>
  <c r="AG34" i="1" s="1"/>
  <c r="AF35" i="1" a="1"/>
  <c r="AF35" i="1" s="1"/>
  <c r="AG35" i="1" s="1"/>
  <c r="AF36" i="1" a="1"/>
  <c r="AF36" i="1" s="1"/>
  <c r="AG36" i="1" s="1"/>
  <c r="AF37" i="1" a="1"/>
  <c r="AF37" i="1" s="1"/>
  <c r="AG37" i="1" s="1"/>
  <c r="AF38" i="1" a="1"/>
  <c r="AF38" i="1" s="1"/>
  <c r="AG38" i="1" s="1"/>
  <c r="AF39" i="1" a="1"/>
  <c r="AF39" i="1" s="1"/>
  <c r="AG39" i="1" s="1"/>
  <c r="AF40" i="1" a="1"/>
  <c r="AF40" i="1" s="1"/>
  <c r="AG40" i="1" s="1"/>
  <c r="AF41" i="1" a="1"/>
  <c r="AF41" i="1" s="1"/>
  <c r="AG41" i="1" s="1"/>
  <c r="AF42" i="1" a="1"/>
  <c r="AF42" i="1" s="1"/>
  <c r="AG42" i="1" s="1"/>
  <c r="AF43" i="1" a="1"/>
  <c r="AF43" i="1" s="1"/>
  <c r="AG43" i="1" s="1"/>
  <c r="AF44" i="1" a="1"/>
  <c r="AF44" i="1" s="1"/>
  <c r="AG44" i="1" s="1"/>
  <c r="AF45" i="1" a="1"/>
  <c r="AF45" i="1" s="1"/>
  <c r="AG45" i="1" s="1"/>
  <c r="AF46" i="1" a="1"/>
  <c r="AF46" i="1" s="1"/>
  <c r="AG46" i="1" s="1"/>
  <c r="AF47" i="1" a="1"/>
  <c r="AF47" i="1" s="1"/>
  <c r="AG47" i="1" s="1"/>
  <c r="AF48" i="1" a="1"/>
  <c r="AF48" i="1" s="1"/>
  <c r="AG48" i="1" s="1"/>
  <c r="AF49" i="1" a="1"/>
  <c r="AF49" i="1" s="1"/>
  <c r="AG49" i="1" s="1"/>
  <c r="AF50" i="1" a="1"/>
  <c r="AF50" i="1" s="1"/>
  <c r="AG50" i="1" s="1"/>
  <c r="AF51" i="1" a="1"/>
  <c r="AF51" i="1" s="1"/>
  <c r="AG51" i="1" s="1"/>
  <c r="AF52" i="1" a="1"/>
  <c r="AF52" i="1" s="1"/>
  <c r="AG52" i="1" s="1"/>
  <c r="AF53" i="1" a="1"/>
  <c r="AF53" i="1" s="1"/>
  <c r="AG53" i="1" s="1"/>
  <c r="AF54" i="1" a="1"/>
  <c r="AF54" i="1" s="1"/>
  <c r="AG54" i="1" s="1"/>
  <c r="AF55" i="1" a="1"/>
  <c r="AF55" i="1" s="1"/>
  <c r="AG55" i="1" s="1"/>
  <c r="AF56" i="1" a="1"/>
  <c r="AF56" i="1" s="1"/>
  <c r="AG56" i="1" s="1"/>
  <c r="AF57" i="1" a="1"/>
  <c r="AF57" i="1" s="1"/>
  <c r="AG57" i="1" s="1"/>
  <c r="AF58" i="1" a="1"/>
  <c r="AF58" i="1" s="1"/>
  <c r="AG58" i="1" s="1"/>
  <c r="AF59" i="1" a="1"/>
  <c r="AF59" i="1" s="1"/>
  <c r="AG59" i="1" s="1"/>
  <c r="AF60" i="1" a="1"/>
  <c r="AF60" i="1" s="1"/>
  <c r="AG60" i="1" s="1"/>
  <c r="AF61" i="1" a="1"/>
  <c r="AF61" i="1" s="1"/>
  <c r="AG61" i="1" s="1"/>
  <c r="AF62" i="1" a="1"/>
  <c r="AF62" i="1" s="1"/>
  <c r="AG62" i="1" s="1"/>
  <c r="AF63" i="1" a="1"/>
  <c r="AF63" i="1" s="1"/>
  <c r="AG63" i="1" s="1"/>
  <c r="AF64" i="1" a="1"/>
  <c r="AF64" i="1" s="1"/>
  <c r="AG64" i="1" s="1"/>
  <c r="AF65" i="1" a="1"/>
  <c r="AF65" i="1" s="1"/>
  <c r="AG65" i="1" s="1"/>
  <c r="AF66" i="1" a="1"/>
  <c r="AF66" i="1" s="1"/>
  <c r="AG66" i="1" s="1"/>
  <c r="AF67" i="1" a="1"/>
  <c r="AF67" i="1" s="1"/>
  <c r="AG67" i="1" s="1"/>
  <c r="AF68" i="1" a="1"/>
  <c r="AF68" i="1" s="1"/>
  <c r="AG68" i="1" s="1"/>
  <c r="AF69" i="1" a="1"/>
  <c r="AF69" i="1" s="1"/>
  <c r="AG69" i="1" s="1"/>
  <c r="AF70" i="1" a="1"/>
  <c r="AF70" i="1" s="1"/>
  <c r="AG70" i="1" s="1"/>
  <c r="AF71" i="1" a="1"/>
  <c r="AF71" i="1" s="1"/>
  <c r="AG71" i="1" s="1"/>
  <c r="AF72" i="1" a="1"/>
  <c r="AF72" i="1" s="1"/>
  <c r="AG72" i="1" s="1"/>
  <c r="AF73" i="1" a="1"/>
  <c r="AF73" i="1" s="1"/>
  <c r="AG73" i="1" s="1"/>
  <c r="AF74" i="1" a="1"/>
  <c r="AF74" i="1" s="1"/>
  <c r="AG74" i="1" s="1"/>
  <c r="AF75" i="1" a="1"/>
  <c r="AF75" i="1" s="1"/>
  <c r="AG75" i="1" s="1"/>
  <c r="AF76" i="1" a="1"/>
  <c r="AF76" i="1" s="1"/>
  <c r="AG76" i="1" s="1"/>
  <c r="AF77" i="1" a="1"/>
  <c r="AF77" i="1" s="1"/>
  <c r="AG77" i="1" s="1"/>
  <c r="AF78" i="1" a="1"/>
  <c r="AF78" i="1" s="1"/>
  <c r="AG78" i="1" s="1"/>
  <c r="AF79" i="1" a="1"/>
  <c r="AF79" i="1" s="1"/>
  <c r="AG79" i="1" s="1"/>
  <c r="AF80" i="1" a="1"/>
  <c r="AF80" i="1" s="1"/>
  <c r="AG80" i="1" s="1"/>
  <c r="AF81" i="1" a="1"/>
  <c r="AF81" i="1" s="1"/>
  <c r="AG81" i="1" s="1"/>
  <c r="AF82" i="1" a="1"/>
  <c r="AF82" i="1" s="1"/>
  <c r="AG82" i="1" s="1"/>
  <c r="AF83" i="1" a="1"/>
  <c r="AF83" i="1" s="1"/>
  <c r="AG83" i="1" s="1"/>
  <c r="AF84" i="1" a="1"/>
  <c r="AF84" i="1" s="1"/>
  <c r="AG84" i="1" s="1"/>
  <c r="AF85" i="1" a="1"/>
  <c r="AF85" i="1" s="1"/>
  <c r="AG85" i="1" s="1"/>
  <c r="AF86" i="1" a="1"/>
  <c r="AF86" i="1" s="1"/>
  <c r="AG86" i="1" s="1"/>
  <c r="AF87" i="1" a="1"/>
  <c r="AF87" i="1" s="1"/>
  <c r="AG87" i="1" s="1"/>
  <c r="AF88" i="1" a="1"/>
  <c r="AF88" i="1" s="1"/>
  <c r="AG88" i="1" s="1"/>
  <c r="AF89" i="1" a="1"/>
  <c r="AF89" i="1" s="1"/>
  <c r="AG89" i="1" s="1"/>
  <c r="AF90" i="1" a="1"/>
  <c r="AF90" i="1" s="1"/>
  <c r="AG90" i="1" s="1"/>
  <c r="AF91" i="1" a="1"/>
  <c r="AF91" i="1" s="1"/>
  <c r="AG91" i="1" s="1"/>
  <c r="AF92" i="1" a="1"/>
  <c r="AF92" i="1" s="1"/>
  <c r="AG92" i="1" s="1"/>
  <c r="AF93" i="1" a="1"/>
  <c r="AF93" i="1" s="1"/>
  <c r="AG93" i="1" s="1"/>
  <c r="AF94" i="1" a="1"/>
  <c r="AF94" i="1" s="1"/>
  <c r="AG94" i="1" s="1"/>
  <c r="AF95" i="1" a="1"/>
  <c r="AF95" i="1" s="1"/>
  <c r="AG95" i="1" s="1"/>
  <c r="AF96" i="1" a="1"/>
  <c r="AF96" i="1" s="1"/>
  <c r="AG96" i="1" s="1"/>
  <c r="AF97" i="1" a="1"/>
  <c r="AF97" i="1" s="1"/>
  <c r="AG97" i="1" s="1"/>
  <c r="AF98" i="1" a="1"/>
  <c r="AF98" i="1" s="1"/>
  <c r="AG98" i="1" s="1"/>
  <c r="AF99" i="1" a="1"/>
  <c r="AF99" i="1" s="1"/>
  <c r="AG99" i="1" s="1"/>
  <c r="AF100" i="1" a="1"/>
  <c r="AF100" i="1" s="1"/>
  <c r="AG100" i="1" s="1"/>
  <c r="AF101" i="1" a="1"/>
  <c r="AF101" i="1" s="1"/>
  <c r="AG101" i="1" s="1"/>
  <c r="AF102" i="1" a="1"/>
  <c r="AF102" i="1" s="1"/>
  <c r="AG102" i="1" s="1"/>
  <c r="AF103" i="1" a="1"/>
  <c r="AF103" i="1" s="1"/>
  <c r="AG103" i="1" s="1"/>
  <c r="AF104" i="1" a="1"/>
  <c r="AF104" i="1" s="1"/>
  <c r="AG104" i="1" s="1"/>
  <c r="AF105" i="1" a="1"/>
  <c r="AF105" i="1" s="1"/>
  <c r="AG105" i="1" s="1"/>
  <c r="AF106" i="1" a="1"/>
  <c r="AF106" i="1" s="1"/>
  <c r="AG106" i="1" s="1"/>
  <c r="AF107" i="1" a="1"/>
  <c r="AF107" i="1" s="1"/>
  <c r="AG107" i="1" s="1"/>
  <c r="AF108" i="1" a="1"/>
  <c r="AF108" i="1" s="1"/>
  <c r="AG108" i="1" s="1"/>
  <c r="AF109" i="1" a="1"/>
  <c r="AF109" i="1" s="1"/>
  <c r="AG109" i="1" s="1"/>
  <c r="AF110" i="1" a="1"/>
  <c r="AF110" i="1" s="1"/>
  <c r="AG110" i="1" s="1"/>
  <c r="AF111" i="1" a="1"/>
  <c r="AF111" i="1" s="1"/>
  <c r="AG111" i="1" s="1"/>
  <c r="AF112" i="1" a="1"/>
  <c r="AF112" i="1" s="1"/>
  <c r="AG112" i="1" s="1"/>
  <c r="AF113" i="1" a="1"/>
  <c r="AF113" i="1" s="1"/>
  <c r="AG113" i="1" s="1"/>
  <c r="AF114" i="1" a="1"/>
  <c r="AF114" i="1" s="1"/>
  <c r="AG114" i="1" s="1"/>
  <c r="AF115" i="1" a="1"/>
  <c r="AF115" i="1" s="1"/>
  <c r="AG115" i="1" s="1"/>
  <c r="AF116" i="1" a="1"/>
  <c r="AF116" i="1" s="1"/>
  <c r="AG116" i="1" s="1"/>
  <c r="AF117" i="1" a="1"/>
  <c r="AF117" i="1" s="1"/>
  <c r="AG117" i="1" s="1"/>
  <c r="AF118" i="1" a="1"/>
  <c r="AF118" i="1" s="1"/>
  <c r="AG118" i="1" s="1"/>
  <c r="AF119" i="1" a="1"/>
  <c r="AF119" i="1" s="1"/>
  <c r="AG119" i="1" s="1"/>
  <c r="AF120" i="1" a="1"/>
  <c r="AF120" i="1" s="1"/>
  <c r="AG120" i="1" s="1"/>
  <c r="AF121" i="1" a="1"/>
  <c r="AF121" i="1" s="1"/>
  <c r="AG121" i="1" s="1"/>
  <c r="AF122" i="1" a="1"/>
  <c r="AF122" i="1" s="1"/>
  <c r="AG122" i="1" s="1"/>
  <c r="AF123" i="1" a="1"/>
  <c r="AF123" i="1" s="1"/>
  <c r="AG123" i="1" s="1"/>
  <c r="AF124" i="1" a="1"/>
  <c r="AF124" i="1" s="1"/>
  <c r="AG124" i="1" s="1"/>
  <c r="AF125" i="1" a="1"/>
  <c r="AF125" i="1" s="1"/>
  <c r="AG125" i="1" s="1"/>
  <c r="AF126" i="1" a="1"/>
  <c r="AF126" i="1" s="1"/>
  <c r="AG126" i="1" s="1"/>
  <c r="AF127" i="1" a="1"/>
  <c r="AF127" i="1" s="1"/>
  <c r="AG127" i="1" s="1"/>
  <c r="AF128" i="1" a="1"/>
  <c r="AF128" i="1" s="1"/>
  <c r="AG128" i="1" s="1"/>
  <c r="AF129" i="1" a="1"/>
  <c r="AF129" i="1" s="1"/>
  <c r="AG129" i="1" s="1"/>
  <c r="AF130" i="1" a="1"/>
  <c r="AF130" i="1" s="1"/>
  <c r="AG130" i="1" s="1"/>
  <c r="AF131" i="1" a="1"/>
  <c r="AF131" i="1" s="1"/>
  <c r="AG131" i="1" s="1"/>
  <c r="AF132" i="1" a="1"/>
  <c r="AF132" i="1" s="1"/>
  <c r="AG132" i="1" s="1"/>
  <c r="AF133" i="1" a="1"/>
  <c r="AF133" i="1" s="1"/>
  <c r="AG133" i="1" s="1"/>
  <c r="AF134" i="1" a="1"/>
  <c r="AF134" i="1" s="1"/>
  <c r="AG134" i="1" s="1"/>
  <c r="AF135" i="1" a="1"/>
  <c r="AF135" i="1" s="1"/>
  <c r="AG135" i="1" s="1"/>
  <c r="AF136" i="1" a="1"/>
  <c r="AF136" i="1" s="1"/>
  <c r="AG136" i="1" s="1"/>
  <c r="AF137" i="1" a="1"/>
  <c r="AF137" i="1" s="1"/>
  <c r="AG137" i="1" s="1"/>
  <c r="AF138" i="1" a="1"/>
  <c r="AF138" i="1" s="1"/>
  <c r="AG138" i="1" s="1"/>
  <c r="AF139" i="1" a="1"/>
  <c r="AF139" i="1" s="1"/>
  <c r="AG139" i="1" s="1"/>
  <c r="AF140" i="1" a="1"/>
  <c r="AF140" i="1" s="1"/>
  <c r="AG140" i="1" s="1"/>
  <c r="AF141" i="1" a="1"/>
  <c r="AF141" i="1" s="1"/>
  <c r="AG141" i="1" s="1"/>
  <c r="AF142" i="1" a="1"/>
  <c r="AF142" i="1" s="1"/>
  <c r="AG142" i="1" s="1"/>
  <c r="AF143" i="1" a="1"/>
  <c r="AF143" i="1" s="1"/>
  <c r="AG143" i="1" s="1"/>
  <c r="AF144" i="1" a="1"/>
  <c r="AF144" i="1" s="1"/>
  <c r="AG144" i="1" s="1"/>
  <c r="AF145" i="1" a="1"/>
  <c r="AF145" i="1" s="1"/>
  <c r="AG145" i="1" s="1"/>
  <c r="AF146" i="1" a="1"/>
  <c r="AF146" i="1" s="1"/>
  <c r="AG146" i="1" s="1"/>
  <c r="AF147" i="1" a="1"/>
  <c r="AF147" i="1" s="1"/>
  <c r="AG147" i="1" s="1"/>
  <c r="AF148" i="1" a="1"/>
  <c r="AF148" i="1" s="1"/>
  <c r="AG148" i="1" s="1"/>
  <c r="AF149" i="1" a="1"/>
  <c r="AF149" i="1" s="1"/>
  <c r="AG149" i="1" s="1"/>
  <c r="AF150" i="1" a="1"/>
  <c r="AF150" i="1" s="1"/>
  <c r="AG150" i="1" s="1"/>
  <c r="AF151" i="1" a="1"/>
  <c r="AF151" i="1" s="1"/>
  <c r="AG151" i="1" s="1"/>
  <c r="AF152" i="1" a="1"/>
  <c r="AF152" i="1" s="1"/>
  <c r="AG152" i="1" s="1"/>
  <c r="AF153" i="1" a="1"/>
  <c r="AF153" i="1" s="1"/>
  <c r="AG153" i="1" s="1"/>
  <c r="AF154" i="1" a="1"/>
  <c r="AF154" i="1" s="1"/>
  <c r="AG154" i="1" s="1"/>
  <c r="AF155" i="1" a="1"/>
  <c r="AF155" i="1" s="1"/>
  <c r="AG155" i="1" s="1"/>
  <c r="AF156" i="1" a="1"/>
  <c r="AF156" i="1" s="1"/>
  <c r="AG156" i="1" s="1"/>
  <c r="AF157" i="1" a="1"/>
  <c r="AF157" i="1" s="1"/>
  <c r="AG157" i="1" s="1"/>
  <c r="AF158" i="1" a="1"/>
  <c r="AF158" i="1" s="1"/>
  <c r="AG158" i="1" s="1"/>
  <c r="AF159" i="1" a="1"/>
  <c r="AF159" i="1" s="1"/>
  <c r="AG159" i="1" s="1"/>
  <c r="AF160" i="1" a="1"/>
  <c r="AF160" i="1" s="1"/>
  <c r="AG160" i="1" s="1"/>
  <c r="AF161" i="1" a="1"/>
  <c r="AF161" i="1" s="1"/>
  <c r="AG161" i="1" s="1"/>
  <c r="AF162" i="1" a="1"/>
  <c r="AF162" i="1" s="1"/>
  <c r="AG162" i="1" s="1"/>
  <c r="AF163" i="1" a="1"/>
  <c r="AF163" i="1" s="1"/>
  <c r="AG163" i="1" s="1"/>
  <c r="AF164" i="1" a="1"/>
  <c r="AF164" i="1" s="1"/>
  <c r="AG164" i="1" s="1"/>
  <c r="AF165" i="1" a="1"/>
  <c r="AF165" i="1" s="1"/>
  <c r="AG165" i="1" s="1"/>
  <c r="AF166" i="1" a="1"/>
  <c r="AF166" i="1" s="1"/>
  <c r="AG166" i="1" s="1"/>
  <c r="AF167" i="1" a="1"/>
  <c r="AF167" i="1" s="1"/>
  <c r="AG167" i="1" s="1"/>
  <c r="AF168" i="1" a="1"/>
  <c r="AF168" i="1" s="1"/>
  <c r="AG168" i="1" s="1"/>
  <c r="AF169" i="1" a="1"/>
  <c r="AF169" i="1" s="1"/>
  <c r="AG169" i="1" s="1"/>
  <c r="AF170" i="1" a="1"/>
  <c r="AF170" i="1" s="1"/>
  <c r="AG170" i="1" s="1"/>
  <c r="AF171" i="1" a="1"/>
  <c r="AF171" i="1" s="1"/>
  <c r="AG171" i="1" s="1"/>
  <c r="AF172" i="1" a="1"/>
  <c r="AF172" i="1" s="1"/>
  <c r="AG172" i="1" s="1"/>
  <c r="AF173" i="1" a="1"/>
  <c r="AF173" i="1" s="1"/>
  <c r="AG173" i="1" s="1"/>
  <c r="AF174" i="1" a="1"/>
  <c r="AF174" i="1" s="1"/>
  <c r="AG174" i="1" s="1"/>
  <c r="AF175" i="1" a="1"/>
  <c r="AF175" i="1" s="1"/>
  <c r="AG175" i="1" s="1"/>
  <c r="AF176" i="1" a="1"/>
  <c r="AF176" i="1" s="1"/>
  <c r="AG176" i="1" s="1"/>
  <c r="AF177" i="1" a="1"/>
  <c r="AF177" i="1" s="1"/>
  <c r="AG177" i="1" s="1"/>
  <c r="AF178" i="1" a="1"/>
  <c r="AF178" i="1" s="1"/>
  <c r="AG178" i="1" s="1"/>
  <c r="AF179" i="1" a="1"/>
  <c r="AF179" i="1" s="1"/>
  <c r="AG179" i="1" s="1"/>
  <c r="AF180" i="1" a="1"/>
  <c r="AF180" i="1" s="1"/>
  <c r="AG180" i="1" s="1"/>
  <c r="AF181" i="1" a="1"/>
  <c r="AF181" i="1" s="1"/>
  <c r="AG181" i="1" s="1"/>
  <c r="AF182" i="1" a="1"/>
  <c r="AF182" i="1" s="1"/>
  <c r="AG182" i="1" s="1"/>
  <c r="AF183" i="1" a="1"/>
  <c r="AF183" i="1" s="1"/>
  <c r="AG183" i="1" s="1"/>
  <c r="AF184" i="1" a="1"/>
  <c r="AF184" i="1" s="1"/>
  <c r="AG184" i="1" s="1"/>
  <c r="AF185" i="1" a="1"/>
  <c r="AF185" i="1" s="1"/>
  <c r="AG185" i="1" s="1"/>
  <c r="AF186" i="1" a="1"/>
  <c r="AF186" i="1" s="1"/>
  <c r="AG186" i="1" s="1"/>
  <c r="AF187" i="1" a="1"/>
  <c r="AF187" i="1" s="1"/>
  <c r="AG187" i="1" s="1"/>
  <c r="AF188" i="1" a="1"/>
  <c r="AF188" i="1" s="1"/>
  <c r="AG188" i="1" s="1"/>
  <c r="AF189" i="1" a="1"/>
  <c r="AF189" i="1" s="1"/>
  <c r="AG189" i="1" s="1"/>
  <c r="AF190" i="1" a="1"/>
  <c r="AF190" i="1" s="1"/>
  <c r="AG190" i="1" s="1"/>
  <c r="AF191" i="1" a="1"/>
  <c r="AF191" i="1" s="1"/>
  <c r="AG191" i="1" s="1"/>
  <c r="AF192" i="1" a="1"/>
  <c r="AF192" i="1" s="1"/>
  <c r="AG192" i="1" s="1"/>
  <c r="AF193" i="1" a="1"/>
  <c r="AF193" i="1" s="1"/>
  <c r="AG193" i="1" s="1"/>
  <c r="AF194" i="1" a="1"/>
  <c r="AF194" i="1" s="1"/>
  <c r="AG194" i="1" s="1"/>
  <c r="AF195" i="1" a="1"/>
  <c r="AF195" i="1" s="1"/>
  <c r="AG195" i="1" s="1"/>
  <c r="AF196" i="1" a="1"/>
  <c r="AF196" i="1" s="1"/>
  <c r="AG196" i="1" s="1"/>
  <c r="AF197" i="1" a="1"/>
  <c r="AF197" i="1" s="1"/>
  <c r="AG197" i="1" s="1"/>
  <c r="AF198" i="1" a="1"/>
  <c r="AF198" i="1" s="1"/>
  <c r="AG198" i="1" s="1"/>
  <c r="AF199" i="1" a="1"/>
  <c r="AF199" i="1" s="1"/>
  <c r="AG199" i="1" s="1"/>
  <c r="AF200" i="1" a="1"/>
  <c r="AF200" i="1" s="1"/>
  <c r="AG200" i="1" s="1"/>
  <c r="AF201" i="1" a="1"/>
  <c r="AF201" i="1" s="1"/>
  <c r="AG201" i="1" s="1"/>
  <c r="AF202" i="1" a="1"/>
  <c r="AF202" i="1" s="1"/>
  <c r="AG202" i="1" s="1"/>
  <c r="AF203" i="1" a="1"/>
  <c r="AF203" i="1" s="1"/>
  <c r="AG203" i="1" s="1"/>
  <c r="AF204" i="1" a="1"/>
  <c r="AF204" i="1" s="1"/>
  <c r="AG204" i="1" s="1"/>
  <c r="AF205" i="1" a="1"/>
  <c r="AF205" i="1" s="1"/>
  <c r="AG205" i="1" s="1"/>
  <c r="AF206" i="1" a="1"/>
  <c r="AF206" i="1" s="1"/>
  <c r="AG206" i="1" s="1"/>
  <c r="AF207" i="1" a="1"/>
  <c r="AF207" i="1" s="1"/>
  <c r="AG207" i="1" s="1"/>
  <c r="AF208" i="1" a="1"/>
  <c r="AF208" i="1" s="1"/>
  <c r="AG208" i="1" s="1"/>
  <c r="AF209" i="1" a="1"/>
  <c r="AF209" i="1" s="1"/>
  <c r="AG209" i="1" s="1"/>
  <c r="AF210" i="1" a="1"/>
  <c r="AF210" i="1" s="1"/>
  <c r="AG210" i="1" s="1"/>
  <c r="AF211" i="1" a="1"/>
  <c r="AF211" i="1" s="1"/>
  <c r="AG211" i="1" s="1"/>
  <c r="AF212" i="1" a="1"/>
  <c r="AF212" i="1" s="1"/>
  <c r="AG212" i="1" s="1"/>
  <c r="AF213" i="1" a="1"/>
  <c r="AF213" i="1" s="1"/>
  <c r="AG213" i="1" s="1"/>
  <c r="AF214" i="1" a="1"/>
  <c r="AF214" i="1" s="1"/>
  <c r="AG214" i="1" s="1"/>
  <c r="AF215" i="1" a="1"/>
  <c r="AF215" i="1" s="1"/>
  <c r="AG215" i="1" s="1"/>
  <c r="AF216" i="1" a="1"/>
  <c r="AF216" i="1" s="1"/>
  <c r="AG216" i="1" s="1"/>
  <c r="AF217" i="1" a="1"/>
  <c r="AF217" i="1" s="1"/>
  <c r="AG217" i="1" s="1"/>
  <c r="AF218" i="1" a="1"/>
  <c r="AF218" i="1" s="1"/>
  <c r="AG218" i="1" s="1"/>
  <c r="AF219" i="1" a="1"/>
  <c r="AF219" i="1" s="1"/>
  <c r="AG219" i="1" s="1"/>
  <c r="AF220" i="1" a="1"/>
  <c r="AF220" i="1" s="1"/>
  <c r="AG220" i="1" s="1"/>
  <c r="AF221" i="1" a="1"/>
  <c r="AF221" i="1" s="1"/>
  <c r="AG221" i="1" s="1"/>
  <c r="AF222" i="1" a="1"/>
  <c r="AF222" i="1" s="1"/>
  <c r="AG222" i="1" s="1"/>
  <c r="AF223" i="1" a="1"/>
  <c r="AF223" i="1" s="1"/>
  <c r="AG223" i="1" s="1"/>
  <c r="AF224" i="1" a="1"/>
  <c r="AF224" i="1" s="1"/>
  <c r="AG224" i="1" s="1"/>
  <c r="AF225" i="1" a="1"/>
  <c r="AF225" i="1" s="1"/>
  <c r="AG225" i="1" s="1"/>
  <c r="AF226" i="1" a="1"/>
  <c r="AF226" i="1" s="1"/>
  <c r="AG226" i="1" s="1"/>
  <c r="AF227" i="1" a="1"/>
  <c r="AF227" i="1" s="1"/>
  <c r="AG227" i="1" s="1"/>
  <c r="AF228" i="1" a="1"/>
  <c r="AF228" i="1" s="1"/>
  <c r="AG228" i="1" s="1"/>
  <c r="AF229" i="1" a="1"/>
  <c r="AF229" i="1" s="1"/>
  <c r="AG229" i="1" s="1"/>
  <c r="AF230" i="1" a="1"/>
  <c r="AF230" i="1" s="1"/>
  <c r="AG230" i="1" s="1"/>
  <c r="AF231" i="1" a="1"/>
  <c r="AF231" i="1" s="1"/>
  <c r="AG231" i="1" s="1"/>
  <c r="AF232" i="1" a="1"/>
  <c r="AF232" i="1" s="1"/>
  <c r="AG232" i="1" s="1"/>
  <c r="AF233" i="1" a="1"/>
  <c r="AF233" i="1" s="1"/>
  <c r="AG233" i="1" s="1"/>
  <c r="AF234" i="1" a="1"/>
  <c r="AF234" i="1" s="1"/>
  <c r="AG234" i="1" s="1"/>
  <c r="AF235" i="1" a="1"/>
  <c r="AF235" i="1" s="1"/>
  <c r="AG235" i="1" s="1"/>
  <c r="AF236" i="1" a="1"/>
  <c r="AF236" i="1" s="1"/>
  <c r="AG236" i="1" s="1"/>
  <c r="AF237" i="1" a="1"/>
  <c r="AF237" i="1" s="1"/>
  <c r="AG237" i="1" s="1"/>
  <c r="AF238" i="1" a="1"/>
  <c r="AF238" i="1" s="1"/>
  <c r="AG238" i="1" s="1"/>
  <c r="AF239" i="1" a="1"/>
  <c r="AF239" i="1" s="1"/>
  <c r="AG239" i="1" s="1"/>
  <c r="AF240" i="1" a="1"/>
  <c r="AF240" i="1" s="1"/>
  <c r="AG240" i="1" s="1"/>
  <c r="AF241" i="1" a="1"/>
  <c r="AF241" i="1" s="1"/>
  <c r="AG241" i="1" s="1"/>
  <c r="AF242" i="1" a="1"/>
  <c r="AF242" i="1" s="1"/>
  <c r="AG242" i="1" s="1"/>
  <c r="AF243" i="1" a="1"/>
  <c r="AF243" i="1" s="1"/>
  <c r="AG243" i="1" s="1"/>
  <c r="AF244" i="1" a="1"/>
  <c r="AF244" i="1" s="1"/>
  <c r="AG244" i="1" s="1"/>
  <c r="AF245" i="1" a="1"/>
  <c r="AF245" i="1" s="1"/>
  <c r="AG245" i="1" s="1"/>
  <c r="AF246" i="1" a="1"/>
  <c r="AF246" i="1" s="1"/>
  <c r="AG246" i="1" s="1"/>
  <c r="AF247" i="1" a="1"/>
  <c r="AF247" i="1" s="1"/>
  <c r="AG247" i="1" s="1"/>
  <c r="AF248" i="1" a="1"/>
  <c r="AF248" i="1" s="1"/>
  <c r="AG248" i="1" s="1"/>
  <c r="AF249" i="1" a="1"/>
  <c r="AF249" i="1" s="1"/>
  <c r="AG249" i="1" s="1"/>
  <c r="AF250" i="1" a="1"/>
  <c r="AF250" i="1" s="1"/>
  <c r="AG250" i="1" s="1"/>
  <c r="AF251" i="1" a="1"/>
  <c r="AF251" i="1" s="1"/>
  <c r="AG251" i="1" s="1"/>
  <c r="AF252" i="1" a="1"/>
  <c r="AF252" i="1" s="1"/>
  <c r="AG252" i="1" s="1"/>
  <c r="AF253" i="1" a="1"/>
  <c r="AF253" i="1" s="1"/>
  <c r="AG253" i="1" s="1"/>
  <c r="AF254" i="1" a="1"/>
  <c r="AF254" i="1" s="1"/>
  <c r="AG254" i="1" s="1"/>
  <c r="AF255" i="1" a="1"/>
  <c r="AF255" i="1" s="1"/>
  <c r="AG255" i="1" s="1"/>
  <c r="AF256" i="1" a="1"/>
  <c r="AF256" i="1" s="1"/>
  <c r="AG256" i="1" s="1"/>
  <c r="AF257" i="1" a="1"/>
  <c r="AF257" i="1" s="1"/>
  <c r="AG257" i="1" s="1"/>
  <c r="AF258" i="1" a="1"/>
  <c r="AF258" i="1" s="1"/>
  <c r="AG258" i="1" s="1"/>
  <c r="AF259" i="1" a="1"/>
  <c r="AF259" i="1" s="1"/>
  <c r="AG259" i="1" s="1"/>
  <c r="AF260" i="1" a="1"/>
  <c r="AF260" i="1" s="1"/>
  <c r="AG260" i="1" s="1"/>
  <c r="AF261" i="1" a="1"/>
  <c r="AF261" i="1" s="1"/>
  <c r="AG261" i="1" s="1"/>
  <c r="AF262" i="1" a="1"/>
  <c r="AF262" i="1" s="1"/>
  <c r="AG262" i="1" s="1"/>
  <c r="AF263" i="1" a="1"/>
  <c r="AF263" i="1" s="1"/>
  <c r="AG263" i="1" s="1"/>
  <c r="AF264" i="1" a="1"/>
  <c r="AF264" i="1" s="1"/>
  <c r="AG264" i="1" s="1"/>
  <c r="AF265" i="1" a="1"/>
  <c r="AF265" i="1" s="1"/>
  <c r="AG265" i="1" s="1"/>
  <c r="AF266" i="1" a="1"/>
  <c r="AF266" i="1" s="1"/>
  <c r="AG266" i="1" s="1"/>
  <c r="AF267" i="1" a="1"/>
  <c r="AF267" i="1" s="1"/>
  <c r="AG267" i="1" s="1"/>
  <c r="AF268" i="1" a="1"/>
  <c r="AF268" i="1" s="1"/>
  <c r="AG268" i="1" s="1"/>
  <c r="AF269" i="1" a="1"/>
  <c r="AF269" i="1" s="1"/>
  <c r="AG269" i="1" s="1"/>
  <c r="AF270" i="1" a="1"/>
  <c r="AF270" i="1" s="1"/>
  <c r="AG270" i="1" s="1"/>
  <c r="AF271" i="1" a="1"/>
  <c r="AF271" i="1" s="1"/>
  <c r="AG271" i="1" s="1"/>
  <c r="AF272" i="1" a="1"/>
  <c r="AF272" i="1" s="1"/>
  <c r="AG272" i="1" s="1"/>
  <c r="AF273" i="1" a="1"/>
  <c r="AF273" i="1" s="1"/>
  <c r="AG273" i="1" s="1"/>
  <c r="AF274" i="1" a="1"/>
  <c r="AF274" i="1" s="1"/>
  <c r="AG274" i="1" s="1"/>
  <c r="AF275" i="1" a="1"/>
  <c r="AF275" i="1" s="1"/>
  <c r="AG275" i="1" s="1"/>
  <c r="AF276" i="1" a="1"/>
  <c r="AF276" i="1" s="1"/>
  <c r="AG276" i="1" s="1"/>
  <c r="AF277" i="1" a="1"/>
  <c r="AF277" i="1" s="1"/>
  <c r="AG277" i="1" s="1"/>
  <c r="AF278" i="1" a="1"/>
  <c r="AF278" i="1" s="1"/>
  <c r="AG278" i="1" s="1"/>
  <c r="AF279" i="1" a="1"/>
  <c r="AF279" i="1" s="1"/>
  <c r="AG279" i="1" s="1"/>
  <c r="AF280" i="1" a="1"/>
  <c r="AF280" i="1" s="1"/>
  <c r="AG280" i="1" s="1"/>
  <c r="AF281" i="1" a="1"/>
  <c r="AF281" i="1" s="1"/>
  <c r="AG281" i="1" s="1"/>
  <c r="AF282" i="1" a="1"/>
  <c r="AF282" i="1" s="1"/>
  <c r="AG282" i="1" s="1"/>
  <c r="AF283" i="1" a="1"/>
  <c r="AF283" i="1" s="1"/>
  <c r="AG283" i="1" s="1"/>
  <c r="AF284" i="1" a="1"/>
  <c r="AF284" i="1" s="1"/>
  <c r="AG284" i="1" s="1"/>
  <c r="AF285" i="1" a="1"/>
  <c r="AF285" i="1" s="1"/>
  <c r="AG285" i="1" s="1"/>
  <c r="AF286" i="1" a="1"/>
  <c r="AF286" i="1" s="1"/>
  <c r="AG286" i="1" s="1"/>
  <c r="AF287" i="1" a="1"/>
  <c r="AF287" i="1" s="1"/>
  <c r="AG287" i="1" s="1"/>
  <c r="AF288" i="1" a="1"/>
  <c r="AF288" i="1" s="1"/>
  <c r="AG288" i="1" s="1"/>
  <c r="AF289" i="1" a="1"/>
  <c r="AF289" i="1" s="1"/>
  <c r="AG289" i="1" s="1"/>
  <c r="AF290" i="1" a="1"/>
  <c r="AF290" i="1" s="1"/>
  <c r="AG290" i="1" s="1"/>
  <c r="AF291" i="1" a="1"/>
  <c r="AF291" i="1" s="1"/>
  <c r="AG291" i="1" s="1"/>
  <c r="AF292" i="1" a="1"/>
  <c r="AF292" i="1" s="1"/>
  <c r="AG292" i="1" s="1"/>
  <c r="AF293" i="1" a="1"/>
  <c r="AF293" i="1" s="1"/>
  <c r="AG293" i="1" s="1"/>
  <c r="AF294" i="1" a="1"/>
  <c r="AF294" i="1" s="1"/>
  <c r="AG294" i="1" s="1"/>
  <c r="AF295" i="1" a="1"/>
  <c r="AF295" i="1" s="1"/>
  <c r="AG295" i="1" s="1"/>
  <c r="AF296" i="1" a="1"/>
  <c r="AF296" i="1" s="1"/>
  <c r="AG296" i="1" s="1"/>
  <c r="AF297" i="1" a="1"/>
  <c r="AF297" i="1" s="1"/>
  <c r="AG297" i="1" s="1"/>
  <c r="AF298" i="1" a="1"/>
  <c r="AF298" i="1" s="1"/>
  <c r="AG298" i="1" s="1"/>
  <c r="AF299" i="1" a="1"/>
  <c r="AF299" i="1" s="1"/>
  <c r="AG299" i="1" s="1"/>
  <c r="AF300" i="1" a="1"/>
  <c r="AF300" i="1" s="1"/>
  <c r="AG300" i="1" s="1"/>
  <c r="AF301" i="1" a="1"/>
  <c r="AF301" i="1" s="1"/>
  <c r="AG301" i="1" s="1"/>
  <c r="AF302" i="1" a="1"/>
  <c r="AF302" i="1" s="1"/>
  <c r="AG302" i="1" s="1"/>
  <c r="AF303" i="1" a="1"/>
  <c r="AF303" i="1" s="1"/>
  <c r="AG303" i="1" s="1"/>
  <c r="AF304" i="1" a="1"/>
  <c r="AF304" i="1" s="1"/>
  <c r="AG304" i="1" s="1"/>
  <c r="AF305" i="1" a="1"/>
  <c r="AF305" i="1" s="1"/>
  <c r="AG305" i="1" s="1"/>
  <c r="AF306" i="1" a="1"/>
  <c r="AF306" i="1" s="1"/>
  <c r="AG306" i="1" s="1"/>
  <c r="AF307" i="1" a="1"/>
  <c r="AF307" i="1" s="1"/>
  <c r="AG307" i="1" s="1"/>
  <c r="AF308" i="1" a="1"/>
  <c r="AF308" i="1" s="1"/>
  <c r="AG308" i="1" s="1"/>
  <c r="AF309" i="1" a="1"/>
  <c r="AF309" i="1" s="1"/>
  <c r="AG309" i="1" s="1"/>
  <c r="AF310" i="1" a="1"/>
  <c r="AF310" i="1" s="1"/>
  <c r="AG310" i="1" s="1"/>
  <c r="AF311" i="1" a="1"/>
  <c r="AF311" i="1" s="1"/>
  <c r="AG311" i="1" s="1"/>
  <c r="AF312" i="1" a="1"/>
  <c r="AF312" i="1" s="1"/>
  <c r="AG312" i="1" s="1"/>
  <c r="AF313" i="1" a="1"/>
  <c r="AF313" i="1" s="1"/>
  <c r="AG313" i="1" s="1"/>
  <c r="AF314" i="1" a="1"/>
  <c r="AF314" i="1" s="1"/>
  <c r="AG314" i="1" s="1"/>
  <c r="AF315" i="1" a="1"/>
  <c r="AF315" i="1" s="1"/>
  <c r="AG315" i="1" s="1"/>
  <c r="AF316" i="1" a="1"/>
  <c r="AF316" i="1" s="1"/>
  <c r="AG316" i="1" s="1"/>
  <c r="AF317" i="1" a="1"/>
  <c r="AF317" i="1" s="1"/>
  <c r="AG317" i="1" s="1"/>
  <c r="AF318" i="1" a="1"/>
  <c r="AF318" i="1" s="1"/>
  <c r="AG318" i="1" s="1"/>
  <c r="AF319" i="1" a="1"/>
  <c r="AF319" i="1" s="1"/>
  <c r="AG319" i="1" s="1"/>
  <c r="AF320" i="1" a="1"/>
  <c r="AF320" i="1" s="1"/>
  <c r="AG320" i="1" s="1"/>
  <c r="AF321" i="1" a="1"/>
  <c r="AF321" i="1" s="1"/>
  <c r="AG321" i="1" s="1"/>
  <c r="AF322" i="1" a="1"/>
  <c r="AF322" i="1" s="1"/>
  <c r="AG322" i="1" s="1"/>
  <c r="AF323" i="1" a="1"/>
  <c r="AF323" i="1" s="1"/>
  <c r="AG323" i="1" s="1"/>
  <c r="AF324" i="1" a="1"/>
  <c r="AF324" i="1" s="1"/>
  <c r="AG324" i="1" s="1"/>
  <c r="AF325" i="1" a="1"/>
  <c r="AF325" i="1" s="1"/>
  <c r="AG325" i="1" s="1"/>
  <c r="AF326" i="1" a="1"/>
  <c r="AF326" i="1" s="1"/>
  <c r="AG326" i="1" s="1"/>
  <c r="AF327" i="1" a="1"/>
  <c r="AF327" i="1" s="1"/>
  <c r="AG327" i="1" s="1"/>
  <c r="AF328" i="1" a="1"/>
  <c r="AF328" i="1" s="1"/>
  <c r="AG328" i="1" s="1"/>
  <c r="AF329" i="1" a="1"/>
  <c r="AF329" i="1" s="1"/>
  <c r="AG329" i="1" s="1"/>
  <c r="AF330" i="1" a="1"/>
  <c r="AF330" i="1" s="1"/>
  <c r="AG330" i="1" s="1"/>
  <c r="AF331" i="1" a="1"/>
  <c r="AF331" i="1" s="1"/>
  <c r="AG331" i="1" s="1"/>
  <c r="AF332" i="1" a="1"/>
  <c r="AF332" i="1" s="1"/>
  <c r="AG332" i="1" s="1"/>
  <c r="AF333" i="1" a="1"/>
  <c r="AF333" i="1" s="1"/>
  <c r="AG333" i="1" s="1"/>
  <c r="AF334" i="1" a="1"/>
  <c r="AF334" i="1" s="1"/>
  <c r="AG334" i="1" s="1"/>
  <c r="AF335" i="1" a="1"/>
  <c r="AF335" i="1" s="1"/>
  <c r="AG335" i="1" s="1"/>
  <c r="AF336" i="1" a="1"/>
  <c r="AF336" i="1" s="1"/>
  <c r="AG336" i="1" s="1"/>
  <c r="AF337" i="1" a="1"/>
  <c r="AF337" i="1" s="1"/>
  <c r="AG337" i="1" s="1"/>
  <c r="AF338" i="1" a="1"/>
  <c r="AF338" i="1" s="1"/>
  <c r="AG338" i="1" s="1"/>
  <c r="AF339" i="1" a="1"/>
  <c r="AF339" i="1" s="1"/>
  <c r="AG339" i="1" s="1"/>
  <c r="AF340" i="1" a="1"/>
  <c r="AF340" i="1" s="1"/>
  <c r="AG340" i="1" s="1"/>
  <c r="AF341" i="1" a="1"/>
  <c r="AF341" i="1" s="1"/>
  <c r="AG341" i="1" s="1"/>
  <c r="AF342" i="1" a="1"/>
  <c r="AF342" i="1" s="1"/>
  <c r="AG342" i="1" s="1"/>
  <c r="AF343" i="1" a="1"/>
  <c r="AF343" i="1" s="1"/>
  <c r="AG343" i="1" s="1"/>
  <c r="AF344" i="1" a="1"/>
  <c r="AF344" i="1" s="1"/>
  <c r="AG344" i="1" s="1"/>
  <c r="AF345" i="1" a="1"/>
  <c r="AF345" i="1" s="1"/>
  <c r="AG345" i="1" s="1"/>
  <c r="AF346" i="1" a="1"/>
  <c r="AF346" i="1" s="1"/>
  <c r="AG346" i="1" s="1"/>
  <c r="AF347" i="1" a="1"/>
  <c r="AF347" i="1" s="1"/>
  <c r="AG347" i="1" s="1"/>
  <c r="AF348" i="1" a="1"/>
  <c r="AF348" i="1" s="1"/>
  <c r="AG348" i="1" s="1"/>
  <c r="AF349" i="1" a="1"/>
  <c r="AF349" i="1" s="1"/>
  <c r="AG349" i="1" s="1"/>
  <c r="AF350" i="1" a="1"/>
  <c r="AF350" i="1" s="1"/>
  <c r="AG350" i="1" s="1"/>
  <c r="AF351" i="1" a="1"/>
  <c r="AF351" i="1" s="1"/>
  <c r="AG351" i="1" s="1"/>
  <c r="AF352" i="1" a="1"/>
  <c r="AF352" i="1" s="1"/>
  <c r="AG352" i="1" s="1"/>
  <c r="AF353" i="1" a="1"/>
  <c r="AF353" i="1" s="1"/>
  <c r="AG353" i="1" s="1"/>
  <c r="AF354" i="1" a="1"/>
  <c r="AF354" i="1" s="1"/>
  <c r="AG354" i="1" s="1"/>
  <c r="AF355" i="1" a="1"/>
  <c r="AF355" i="1" s="1"/>
  <c r="AG355" i="1" s="1"/>
  <c r="AF356" i="1" a="1"/>
  <c r="AF356" i="1" s="1"/>
  <c r="AG356" i="1" s="1"/>
  <c r="AF357" i="1" a="1"/>
  <c r="AF357" i="1" s="1"/>
  <c r="AG357" i="1" s="1"/>
  <c r="AF358" i="1" a="1"/>
  <c r="AF358" i="1" s="1"/>
  <c r="AG358" i="1" s="1"/>
  <c r="AF359" i="1" a="1"/>
  <c r="AF359" i="1" s="1"/>
  <c r="AG359" i="1" s="1"/>
  <c r="AF360" i="1" a="1"/>
  <c r="AF360" i="1" s="1"/>
  <c r="AG360" i="1" s="1"/>
  <c r="AF361" i="1" a="1"/>
  <c r="AF361" i="1" s="1"/>
  <c r="AG361" i="1" s="1"/>
  <c r="AF362" i="1" a="1"/>
  <c r="AF362" i="1" s="1"/>
  <c r="AG362" i="1" s="1"/>
  <c r="AF363" i="1" a="1"/>
  <c r="AF363" i="1" s="1"/>
  <c r="AG363" i="1" s="1"/>
  <c r="AF364" i="1" a="1"/>
  <c r="AF364" i="1" s="1"/>
  <c r="AG364" i="1" s="1"/>
  <c r="AF365" i="1" a="1"/>
  <c r="AF365" i="1" s="1"/>
  <c r="AG365" i="1" s="1"/>
  <c r="AF366" i="1" a="1"/>
  <c r="AF366" i="1" s="1"/>
  <c r="AG366" i="1" s="1"/>
  <c r="AF367" i="1" a="1"/>
  <c r="AF367" i="1" s="1"/>
  <c r="AG367" i="1" s="1"/>
  <c r="AF368" i="1" a="1"/>
  <c r="AF368" i="1" s="1"/>
  <c r="AG368" i="1" s="1"/>
  <c r="AF369" i="1" a="1"/>
  <c r="AF369" i="1" s="1"/>
  <c r="AG369" i="1" s="1"/>
  <c r="AF370" i="1" a="1"/>
  <c r="AF370" i="1" s="1"/>
  <c r="AG370" i="1" s="1"/>
  <c r="AF371" i="1" a="1"/>
  <c r="AF371" i="1" s="1"/>
  <c r="AG371" i="1" s="1"/>
  <c r="AF372" i="1" a="1"/>
  <c r="AF372" i="1" s="1"/>
  <c r="AG372" i="1" s="1"/>
  <c r="AF373" i="1" a="1"/>
  <c r="AF373" i="1" s="1"/>
  <c r="AG373" i="1" s="1"/>
  <c r="AF374" i="1" a="1"/>
  <c r="AF374" i="1" s="1"/>
  <c r="AG374" i="1" s="1"/>
  <c r="AF375" i="1" a="1"/>
  <c r="AF375" i="1" s="1"/>
  <c r="AG375" i="1" s="1"/>
  <c r="AF376" i="1" a="1"/>
  <c r="AF376" i="1" s="1"/>
  <c r="AG376" i="1" s="1"/>
  <c r="AF377" i="1" a="1"/>
  <c r="AF377" i="1" s="1"/>
  <c r="AG377" i="1" s="1"/>
  <c r="AF378" i="1" a="1"/>
  <c r="AF378" i="1" s="1"/>
  <c r="AG378" i="1" s="1"/>
  <c r="AF379" i="1" a="1"/>
  <c r="AF379" i="1" s="1"/>
  <c r="AG379" i="1" s="1"/>
  <c r="AF380" i="1" a="1"/>
  <c r="AF380" i="1" s="1"/>
  <c r="AG380" i="1" s="1"/>
  <c r="AF381" i="1" a="1"/>
  <c r="AF381" i="1" s="1"/>
  <c r="AG381" i="1" s="1"/>
  <c r="AF382" i="1" a="1"/>
  <c r="AF382" i="1" s="1"/>
  <c r="AG382" i="1" s="1"/>
  <c r="AF383" i="1" a="1"/>
  <c r="AF383" i="1" s="1"/>
  <c r="AG383" i="1" s="1"/>
  <c r="AF384" i="1" a="1"/>
  <c r="AF384" i="1" s="1"/>
  <c r="AG384" i="1" s="1"/>
  <c r="AF385" i="1" a="1"/>
  <c r="AF385" i="1" s="1"/>
  <c r="AG385" i="1" s="1"/>
  <c r="AF386" i="1" a="1"/>
  <c r="AF386" i="1" s="1"/>
  <c r="AG386" i="1" s="1"/>
  <c r="AF387" i="1" a="1"/>
  <c r="AF387" i="1" s="1"/>
  <c r="AG387" i="1" s="1"/>
  <c r="AF388" i="1" a="1"/>
  <c r="AF388" i="1" s="1"/>
  <c r="AG388" i="1" s="1"/>
  <c r="AF389" i="1" a="1"/>
  <c r="AF389" i="1" s="1"/>
  <c r="AG389" i="1" s="1"/>
  <c r="AF390" i="1" a="1"/>
  <c r="AF390" i="1" s="1"/>
  <c r="AG390" i="1" s="1"/>
  <c r="AF391" i="1" a="1"/>
  <c r="AF391" i="1" s="1"/>
  <c r="AG391" i="1" s="1"/>
  <c r="AF392" i="1" a="1"/>
  <c r="AF392" i="1" s="1"/>
  <c r="AG392" i="1" s="1"/>
  <c r="AF393" i="1" a="1"/>
  <c r="AF393" i="1" s="1"/>
  <c r="AG393" i="1" s="1"/>
  <c r="AF394" i="1" a="1"/>
  <c r="AF394" i="1" s="1"/>
  <c r="AG394" i="1" s="1"/>
  <c r="AF395" i="1" a="1"/>
  <c r="AF395" i="1" s="1"/>
  <c r="AG395" i="1" s="1"/>
  <c r="AF396" i="1" a="1"/>
  <c r="AF396" i="1" s="1"/>
  <c r="AG396" i="1" s="1"/>
  <c r="AF397" i="1" a="1"/>
  <c r="AF397" i="1" s="1"/>
  <c r="AG397" i="1" s="1"/>
  <c r="AF398" i="1" a="1"/>
  <c r="AF398" i="1" s="1"/>
  <c r="AG398" i="1" s="1"/>
  <c r="AF399" i="1" a="1"/>
  <c r="AF399" i="1" s="1"/>
  <c r="AG399" i="1" s="1"/>
  <c r="AF400" i="1" a="1"/>
  <c r="AF400" i="1" s="1"/>
  <c r="AG400" i="1" s="1"/>
  <c r="AF401" i="1" a="1"/>
  <c r="AF401" i="1" s="1"/>
  <c r="AG401" i="1" s="1"/>
  <c r="AF402" i="1" a="1"/>
  <c r="AF402" i="1" s="1"/>
  <c r="AG402" i="1" s="1"/>
  <c r="AF403" i="1" a="1"/>
  <c r="AF403" i="1" s="1"/>
  <c r="AG403" i="1" s="1"/>
  <c r="AF404" i="1" a="1"/>
  <c r="AF404" i="1" s="1"/>
  <c r="AG404" i="1" s="1"/>
  <c r="AF405" i="1" a="1"/>
  <c r="AF405" i="1" s="1"/>
  <c r="AG405" i="1" s="1"/>
  <c r="AF406" i="1" a="1"/>
  <c r="AF406" i="1" s="1"/>
  <c r="AG406" i="1" s="1"/>
  <c r="AF407" i="1" a="1"/>
  <c r="AF407" i="1" s="1"/>
  <c r="AG407" i="1" s="1"/>
  <c r="AF408" i="1" a="1"/>
  <c r="AF408" i="1" s="1"/>
  <c r="AG408" i="1" s="1"/>
  <c r="AF409" i="1" a="1"/>
  <c r="AF409" i="1" s="1"/>
  <c r="AG409" i="1" s="1"/>
  <c r="AF410" i="1" a="1"/>
  <c r="AF410" i="1" s="1"/>
  <c r="AG410" i="1" s="1"/>
  <c r="AF411" i="1" a="1"/>
  <c r="AF411" i="1" s="1"/>
  <c r="AG411" i="1" s="1"/>
  <c r="AF412" i="1" a="1"/>
  <c r="AF412" i="1" s="1"/>
  <c r="AG412" i="1" s="1"/>
  <c r="AF413" i="1" a="1"/>
  <c r="AF413" i="1" s="1"/>
  <c r="AG413" i="1" s="1"/>
  <c r="AF414" i="1" a="1"/>
  <c r="AF414" i="1" s="1"/>
  <c r="AG414" i="1" s="1"/>
  <c r="AF415" i="1" a="1"/>
  <c r="AF415" i="1" s="1"/>
  <c r="AG415" i="1" s="1"/>
  <c r="AF416" i="1" a="1"/>
  <c r="AF416" i="1" s="1"/>
  <c r="AG416" i="1" s="1"/>
  <c r="AF417" i="1" a="1"/>
  <c r="AF417" i="1" s="1"/>
  <c r="AG417" i="1" s="1"/>
  <c r="AF418" i="1" a="1"/>
  <c r="AF418" i="1" s="1"/>
  <c r="AG418" i="1" s="1"/>
  <c r="AF419" i="1" a="1"/>
  <c r="AF419" i="1" s="1"/>
  <c r="AG419" i="1" s="1"/>
  <c r="AF420" i="1" a="1"/>
  <c r="AF420" i="1" s="1"/>
  <c r="AG420" i="1" s="1"/>
  <c r="AF421" i="1" a="1"/>
  <c r="AF421" i="1" s="1"/>
  <c r="AG421" i="1" s="1"/>
  <c r="AF422" i="1" a="1"/>
  <c r="AF422" i="1" s="1"/>
  <c r="AG422" i="1" s="1"/>
  <c r="AF423" i="1" a="1"/>
  <c r="AF423" i="1" s="1"/>
  <c r="AG423" i="1" s="1"/>
  <c r="AF424" i="1" a="1"/>
  <c r="AF424" i="1" s="1"/>
  <c r="AG424" i="1" s="1"/>
  <c r="AF425" i="1" a="1"/>
  <c r="AF425" i="1" s="1"/>
  <c r="AG425" i="1" s="1"/>
  <c r="AF426" i="1" a="1"/>
  <c r="AF426" i="1" s="1"/>
  <c r="AG426" i="1" s="1"/>
  <c r="AF427" i="1" a="1"/>
  <c r="AF427" i="1" s="1"/>
  <c r="AG427" i="1" s="1"/>
  <c r="AF428" i="1" a="1"/>
  <c r="AF428" i="1" s="1"/>
  <c r="AG428" i="1" s="1"/>
  <c r="AF429" i="1" a="1"/>
  <c r="AF429" i="1" s="1"/>
  <c r="AG429" i="1" s="1"/>
  <c r="AF430" i="1" a="1"/>
  <c r="AF430" i="1" s="1"/>
  <c r="AG430" i="1" s="1"/>
  <c r="AF431" i="1" a="1"/>
  <c r="AF431" i="1" s="1"/>
  <c r="AG431" i="1" s="1"/>
  <c r="AF432" i="1" a="1"/>
  <c r="AF432" i="1" s="1"/>
  <c r="AG432" i="1" s="1"/>
  <c r="AF433" i="1" a="1"/>
  <c r="AF433" i="1" s="1"/>
  <c r="AG433" i="1" s="1"/>
  <c r="AF434" i="1" a="1"/>
  <c r="AF434" i="1" s="1"/>
  <c r="AG434" i="1" s="1"/>
  <c r="AF435" i="1" a="1"/>
  <c r="AF435" i="1" s="1"/>
  <c r="AG435" i="1" s="1"/>
  <c r="AF436" i="1" a="1"/>
  <c r="AF436" i="1" s="1"/>
  <c r="AG436" i="1" s="1"/>
  <c r="AF437" i="1" a="1"/>
  <c r="AF437" i="1" s="1"/>
  <c r="AG437" i="1" s="1"/>
  <c r="AF438" i="1" a="1"/>
  <c r="AF438" i="1" s="1"/>
  <c r="AG438" i="1" s="1"/>
  <c r="AF439" i="1" a="1"/>
  <c r="AF439" i="1" s="1"/>
  <c r="AG439" i="1" s="1"/>
  <c r="AF440" i="1" a="1"/>
  <c r="AF440" i="1" s="1"/>
  <c r="AG440" i="1" s="1"/>
  <c r="AF441" i="1" a="1"/>
  <c r="AF441" i="1" s="1"/>
  <c r="AG441" i="1" s="1"/>
  <c r="AF442" i="1" a="1"/>
  <c r="AF442" i="1" s="1"/>
  <c r="AG442" i="1" s="1"/>
  <c r="AF443" i="1" a="1"/>
  <c r="AF443" i="1" s="1"/>
  <c r="AG443" i="1" s="1"/>
  <c r="AF444" i="1" a="1"/>
  <c r="AF444" i="1" s="1"/>
  <c r="AG444" i="1" s="1"/>
  <c r="AF445" i="1" a="1"/>
  <c r="AF445" i="1" s="1"/>
  <c r="AG445" i="1" s="1"/>
  <c r="AF446" i="1" a="1"/>
  <c r="AF446" i="1" s="1"/>
  <c r="AG446" i="1" s="1"/>
  <c r="AF447" i="1" a="1"/>
  <c r="AF447" i="1" s="1"/>
  <c r="AG447" i="1" s="1"/>
  <c r="AF448" i="1" a="1"/>
  <c r="AF448" i="1" s="1"/>
  <c r="AG448" i="1" s="1"/>
  <c r="AF449" i="1" a="1"/>
  <c r="AF449" i="1" s="1"/>
  <c r="AG449" i="1" s="1"/>
  <c r="AF450" i="1" a="1"/>
  <c r="AF450" i="1" s="1"/>
  <c r="AG450" i="1" s="1"/>
  <c r="AF451" i="1" a="1"/>
  <c r="AF451" i="1" s="1"/>
  <c r="AG451" i="1" s="1"/>
  <c r="AF452" i="1" a="1"/>
  <c r="AF452" i="1" s="1"/>
  <c r="AG452" i="1" s="1"/>
  <c r="AF453" i="1" a="1"/>
  <c r="AF453" i="1" s="1"/>
  <c r="AG453" i="1" s="1"/>
  <c r="AF454" i="1" a="1"/>
  <c r="AF454" i="1" s="1"/>
  <c r="AG454" i="1" s="1"/>
  <c r="AF455" i="1" a="1"/>
  <c r="AF455" i="1" s="1"/>
  <c r="AG455" i="1" s="1"/>
  <c r="AF456" i="1" a="1"/>
  <c r="AF456" i="1" s="1"/>
  <c r="AG456" i="1" s="1"/>
  <c r="AF457" i="1" a="1"/>
  <c r="AF457" i="1" s="1"/>
  <c r="AG457" i="1" s="1"/>
  <c r="AF458" i="1" a="1"/>
  <c r="AF458" i="1" s="1"/>
  <c r="AG458" i="1" s="1"/>
  <c r="AF459" i="1" a="1"/>
  <c r="AF459" i="1" s="1"/>
  <c r="AG459" i="1" s="1"/>
  <c r="AF460" i="1" a="1"/>
  <c r="AF460" i="1" s="1"/>
  <c r="AG460" i="1" s="1"/>
  <c r="AF461" i="1" a="1"/>
  <c r="AF461" i="1" s="1"/>
  <c r="AG461" i="1" s="1"/>
  <c r="AF462" i="1" a="1"/>
  <c r="AF462" i="1" s="1"/>
  <c r="AG462" i="1" s="1"/>
  <c r="AF463" i="1" a="1"/>
  <c r="AF463" i="1" s="1"/>
  <c r="AG463" i="1" s="1"/>
  <c r="AF464" i="1" a="1"/>
  <c r="AF464" i="1" s="1"/>
  <c r="AG464" i="1" s="1"/>
  <c r="AF465" i="1" a="1"/>
  <c r="AF465" i="1" s="1"/>
  <c r="AG465" i="1" s="1"/>
  <c r="AF466" i="1" a="1"/>
  <c r="AF466" i="1" s="1"/>
  <c r="AG466" i="1" s="1"/>
  <c r="AF467" i="1" a="1"/>
  <c r="AF467" i="1" s="1"/>
  <c r="AG467" i="1" s="1"/>
  <c r="AF468" i="1" a="1"/>
  <c r="AF468" i="1" s="1"/>
  <c r="AG468" i="1" s="1"/>
  <c r="AF469" i="1" a="1"/>
  <c r="AF469" i="1" s="1"/>
  <c r="AG469" i="1" s="1"/>
  <c r="AF470" i="1" a="1"/>
  <c r="AF470" i="1" s="1"/>
  <c r="AG470" i="1" s="1"/>
  <c r="AF471" i="1" a="1"/>
  <c r="AF471" i="1" s="1"/>
  <c r="AG471" i="1" s="1"/>
  <c r="AF472" i="1" a="1"/>
  <c r="AF472" i="1" s="1"/>
  <c r="AG472" i="1" s="1"/>
  <c r="AF473" i="1" a="1"/>
  <c r="AF473" i="1" s="1"/>
  <c r="AG473" i="1" s="1"/>
  <c r="AF474" i="1" a="1"/>
  <c r="AF474" i="1" s="1"/>
  <c r="AG474" i="1" s="1"/>
  <c r="AF475" i="1" a="1"/>
  <c r="AF475" i="1" s="1"/>
  <c r="AG475" i="1" s="1"/>
  <c r="AF476" i="1" a="1"/>
  <c r="AF476" i="1" s="1"/>
  <c r="AG476" i="1" s="1"/>
  <c r="AF477" i="1" a="1"/>
  <c r="AF477" i="1" s="1"/>
  <c r="AG477" i="1" s="1"/>
  <c r="AF478" i="1" a="1"/>
  <c r="AF478" i="1" s="1"/>
  <c r="AG478" i="1" s="1"/>
  <c r="AF479" i="1" a="1"/>
  <c r="AF479" i="1" s="1"/>
  <c r="AG479" i="1" s="1"/>
  <c r="AF480" i="1" a="1"/>
  <c r="AF480" i="1" s="1"/>
  <c r="AG480" i="1" s="1"/>
  <c r="AF481" i="1" a="1"/>
  <c r="AF481" i="1" s="1"/>
  <c r="AG481" i="1" s="1"/>
  <c r="AF482" i="1" a="1"/>
  <c r="AF482" i="1" s="1"/>
  <c r="AG482" i="1" s="1"/>
  <c r="AF483" i="1" a="1"/>
  <c r="AF483" i="1" s="1"/>
  <c r="AG483" i="1" s="1"/>
  <c r="AF484" i="1" a="1"/>
  <c r="AF484" i="1" s="1"/>
  <c r="AG484" i="1" s="1"/>
  <c r="AF485" i="1" a="1"/>
  <c r="AF485" i="1" s="1"/>
  <c r="AG485" i="1" s="1"/>
  <c r="AF486" i="1" a="1"/>
  <c r="AF486" i="1" s="1"/>
  <c r="AG486" i="1" s="1"/>
  <c r="AF487" i="1" a="1"/>
  <c r="AF487" i="1" s="1"/>
  <c r="AG487" i="1" s="1"/>
  <c r="AF488" i="1" a="1"/>
  <c r="AF488" i="1" s="1"/>
  <c r="AG488" i="1" s="1"/>
  <c r="AF489" i="1" a="1"/>
  <c r="AF489" i="1" s="1"/>
  <c r="AG489" i="1" s="1"/>
  <c r="AF490" i="1" a="1"/>
  <c r="AF490" i="1" s="1"/>
  <c r="AG490" i="1" s="1"/>
  <c r="AF491" i="1" a="1"/>
  <c r="AF491" i="1" s="1"/>
  <c r="AG491" i="1" s="1"/>
  <c r="AF492" i="1" a="1"/>
  <c r="AF492" i="1" s="1"/>
  <c r="AG492" i="1" s="1"/>
  <c r="AF493" i="1" a="1"/>
  <c r="AF493" i="1" s="1"/>
  <c r="AG493" i="1" s="1"/>
  <c r="AF494" i="1" a="1"/>
  <c r="AF494" i="1" s="1"/>
  <c r="AG494" i="1" s="1"/>
  <c r="AF495" i="1" a="1"/>
  <c r="AF495" i="1" s="1"/>
  <c r="AG495" i="1" s="1"/>
  <c r="AF496" i="1" a="1"/>
  <c r="AF496" i="1" s="1"/>
  <c r="AG496" i="1" s="1"/>
  <c r="AF497" i="1" a="1"/>
  <c r="AF497" i="1" s="1"/>
  <c r="AG497" i="1" s="1"/>
  <c r="AF498" i="1" a="1"/>
  <c r="AF498" i="1" s="1"/>
  <c r="AG498" i="1" s="1"/>
  <c r="AF499" i="1" a="1"/>
  <c r="AF499" i="1" s="1"/>
  <c r="AG499" i="1" s="1"/>
  <c r="AF500" i="1" a="1"/>
  <c r="AF500" i="1" s="1"/>
  <c r="AG500" i="1" s="1"/>
  <c r="AF501" i="1" a="1"/>
  <c r="AF501" i="1" s="1"/>
  <c r="AG501" i="1" s="1"/>
  <c r="AF502" i="1" a="1"/>
  <c r="AF502" i="1" s="1"/>
  <c r="AG502" i="1" s="1"/>
  <c r="AF503" i="1" a="1"/>
  <c r="AF503" i="1" s="1"/>
  <c r="AG503" i="1" s="1"/>
  <c r="AF504" i="1" a="1"/>
  <c r="AF504" i="1" s="1"/>
  <c r="AG504" i="1" s="1"/>
  <c r="AF505" i="1" a="1"/>
  <c r="AF505" i="1" s="1"/>
  <c r="AG505" i="1" s="1"/>
  <c r="AF506" i="1" a="1"/>
  <c r="AF506" i="1" s="1"/>
  <c r="AG506" i="1" s="1"/>
  <c r="AF507" i="1" a="1"/>
  <c r="AF507" i="1" s="1"/>
  <c r="AG507" i="1" s="1"/>
  <c r="AF508" i="1" a="1"/>
  <c r="AF508" i="1" s="1"/>
  <c r="AG508" i="1" s="1"/>
  <c r="AF509" i="1" a="1"/>
  <c r="AF509" i="1" s="1"/>
  <c r="AG509" i="1" s="1"/>
  <c r="AF510" i="1" a="1"/>
  <c r="AF510" i="1" s="1"/>
  <c r="AG510" i="1" s="1"/>
  <c r="AF511" i="1" a="1"/>
  <c r="AF511" i="1" s="1"/>
  <c r="AG511" i="1" s="1"/>
  <c r="AF512" i="1" a="1"/>
  <c r="AF512" i="1" s="1"/>
  <c r="AG512" i="1" s="1"/>
  <c r="AF513" i="1" a="1"/>
  <c r="AF513" i="1" s="1"/>
  <c r="AG513" i="1" s="1"/>
  <c r="AF514" i="1" a="1"/>
  <c r="AF514" i="1" s="1"/>
  <c r="AG514" i="1" s="1"/>
  <c r="AF515" i="1" a="1"/>
  <c r="AF515" i="1" s="1"/>
  <c r="AG515" i="1" s="1"/>
  <c r="AF516" i="1" a="1"/>
  <c r="AF516" i="1" s="1"/>
  <c r="AG516" i="1" s="1"/>
  <c r="AF517" i="1" a="1"/>
  <c r="AF517" i="1" s="1"/>
  <c r="AG517" i="1" s="1"/>
  <c r="AF518" i="1" a="1"/>
  <c r="AF518" i="1" s="1"/>
  <c r="AG518" i="1" s="1"/>
  <c r="AF519" i="1" a="1"/>
  <c r="AF519" i="1" s="1"/>
  <c r="AG519" i="1" s="1"/>
  <c r="AF520" i="1" a="1"/>
  <c r="AF520" i="1" s="1"/>
  <c r="AG520" i="1" s="1"/>
  <c r="AF521" i="1" a="1"/>
  <c r="AF521" i="1" s="1"/>
  <c r="AG521" i="1" s="1"/>
  <c r="AF522" i="1" a="1"/>
  <c r="AF522" i="1" s="1"/>
  <c r="AG522" i="1" s="1"/>
  <c r="AF523" i="1" a="1"/>
  <c r="AF523" i="1" s="1"/>
  <c r="AG523" i="1" s="1"/>
  <c r="AF524" i="1" a="1"/>
  <c r="AF524" i="1" s="1"/>
  <c r="AG524" i="1" s="1"/>
  <c r="AF525" i="1" a="1"/>
  <c r="AF525" i="1" s="1"/>
  <c r="AG525" i="1" s="1"/>
  <c r="AF526" i="1" a="1"/>
  <c r="AF526" i="1" s="1"/>
  <c r="AG526" i="1" s="1"/>
  <c r="AF527" i="1" a="1"/>
  <c r="AF527" i="1" s="1"/>
  <c r="AG527" i="1" s="1"/>
  <c r="AF528" i="1" a="1"/>
  <c r="AF528" i="1" s="1"/>
  <c r="AG528" i="1" s="1"/>
  <c r="AF529" i="1" a="1"/>
  <c r="AF529" i="1" s="1"/>
  <c r="AG529" i="1" s="1"/>
  <c r="AF530" i="1" a="1"/>
  <c r="AF530" i="1" s="1"/>
  <c r="AG530" i="1" s="1"/>
  <c r="AF531" i="1" a="1"/>
  <c r="AF531" i="1" s="1"/>
  <c r="AG531" i="1" s="1"/>
  <c r="AF532" i="1" a="1"/>
  <c r="AF532" i="1" s="1"/>
  <c r="AG532" i="1" s="1"/>
  <c r="AF533" i="1" a="1"/>
  <c r="AF533" i="1" s="1"/>
  <c r="AG533" i="1" s="1"/>
  <c r="AF534" i="1" a="1"/>
  <c r="AF534" i="1" s="1"/>
  <c r="AG534" i="1" s="1"/>
  <c r="AF535" i="1" a="1"/>
  <c r="AF535" i="1" s="1"/>
  <c r="AG535" i="1" s="1"/>
  <c r="AF536" i="1" a="1"/>
  <c r="AF536" i="1" s="1"/>
  <c r="AG536" i="1" s="1"/>
  <c r="AF537" i="1" a="1"/>
  <c r="AF537" i="1" s="1"/>
  <c r="AG537" i="1" s="1"/>
  <c r="AF538" i="1" a="1"/>
  <c r="AF538" i="1" s="1"/>
  <c r="AG538" i="1" s="1"/>
  <c r="AF539" i="1" a="1"/>
  <c r="AF539" i="1" s="1"/>
  <c r="AG539" i="1" s="1"/>
  <c r="AF540" i="1" a="1"/>
  <c r="AF540" i="1" s="1"/>
  <c r="AG540" i="1" s="1"/>
  <c r="AF541" i="1" a="1"/>
  <c r="AF541" i="1" s="1"/>
  <c r="AG541" i="1" s="1"/>
  <c r="AF542" i="1" a="1"/>
  <c r="AF542" i="1" s="1"/>
  <c r="AG542" i="1" s="1"/>
  <c r="AF543" i="1" a="1"/>
  <c r="AF543" i="1" s="1"/>
  <c r="AG543" i="1" s="1"/>
  <c r="AF544" i="1" a="1"/>
  <c r="AF544" i="1" s="1"/>
  <c r="AG544" i="1" s="1"/>
  <c r="AF545" i="1" a="1"/>
  <c r="AF545" i="1" s="1"/>
  <c r="AG545" i="1" s="1"/>
  <c r="AF546" i="1" a="1"/>
  <c r="AF546" i="1" s="1"/>
  <c r="AG546" i="1" s="1"/>
  <c r="AF547" i="1" a="1"/>
  <c r="AF547" i="1" s="1"/>
  <c r="AG547" i="1" s="1"/>
  <c r="AF548" i="1" a="1"/>
  <c r="AF548" i="1" s="1"/>
  <c r="AG548" i="1" s="1"/>
  <c r="AF549" i="1" a="1"/>
  <c r="AF549" i="1" s="1"/>
  <c r="AG549" i="1" s="1"/>
  <c r="AF550" i="1" a="1"/>
  <c r="AF550" i="1" s="1"/>
  <c r="AG550" i="1" s="1"/>
  <c r="AF551" i="1" a="1"/>
  <c r="AF551" i="1" s="1"/>
  <c r="AG551" i="1" s="1"/>
  <c r="AF552" i="1" a="1"/>
  <c r="AF552" i="1" s="1"/>
  <c r="AG552" i="1" s="1"/>
  <c r="AF553" i="1" a="1"/>
  <c r="AF553" i="1" s="1"/>
  <c r="AG553" i="1" s="1"/>
  <c r="AF554" i="1" a="1"/>
  <c r="AF554" i="1" s="1"/>
  <c r="AG554" i="1" s="1"/>
  <c r="AF555" i="1" a="1"/>
  <c r="AF555" i="1" s="1"/>
  <c r="AG555" i="1" s="1"/>
  <c r="AF556" i="1" a="1"/>
  <c r="AF556" i="1" s="1"/>
  <c r="AG556" i="1" s="1"/>
  <c r="AF557" i="1" a="1"/>
  <c r="AF557" i="1" s="1"/>
  <c r="AG557" i="1" s="1"/>
  <c r="AF3" i="1" a="1"/>
  <c r="AF3" i="1" s="1"/>
  <c r="A104" i="7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03" i="7"/>
  <c r="J373" i="1"/>
  <c r="J374" i="1" s="1"/>
  <c r="J375" i="1" s="1"/>
  <c r="J376" i="1" s="1"/>
  <c r="J377" i="1" s="1"/>
  <c r="J378" i="1" s="1"/>
  <c r="J379" i="1" s="1"/>
  <c r="J380" i="1" s="1"/>
  <c r="J381" i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J393" i="1" s="1"/>
  <c r="J394" i="1" s="1"/>
  <c r="J395" i="1" s="1"/>
  <c r="J396" i="1" s="1"/>
  <c r="J397" i="1" s="1"/>
  <c r="J398" i="1" s="1"/>
  <c r="J399" i="1" s="1"/>
  <c r="J400" i="1" s="1"/>
  <c r="J401" i="1" s="1"/>
  <c r="J402" i="1" s="1"/>
  <c r="J403" i="1" s="1"/>
  <c r="J404" i="1" s="1"/>
  <c r="J405" i="1" s="1"/>
  <c r="J406" i="1" s="1"/>
  <c r="J407" i="1" s="1"/>
  <c r="J408" i="1" s="1"/>
  <c r="J409" i="1" s="1"/>
  <c r="J410" i="1" s="1"/>
  <c r="J411" i="1" s="1"/>
  <c r="J412" i="1" s="1"/>
  <c r="J413" i="1" s="1"/>
  <c r="J414" i="1"/>
  <c r="J415" i="1" s="1"/>
  <c r="J416" i="1" s="1"/>
  <c r="J417" i="1" s="1"/>
  <c r="J418" i="1" s="1"/>
  <c r="J419" i="1" s="1"/>
  <c r="J420" i="1" s="1"/>
  <c r="J421" i="1" s="1"/>
  <c r="J422" i="1" s="1"/>
  <c r="J423" i="1" s="1"/>
  <c r="J424" i="1" s="1"/>
  <c r="J425" i="1"/>
  <c r="J426" i="1" s="1"/>
  <c r="J427" i="1" s="1"/>
  <c r="J428" i="1" s="1"/>
  <c r="J429" i="1" s="1"/>
  <c r="J430" i="1" s="1"/>
  <c r="J431" i="1" s="1"/>
  <c r="J432" i="1" s="1"/>
  <c r="J433" i="1" s="1"/>
  <c r="J434" i="1"/>
  <c r="J435" i="1" s="1"/>
  <c r="J436" i="1" s="1"/>
  <c r="J437" i="1" s="1"/>
  <c r="J438" i="1" s="1"/>
  <c r="J439" i="1" s="1"/>
  <c r="J440" i="1" s="1"/>
  <c r="J441" i="1" s="1"/>
  <c r="J442" i="1" s="1"/>
  <c r="J443" i="1" s="1"/>
  <c r="J444" i="1" s="1"/>
  <c r="J445" i="1" s="1"/>
  <c r="J446" i="1" s="1"/>
  <c r="J447" i="1" s="1"/>
  <c r="J448" i="1" s="1"/>
  <c r="J449" i="1" s="1"/>
  <c r="J450" i="1" s="1"/>
  <c r="J451" i="1" s="1"/>
  <c r="J452" i="1" s="1"/>
  <c r="J453" i="1" s="1"/>
  <c r="J454" i="1" s="1"/>
  <c r="J455" i="1" s="1"/>
  <c r="J456" i="1" s="1"/>
  <c r="J457" i="1" s="1"/>
  <c r="J458" i="1" s="1"/>
  <c r="J459" i="1" s="1"/>
  <c r="J460" i="1" s="1"/>
  <c r="J461" i="1"/>
  <c r="J462" i="1" s="1"/>
  <c r="J463" i="1" s="1"/>
  <c r="J464" i="1" s="1"/>
  <c r="J465" i="1" s="1"/>
  <c r="J466" i="1" s="1"/>
  <c r="J467" i="1" s="1"/>
  <c r="J468" i="1" s="1"/>
  <c r="J469" i="1" s="1"/>
  <c r="J470" i="1" s="1"/>
  <c r="J471" i="1" s="1"/>
  <c r="J472" i="1" s="1"/>
  <c r="J473" i="1" s="1"/>
  <c r="J474" i="1" s="1"/>
  <c r="J475" i="1" s="1"/>
  <c r="J476" i="1" s="1"/>
  <c r="J477" i="1"/>
  <c r="J478" i="1" s="1"/>
  <c r="J479" i="1" s="1"/>
  <c r="J480" i="1" s="1"/>
  <c r="J481" i="1" s="1"/>
  <c r="J482" i="1" s="1"/>
  <c r="J483" i="1" s="1"/>
  <c r="J484" i="1" s="1"/>
  <c r="J485" i="1" s="1"/>
  <c r="J486" i="1" s="1"/>
  <c r="J487" i="1" s="1"/>
  <c r="J488" i="1" s="1"/>
  <c r="J489" i="1" s="1"/>
  <c r="J490" i="1" s="1"/>
  <c r="J491" i="1" s="1"/>
  <c r="J492" i="1" s="1"/>
  <c r="J493" i="1" s="1"/>
  <c r="J494" i="1" s="1"/>
  <c r="J495" i="1" s="1"/>
  <c r="J496" i="1" s="1"/>
  <c r="J497" i="1" s="1"/>
  <c r="J498" i="1" s="1"/>
  <c r="J499" i="1"/>
  <c r="J500" i="1" s="1"/>
  <c r="J501" i="1" s="1"/>
  <c r="J502" i="1" s="1"/>
  <c r="J503" i="1" s="1"/>
  <c r="J504" i="1" s="1"/>
  <c r="J505" i="1" s="1"/>
  <c r="J506" i="1" s="1"/>
  <c r="J507" i="1" s="1"/>
  <c r="J508" i="1" s="1"/>
  <c r="J509" i="1" s="1"/>
  <c r="J510" i="1" s="1"/>
  <c r="J511" i="1" s="1"/>
  <c r="J512" i="1" s="1"/>
  <c r="J513" i="1" s="1"/>
  <c r="J514" i="1" s="1"/>
  <c r="J515" i="1" s="1"/>
  <c r="J516" i="1"/>
  <c r="J517" i="1" s="1"/>
  <c r="J518" i="1" s="1"/>
  <c r="J519" i="1" s="1"/>
  <c r="J520" i="1" s="1"/>
  <c r="J521" i="1" s="1"/>
  <c r="J522" i="1"/>
  <c r="J523" i="1" s="1"/>
  <c r="J524" i="1" s="1"/>
  <c r="J525" i="1" s="1"/>
  <c r="J526" i="1" s="1"/>
  <c r="J527" i="1" s="1"/>
  <c r="J528" i="1" s="1"/>
  <c r="J529" i="1" s="1"/>
  <c r="J530" i="1" s="1"/>
  <c r="J531" i="1"/>
  <c r="J532" i="1" s="1"/>
  <c r="J533" i="1" s="1"/>
  <c r="J534" i="1" s="1"/>
  <c r="J535" i="1" s="1"/>
  <c r="J536" i="1" s="1"/>
  <c r="J537" i="1" s="1"/>
  <c r="J538" i="1" s="1"/>
  <c r="J539" i="1" s="1"/>
  <c r="J540" i="1" s="1"/>
  <c r="J541" i="1" s="1"/>
  <c r="J542" i="1"/>
  <c r="J543" i="1" s="1"/>
  <c r="J544" i="1" s="1"/>
  <c r="J545" i="1" s="1"/>
  <c r="J546" i="1" s="1"/>
  <c r="J547" i="1" s="1"/>
  <c r="J548" i="1" s="1"/>
  <c r="J549" i="1" s="1"/>
  <c r="J550" i="1" s="1"/>
  <c r="J551" i="1" s="1"/>
  <c r="J552" i="1" s="1"/>
  <c r="J553" i="1" s="1"/>
  <c r="J554" i="1" s="1"/>
  <c r="J555" i="1" s="1"/>
  <c r="J556" i="1" s="1"/>
  <c r="J557" i="1" s="1"/>
  <c r="AC372" i="1"/>
  <c r="AE372" i="1"/>
  <c r="AH372" i="1"/>
  <c r="S372" i="1"/>
  <c r="U372" i="1" s="1"/>
  <c r="M372" i="1"/>
  <c r="N372" i="1" s="1"/>
  <c r="P372" i="1"/>
  <c r="H372" i="1"/>
  <c r="B372" i="1"/>
  <c r="C372" i="1"/>
  <c r="B373" i="1"/>
  <c r="C373" i="1"/>
  <c r="B374" i="1"/>
  <c r="C374" i="1"/>
  <c r="B375" i="1"/>
  <c r="C375" i="1"/>
  <c r="B376" i="1"/>
  <c r="C376" i="1"/>
  <c r="B377" i="1"/>
  <c r="C377" i="1"/>
  <c r="Y377" i="1" s="1"/>
  <c r="B378" i="1"/>
  <c r="C378" i="1"/>
  <c r="Y378" i="1" s="1"/>
  <c r="B379" i="1"/>
  <c r="C379" i="1"/>
  <c r="B380" i="1"/>
  <c r="C380" i="1"/>
  <c r="B381" i="1"/>
  <c r="C381" i="1"/>
  <c r="Y381" i="1" s="1"/>
  <c r="B382" i="1"/>
  <c r="C382" i="1"/>
  <c r="Y382" i="1" s="1"/>
  <c r="B383" i="1"/>
  <c r="C383" i="1"/>
  <c r="Y383" i="1" s="1"/>
  <c r="B384" i="1"/>
  <c r="C384" i="1"/>
  <c r="Y384" i="1" s="1"/>
  <c r="B385" i="1"/>
  <c r="C385" i="1"/>
  <c r="Y385" i="1" s="1"/>
  <c r="B386" i="1"/>
  <c r="C386" i="1"/>
  <c r="Y386" i="1" s="1"/>
  <c r="B387" i="1"/>
  <c r="C387" i="1"/>
  <c r="Y387" i="1" s="1"/>
  <c r="B388" i="1"/>
  <c r="C388" i="1"/>
  <c r="Y388" i="1" s="1"/>
  <c r="B389" i="1"/>
  <c r="C389" i="1"/>
  <c r="Y389" i="1" s="1"/>
  <c r="B390" i="1"/>
  <c r="C390" i="1"/>
  <c r="Y390" i="1" s="1"/>
  <c r="B391" i="1"/>
  <c r="C391" i="1"/>
  <c r="B392" i="1"/>
  <c r="C392" i="1"/>
  <c r="B393" i="1"/>
  <c r="C393" i="1"/>
  <c r="B394" i="1"/>
  <c r="C394" i="1"/>
  <c r="B395" i="1"/>
  <c r="C395" i="1"/>
  <c r="B396" i="1"/>
  <c r="C396" i="1"/>
  <c r="B397" i="1"/>
  <c r="C397" i="1"/>
  <c r="B398" i="1"/>
  <c r="C398" i="1"/>
  <c r="B399" i="1"/>
  <c r="C399" i="1"/>
  <c r="B400" i="1"/>
  <c r="C400" i="1"/>
  <c r="B401" i="1"/>
  <c r="C401" i="1"/>
  <c r="B402" i="1"/>
  <c r="C402" i="1"/>
  <c r="B403" i="1"/>
  <c r="C403" i="1"/>
  <c r="B404" i="1"/>
  <c r="C404" i="1"/>
  <c r="B405" i="1"/>
  <c r="C405" i="1"/>
  <c r="B406" i="1"/>
  <c r="C406" i="1"/>
  <c r="B407" i="1"/>
  <c r="C407" i="1"/>
  <c r="B408" i="1"/>
  <c r="C408" i="1"/>
  <c r="B409" i="1"/>
  <c r="C409" i="1"/>
  <c r="B410" i="1"/>
  <c r="C410" i="1"/>
  <c r="B411" i="1"/>
  <c r="C411" i="1"/>
  <c r="B412" i="1"/>
  <c r="C412" i="1"/>
  <c r="B413" i="1"/>
  <c r="C413" i="1"/>
  <c r="B414" i="1"/>
  <c r="C414" i="1"/>
  <c r="Y414" i="1" s="1"/>
  <c r="B415" i="1"/>
  <c r="C415" i="1"/>
  <c r="Y415" i="1" s="1"/>
  <c r="B416" i="1"/>
  <c r="C416" i="1"/>
  <c r="Y416" i="1" s="1"/>
  <c r="B417" i="1"/>
  <c r="C417" i="1"/>
  <c r="Y417" i="1" s="1"/>
  <c r="B418" i="1"/>
  <c r="C418" i="1"/>
  <c r="Y418" i="1" s="1"/>
  <c r="B419" i="1"/>
  <c r="C419" i="1"/>
  <c r="Y419" i="1" s="1"/>
  <c r="B420" i="1"/>
  <c r="C420" i="1"/>
  <c r="Y420" i="1" s="1"/>
  <c r="B421" i="1"/>
  <c r="C421" i="1"/>
  <c r="Y421" i="1" s="1"/>
  <c r="B422" i="1"/>
  <c r="C422" i="1"/>
  <c r="B423" i="1"/>
  <c r="C423" i="1"/>
  <c r="Y423" i="1" s="1"/>
  <c r="B424" i="1"/>
  <c r="C424" i="1"/>
  <c r="B425" i="1"/>
  <c r="C425" i="1"/>
  <c r="B426" i="1"/>
  <c r="C426" i="1"/>
  <c r="Y426" i="1" s="1"/>
  <c r="B427" i="1"/>
  <c r="C427" i="1"/>
  <c r="Y427" i="1" s="1"/>
  <c r="B428" i="1"/>
  <c r="C428" i="1"/>
  <c r="B429" i="1"/>
  <c r="C429" i="1"/>
  <c r="Y429" i="1" s="1"/>
  <c r="B430" i="1"/>
  <c r="C430" i="1"/>
  <c r="Y430" i="1" s="1"/>
  <c r="B431" i="1"/>
  <c r="C431" i="1"/>
  <c r="Y431" i="1" s="1"/>
  <c r="B432" i="1"/>
  <c r="C432" i="1"/>
  <c r="B433" i="1"/>
  <c r="C433" i="1"/>
  <c r="B434" i="1"/>
  <c r="C434" i="1"/>
  <c r="B435" i="1"/>
  <c r="C435" i="1"/>
  <c r="B436" i="1"/>
  <c r="C436" i="1"/>
  <c r="B437" i="1"/>
  <c r="C437" i="1"/>
  <c r="B438" i="1"/>
  <c r="C438" i="1"/>
  <c r="B439" i="1"/>
  <c r="C439" i="1"/>
  <c r="B440" i="1"/>
  <c r="C440" i="1"/>
  <c r="Y440" i="1" s="1"/>
  <c r="B441" i="1"/>
  <c r="C441" i="1"/>
  <c r="B442" i="1"/>
  <c r="C442" i="1"/>
  <c r="B443" i="1"/>
  <c r="C443" i="1"/>
  <c r="B444" i="1"/>
  <c r="C444" i="1"/>
  <c r="B445" i="1"/>
  <c r="C445" i="1"/>
  <c r="Y445" i="1" s="1"/>
  <c r="B446" i="1"/>
  <c r="C446" i="1"/>
  <c r="B447" i="1"/>
  <c r="C447" i="1"/>
  <c r="B448" i="1"/>
  <c r="C448" i="1"/>
  <c r="B449" i="1"/>
  <c r="C449" i="1"/>
  <c r="B450" i="1"/>
  <c r="C450" i="1"/>
  <c r="B451" i="1"/>
  <c r="C451" i="1"/>
  <c r="B452" i="1"/>
  <c r="C452" i="1"/>
  <c r="B453" i="1"/>
  <c r="C453" i="1"/>
  <c r="B454" i="1"/>
  <c r="C454" i="1"/>
  <c r="B455" i="1"/>
  <c r="C455" i="1"/>
  <c r="B456" i="1"/>
  <c r="C456" i="1"/>
  <c r="B457" i="1"/>
  <c r="C457" i="1"/>
  <c r="B458" i="1"/>
  <c r="C458" i="1"/>
  <c r="B459" i="1"/>
  <c r="C459" i="1"/>
  <c r="B460" i="1"/>
  <c r="C460" i="1"/>
  <c r="B461" i="1"/>
  <c r="C461" i="1"/>
  <c r="B462" i="1"/>
  <c r="C462" i="1"/>
  <c r="B463" i="1"/>
  <c r="C463" i="1"/>
  <c r="B464" i="1"/>
  <c r="C464" i="1"/>
  <c r="Y464" i="1" s="1"/>
  <c r="B465" i="1"/>
  <c r="C465" i="1"/>
  <c r="B466" i="1"/>
  <c r="C466" i="1"/>
  <c r="B467" i="1"/>
  <c r="C467" i="1"/>
  <c r="Y467" i="1" s="1"/>
  <c r="B468" i="1"/>
  <c r="C468" i="1"/>
  <c r="Y468" i="1" s="1"/>
  <c r="B469" i="1"/>
  <c r="C469" i="1"/>
  <c r="Y469" i="1" s="1"/>
  <c r="B470" i="1"/>
  <c r="C470" i="1"/>
  <c r="Y470" i="1" s="1"/>
  <c r="B471" i="1"/>
  <c r="C471" i="1"/>
  <c r="Y471" i="1" s="1"/>
  <c r="B472" i="1"/>
  <c r="C472" i="1"/>
  <c r="Y472" i="1" s="1"/>
  <c r="B473" i="1"/>
  <c r="C473" i="1"/>
  <c r="Y473" i="1" s="1"/>
  <c r="B474" i="1"/>
  <c r="C474" i="1"/>
  <c r="Y474" i="1" s="1"/>
  <c r="B475" i="1"/>
  <c r="C475" i="1"/>
  <c r="B476" i="1"/>
  <c r="C476" i="1"/>
  <c r="B477" i="1"/>
  <c r="C477" i="1"/>
  <c r="B478" i="1"/>
  <c r="C478" i="1"/>
  <c r="Y478" i="1" s="1"/>
  <c r="B479" i="1"/>
  <c r="C479" i="1"/>
  <c r="B480" i="1"/>
  <c r="C480" i="1"/>
  <c r="B481" i="1"/>
  <c r="C481" i="1"/>
  <c r="Y481" i="1" s="1"/>
  <c r="B482" i="1"/>
  <c r="C482" i="1"/>
  <c r="Y482" i="1" s="1"/>
  <c r="B483" i="1"/>
  <c r="C483" i="1"/>
  <c r="Y483" i="1" s="1"/>
  <c r="B484" i="1"/>
  <c r="C484" i="1"/>
  <c r="B485" i="1"/>
  <c r="C485" i="1"/>
  <c r="Y485" i="1" s="1"/>
  <c r="B486" i="1"/>
  <c r="C486" i="1"/>
  <c r="Y486" i="1" s="1"/>
  <c r="B487" i="1"/>
  <c r="C487" i="1"/>
  <c r="Y487" i="1" s="1"/>
  <c r="B488" i="1"/>
  <c r="C488" i="1"/>
  <c r="Y488" i="1" s="1"/>
  <c r="B489" i="1"/>
  <c r="C489" i="1"/>
  <c r="B490" i="1"/>
  <c r="C490" i="1"/>
  <c r="B491" i="1"/>
  <c r="C491" i="1"/>
  <c r="B492" i="1"/>
  <c r="C492" i="1"/>
  <c r="Y492" i="1" s="1"/>
  <c r="B493" i="1"/>
  <c r="C493" i="1"/>
  <c r="B494" i="1"/>
  <c r="C494" i="1"/>
  <c r="B495" i="1"/>
  <c r="C495" i="1"/>
  <c r="Y495" i="1" s="1"/>
  <c r="B496" i="1"/>
  <c r="C496" i="1"/>
  <c r="B497" i="1"/>
  <c r="C497" i="1"/>
  <c r="B498" i="1"/>
  <c r="C498" i="1"/>
  <c r="B499" i="1"/>
  <c r="C499" i="1"/>
  <c r="Y499" i="1" s="1"/>
  <c r="B500" i="1"/>
  <c r="C500" i="1"/>
  <c r="Y500" i="1" s="1"/>
  <c r="B501" i="1"/>
  <c r="C501" i="1"/>
  <c r="B502" i="1"/>
  <c r="C502" i="1"/>
  <c r="B503" i="1"/>
  <c r="C503" i="1"/>
  <c r="B504" i="1"/>
  <c r="C504" i="1"/>
  <c r="B505" i="1"/>
  <c r="C505" i="1"/>
  <c r="B506" i="1"/>
  <c r="C506" i="1"/>
  <c r="B507" i="1"/>
  <c r="C507" i="1"/>
  <c r="B508" i="1"/>
  <c r="C508" i="1"/>
  <c r="B509" i="1"/>
  <c r="C509" i="1"/>
  <c r="B510" i="1"/>
  <c r="C510" i="1"/>
  <c r="B511" i="1"/>
  <c r="C511" i="1"/>
  <c r="B512" i="1"/>
  <c r="C512" i="1"/>
  <c r="B513" i="1"/>
  <c r="C513" i="1"/>
  <c r="B514" i="1"/>
  <c r="C514" i="1"/>
  <c r="B515" i="1"/>
  <c r="C515" i="1"/>
  <c r="B516" i="1"/>
  <c r="C516" i="1"/>
  <c r="Y516" i="1" s="1"/>
  <c r="B517" i="1"/>
  <c r="C517" i="1"/>
  <c r="Y517" i="1" s="1"/>
  <c r="B518" i="1"/>
  <c r="C518" i="1"/>
  <c r="Y518" i="1" s="1"/>
  <c r="B519" i="1"/>
  <c r="C519" i="1"/>
  <c r="B520" i="1"/>
  <c r="C520" i="1"/>
  <c r="B521" i="1"/>
  <c r="C521" i="1"/>
  <c r="B522" i="1"/>
  <c r="C522" i="1"/>
  <c r="B523" i="1"/>
  <c r="C523" i="1"/>
  <c r="B524" i="1"/>
  <c r="C524" i="1"/>
  <c r="B525" i="1"/>
  <c r="C525" i="1"/>
  <c r="B526" i="1"/>
  <c r="C526" i="1"/>
  <c r="B527" i="1"/>
  <c r="C527" i="1"/>
  <c r="B528" i="1"/>
  <c r="C528" i="1"/>
  <c r="B529" i="1"/>
  <c r="C529" i="1"/>
  <c r="B530" i="1"/>
  <c r="C530" i="1"/>
  <c r="B531" i="1"/>
  <c r="C531" i="1"/>
  <c r="Y531" i="1" s="1"/>
  <c r="B532" i="1"/>
  <c r="C532" i="1"/>
  <c r="Y532" i="1" s="1"/>
  <c r="B533" i="1"/>
  <c r="C533" i="1"/>
  <c r="Y533" i="1" s="1"/>
  <c r="B534" i="1"/>
  <c r="C534" i="1"/>
  <c r="Y534" i="1" s="1"/>
  <c r="B535" i="1"/>
  <c r="C535" i="1"/>
  <c r="Y535" i="1" s="1"/>
  <c r="B536" i="1"/>
  <c r="C536" i="1"/>
  <c r="Y536" i="1" s="1"/>
  <c r="B537" i="1"/>
  <c r="C537" i="1"/>
  <c r="B538" i="1"/>
  <c r="C538" i="1"/>
  <c r="B539" i="1"/>
  <c r="C539" i="1"/>
  <c r="B540" i="1"/>
  <c r="C540" i="1"/>
  <c r="B541" i="1"/>
  <c r="C541" i="1"/>
  <c r="B542" i="1"/>
  <c r="C542" i="1"/>
  <c r="Y542" i="1" s="1"/>
  <c r="B543" i="1"/>
  <c r="C543" i="1"/>
  <c r="Y543" i="1" s="1"/>
  <c r="B544" i="1"/>
  <c r="C544" i="1"/>
  <c r="Y544" i="1" s="1"/>
  <c r="B545" i="1"/>
  <c r="C545" i="1"/>
  <c r="Y545" i="1" s="1"/>
  <c r="B546" i="1"/>
  <c r="C546" i="1"/>
  <c r="Y546" i="1" s="1"/>
  <c r="B547" i="1"/>
  <c r="C547" i="1"/>
  <c r="B548" i="1"/>
  <c r="C548" i="1"/>
  <c r="B549" i="1"/>
  <c r="C549" i="1"/>
  <c r="Y549" i="1" s="1"/>
  <c r="B550" i="1"/>
  <c r="C550" i="1"/>
  <c r="B551" i="1"/>
  <c r="C551" i="1"/>
  <c r="Y551" i="1" s="1"/>
  <c r="B552" i="1"/>
  <c r="C552" i="1"/>
  <c r="Y552" i="1" s="1"/>
  <c r="B553" i="1"/>
  <c r="C553" i="1"/>
  <c r="Y553" i="1" s="1"/>
  <c r="B554" i="1"/>
  <c r="C554" i="1"/>
  <c r="Y554" i="1" s="1"/>
  <c r="B555" i="1"/>
  <c r="C555" i="1"/>
  <c r="B556" i="1"/>
  <c r="C556" i="1"/>
  <c r="B557" i="1"/>
  <c r="C557" i="1"/>
  <c r="AH555" i="1"/>
  <c r="AE555" i="1"/>
  <c r="AC555" i="1"/>
  <c r="U555" i="1"/>
  <c r="T555" i="1"/>
  <c r="S555" i="1"/>
  <c r="P555" i="1"/>
  <c r="M555" i="1"/>
  <c r="N555" i="1" s="1"/>
  <c r="H555" i="1"/>
  <c r="AC148" i="1"/>
  <c r="AE148" i="1"/>
  <c r="AH148" i="1"/>
  <c r="S148" i="1"/>
  <c r="U148" i="1" s="1"/>
  <c r="P148" i="1"/>
  <c r="M148" i="1"/>
  <c r="N148" i="1" s="1"/>
  <c r="J149" i="1"/>
  <c r="J150" i="1" s="1"/>
  <c r="J151" i="1" s="1"/>
  <c r="J152" i="1"/>
  <c r="J153" i="1" s="1"/>
  <c r="J154" i="1" s="1"/>
  <c r="J155" i="1" s="1"/>
  <c r="J156" i="1" s="1"/>
  <c r="J157" i="1" s="1"/>
  <c r="J158" i="1" s="1"/>
  <c r="J159" i="1" s="1"/>
  <c r="J160" i="1" s="1"/>
  <c r="J161" i="1"/>
  <c r="J162" i="1" s="1"/>
  <c r="J163" i="1" s="1"/>
  <c r="J164" i="1" s="1"/>
  <c r="J165" i="1" s="1"/>
  <c r="J166" i="1"/>
  <c r="J167" i="1" s="1"/>
  <c r="J168" i="1" s="1"/>
  <c r="J169" i="1" s="1"/>
  <c r="J170" i="1" s="1"/>
  <c r="J171" i="1" s="1"/>
  <c r="J172" i="1" s="1"/>
  <c r="J173" i="1" s="1"/>
  <c r="J174" i="1" s="1"/>
  <c r="J175" i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/>
  <c r="J188" i="1" s="1"/>
  <c r="J189" i="1" s="1"/>
  <c r="J190" i="1" s="1"/>
  <c r="J191" i="1" s="1"/>
  <c r="J192" i="1" s="1"/>
  <c r="J193" i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/>
  <c r="J238" i="1" s="1"/>
  <c r="J239" i="1" s="1"/>
  <c r="J240" i="1" s="1"/>
  <c r="J241" i="1" s="1"/>
  <c r="J242" i="1" s="1"/>
  <c r="J243" i="1" s="1"/>
  <c r="J244" i="1" s="1"/>
  <c r="J245" i="1" s="1"/>
  <c r="J246" i="1" s="1"/>
  <c r="J247" i="1"/>
  <c r="J248" i="1" s="1"/>
  <c r="J249" i="1" s="1"/>
  <c r="J250" i="1" s="1"/>
  <c r="J251" i="1" s="1"/>
  <c r="J252" i="1" s="1"/>
  <c r="J253" i="1" s="1"/>
  <c r="J254" i="1" s="1"/>
  <c r="J255" i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/>
  <c r="J354" i="1" s="1"/>
  <c r="J355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H148" i="1"/>
  <c r="B148" i="1"/>
  <c r="C148" i="1"/>
  <c r="B149" i="1"/>
  <c r="C149" i="1"/>
  <c r="B150" i="1"/>
  <c r="C150" i="1"/>
  <c r="Y150" i="1" s="1"/>
  <c r="B151" i="1"/>
  <c r="C151" i="1"/>
  <c r="B152" i="1"/>
  <c r="C152" i="1"/>
  <c r="B153" i="1"/>
  <c r="C153" i="1"/>
  <c r="B154" i="1"/>
  <c r="C154" i="1"/>
  <c r="B155" i="1"/>
  <c r="C155" i="1"/>
  <c r="Y155" i="1" s="1"/>
  <c r="B156" i="1"/>
  <c r="C156" i="1"/>
  <c r="B157" i="1"/>
  <c r="C157" i="1"/>
  <c r="Y157" i="1" s="1"/>
  <c r="B158" i="1"/>
  <c r="C158" i="1"/>
  <c r="B159" i="1"/>
  <c r="C159" i="1"/>
  <c r="B160" i="1"/>
  <c r="C160" i="1"/>
  <c r="B161" i="1"/>
  <c r="C161" i="1"/>
  <c r="Y161" i="1" s="1"/>
  <c r="B162" i="1"/>
  <c r="C162" i="1"/>
  <c r="Y162" i="1" s="1"/>
  <c r="B163" i="1"/>
  <c r="C163" i="1"/>
  <c r="Y163" i="1" s="1"/>
  <c r="B164" i="1"/>
  <c r="C164" i="1"/>
  <c r="B165" i="1"/>
  <c r="C165" i="1"/>
  <c r="B166" i="1"/>
  <c r="C166" i="1"/>
  <c r="Y166" i="1" s="1"/>
  <c r="B167" i="1"/>
  <c r="C167" i="1"/>
  <c r="Y167" i="1" s="1"/>
  <c r="B168" i="1"/>
  <c r="C168" i="1"/>
  <c r="Y168" i="1" s="1"/>
  <c r="B169" i="1"/>
  <c r="C169" i="1"/>
  <c r="B170" i="1"/>
  <c r="C170" i="1"/>
  <c r="B171" i="1"/>
  <c r="C171" i="1"/>
  <c r="B172" i="1"/>
  <c r="C172" i="1"/>
  <c r="B173" i="1"/>
  <c r="C173" i="1"/>
  <c r="B174" i="1"/>
  <c r="C174" i="1"/>
  <c r="B175" i="1"/>
  <c r="C175" i="1"/>
  <c r="Y175" i="1" s="1"/>
  <c r="B176" i="1"/>
  <c r="C176" i="1"/>
  <c r="Y176" i="1" s="1"/>
  <c r="B177" i="1"/>
  <c r="C177" i="1"/>
  <c r="B178" i="1"/>
  <c r="C178" i="1"/>
  <c r="B179" i="1"/>
  <c r="C179" i="1"/>
  <c r="B180" i="1"/>
  <c r="C180" i="1"/>
  <c r="B181" i="1"/>
  <c r="C181" i="1"/>
  <c r="B182" i="1"/>
  <c r="C182" i="1"/>
  <c r="B183" i="1"/>
  <c r="C183" i="1"/>
  <c r="B184" i="1"/>
  <c r="C184" i="1"/>
  <c r="B185" i="1"/>
  <c r="C185" i="1"/>
  <c r="B186" i="1"/>
  <c r="C186" i="1"/>
  <c r="B187" i="1"/>
  <c r="C187" i="1"/>
  <c r="Y187" i="1" s="1"/>
  <c r="B188" i="1"/>
  <c r="C188" i="1"/>
  <c r="Y188" i="1" s="1"/>
  <c r="B189" i="1"/>
  <c r="C189" i="1"/>
  <c r="B190" i="1"/>
  <c r="C190" i="1"/>
  <c r="B191" i="1"/>
  <c r="C191" i="1"/>
  <c r="B192" i="1"/>
  <c r="C192" i="1"/>
  <c r="B193" i="1"/>
  <c r="C193" i="1"/>
  <c r="Y193" i="1" s="1"/>
  <c r="B194" i="1"/>
  <c r="C194" i="1"/>
  <c r="Y194" i="1" s="1"/>
  <c r="B195" i="1"/>
  <c r="C195" i="1"/>
  <c r="Y195" i="1" s="1"/>
  <c r="B196" i="1"/>
  <c r="C196" i="1"/>
  <c r="Y196" i="1" s="1"/>
  <c r="B197" i="1"/>
  <c r="C197" i="1"/>
  <c r="B198" i="1"/>
  <c r="C198" i="1"/>
  <c r="B199" i="1"/>
  <c r="C199" i="1"/>
  <c r="Y199" i="1" s="1"/>
  <c r="B200" i="1"/>
  <c r="C200" i="1"/>
  <c r="B201" i="1"/>
  <c r="C201" i="1"/>
  <c r="B202" i="1"/>
  <c r="C202" i="1"/>
  <c r="B203" i="1"/>
  <c r="C203" i="1"/>
  <c r="B204" i="1"/>
  <c r="C204" i="1"/>
  <c r="B205" i="1"/>
  <c r="C205" i="1"/>
  <c r="B206" i="1"/>
  <c r="C206" i="1"/>
  <c r="Y206" i="1" s="1"/>
  <c r="B207" i="1"/>
  <c r="C207" i="1"/>
  <c r="B208" i="1"/>
  <c r="C208" i="1"/>
  <c r="Y208" i="1" s="1"/>
  <c r="B209" i="1"/>
  <c r="C209" i="1"/>
  <c r="B210" i="1"/>
  <c r="C210" i="1"/>
  <c r="B211" i="1"/>
  <c r="C211" i="1"/>
  <c r="B212" i="1"/>
  <c r="C212" i="1"/>
  <c r="B213" i="1"/>
  <c r="C213" i="1"/>
  <c r="B214" i="1"/>
  <c r="C214" i="1"/>
  <c r="B215" i="1"/>
  <c r="C215" i="1"/>
  <c r="B216" i="1"/>
  <c r="C216" i="1"/>
  <c r="B217" i="1"/>
  <c r="C217" i="1"/>
  <c r="B218" i="1"/>
  <c r="C218" i="1"/>
  <c r="B219" i="1"/>
  <c r="C219" i="1"/>
  <c r="B220" i="1"/>
  <c r="C220" i="1"/>
  <c r="B221" i="1"/>
  <c r="C221" i="1"/>
  <c r="B222" i="1"/>
  <c r="C222" i="1"/>
  <c r="B223" i="1"/>
  <c r="C223" i="1"/>
  <c r="B224" i="1"/>
  <c r="C224" i="1"/>
  <c r="B225" i="1"/>
  <c r="C225" i="1"/>
  <c r="B226" i="1"/>
  <c r="C226" i="1"/>
  <c r="Y226" i="1" s="1"/>
  <c r="B227" i="1"/>
  <c r="C227" i="1"/>
  <c r="B228" i="1"/>
  <c r="C228" i="1"/>
  <c r="B229" i="1"/>
  <c r="C229" i="1"/>
  <c r="B230" i="1"/>
  <c r="C230" i="1"/>
  <c r="B231" i="1"/>
  <c r="C231" i="1"/>
  <c r="B232" i="1"/>
  <c r="C232" i="1"/>
  <c r="B233" i="1"/>
  <c r="C233" i="1"/>
  <c r="B234" i="1"/>
  <c r="C234" i="1"/>
  <c r="B235" i="1"/>
  <c r="C235" i="1"/>
  <c r="B236" i="1"/>
  <c r="C236" i="1"/>
  <c r="B237" i="1"/>
  <c r="C237" i="1"/>
  <c r="B238" i="1"/>
  <c r="C238" i="1"/>
  <c r="B239" i="1"/>
  <c r="C239" i="1"/>
  <c r="B240" i="1"/>
  <c r="C240" i="1"/>
  <c r="B241" i="1"/>
  <c r="C241" i="1"/>
  <c r="B242" i="1"/>
  <c r="C242" i="1"/>
  <c r="Y242" i="1" s="1"/>
  <c r="B243" i="1"/>
  <c r="C243" i="1"/>
  <c r="B244" i="1"/>
  <c r="C244" i="1"/>
  <c r="B245" i="1"/>
  <c r="C245" i="1"/>
  <c r="B246" i="1"/>
  <c r="C246" i="1"/>
  <c r="B247" i="1"/>
  <c r="C247" i="1"/>
  <c r="Y247" i="1" s="1"/>
  <c r="B248" i="1"/>
  <c r="C248" i="1"/>
  <c r="B249" i="1"/>
  <c r="C249" i="1"/>
  <c r="B250" i="1"/>
  <c r="C250" i="1"/>
  <c r="B251" i="1"/>
  <c r="C251" i="1"/>
  <c r="B252" i="1"/>
  <c r="C252" i="1"/>
  <c r="B253" i="1"/>
  <c r="C253" i="1"/>
  <c r="B254" i="1"/>
  <c r="C254" i="1"/>
  <c r="B255" i="1"/>
  <c r="C255" i="1"/>
  <c r="B256" i="1"/>
  <c r="C256" i="1"/>
  <c r="B257" i="1"/>
  <c r="C257" i="1"/>
  <c r="B258" i="1"/>
  <c r="C258" i="1"/>
  <c r="B259" i="1"/>
  <c r="C259" i="1"/>
  <c r="Y259" i="1" s="1"/>
  <c r="B260" i="1"/>
  <c r="C260" i="1"/>
  <c r="Y260" i="1" s="1"/>
  <c r="B261" i="1"/>
  <c r="C261" i="1"/>
  <c r="B262" i="1"/>
  <c r="C262" i="1"/>
  <c r="B263" i="1"/>
  <c r="C263" i="1"/>
  <c r="B264" i="1"/>
  <c r="C264" i="1"/>
  <c r="B265" i="1"/>
  <c r="C265" i="1"/>
  <c r="Y265" i="1" s="1"/>
  <c r="B266" i="1"/>
  <c r="C266" i="1"/>
  <c r="B267" i="1"/>
  <c r="C267" i="1"/>
  <c r="Y267" i="1" s="1"/>
  <c r="B268" i="1"/>
  <c r="C268" i="1"/>
  <c r="B269" i="1"/>
  <c r="C269" i="1"/>
  <c r="B270" i="1"/>
  <c r="C270" i="1"/>
  <c r="B271" i="1"/>
  <c r="C271" i="1"/>
  <c r="Y271" i="1" s="1"/>
  <c r="B272" i="1"/>
  <c r="C272" i="1"/>
  <c r="Y272" i="1" s="1"/>
  <c r="B273" i="1"/>
  <c r="C273" i="1"/>
  <c r="B274" i="1"/>
  <c r="C274" i="1"/>
  <c r="B275" i="1"/>
  <c r="C275" i="1"/>
  <c r="B276" i="1"/>
  <c r="C276" i="1"/>
  <c r="B277" i="1"/>
  <c r="C277" i="1"/>
  <c r="Y277" i="1" s="1"/>
  <c r="B278" i="1"/>
  <c r="C278" i="1"/>
  <c r="B279" i="1"/>
  <c r="C279" i="1"/>
  <c r="B280" i="1"/>
  <c r="C280" i="1"/>
  <c r="Y280" i="1" s="1"/>
  <c r="B281" i="1"/>
  <c r="C281" i="1"/>
  <c r="B282" i="1"/>
  <c r="C282" i="1"/>
  <c r="Y282" i="1" s="1"/>
  <c r="B283" i="1"/>
  <c r="C283" i="1"/>
  <c r="Y283" i="1" s="1"/>
  <c r="B284" i="1"/>
  <c r="C284" i="1"/>
  <c r="B285" i="1"/>
  <c r="C285" i="1"/>
  <c r="B286" i="1"/>
  <c r="C286" i="1"/>
  <c r="Y286" i="1" s="1"/>
  <c r="B287" i="1"/>
  <c r="C287" i="1"/>
  <c r="B288" i="1"/>
  <c r="C288" i="1"/>
  <c r="B289" i="1"/>
  <c r="C289" i="1"/>
  <c r="B290" i="1"/>
  <c r="C290" i="1"/>
  <c r="Y290" i="1" s="1"/>
  <c r="B291" i="1"/>
  <c r="C291" i="1"/>
  <c r="Y291" i="1" s="1"/>
  <c r="B292" i="1"/>
  <c r="C292" i="1"/>
  <c r="B293" i="1"/>
  <c r="C293" i="1"/>
  <c r="B294" i="1"/>
  <c r="C294" i="1"/>
  <c r="B295" i="1"/>
  <c r="C295" i="1"/>
  <c r="B296" i="1"/>
  <c r="C296" i="1"/>
  <c r="B297" i="1"/>
  <c r="C297" i="1"/>
  <c r="B298" i="1"/>
  <c r="C298" i="1"/>
  <c r="B299" i="1"/>
  <c r="C299" i="1"/>
  <c r="B300" i="1"/>
  <c r="C300" i="1"/>
  <c r="B301" i="1"/>
  <c r="C301" i="1"/>
  <c r="B302" i="1"/>
  <c r="C302" i="1"/>
  <c r="B303" i="1"/>
  <c r="C303" i="1"/>
  <c r="B304" i="1"/>
  <c r="C304" i="1"/>
  <c r="B305" i="1"/>
  <c r="C305" i="1"/>
  <c r="B306" i="1"/>
  <c r="C306" i="1"/>
  <c r="B307" i="1"/>
  <c r="C307" i="1"/>
  <c r="B308" i="1"/>
  <c r="C308" i="1"/>
  <c r="B309" i="1"/>
  <c r="C309" i="1"/>
  <c r="B310" i="1"/>
  <c r="C310" i="1"/>
  <c r="B311" i="1"/>
  <c r="C311" i="1"/>
  <c r="B312" i="1"/>
  <c r="C312" i="1"/>
  <c r="B313" i="1"/>
  <c r="C313" i="1"/>
  <c r="B314" i="1"/>
  <c r="C314" i="1"/>
  <c r="B315" i="1"/>
  <c r="C315" i="1"/>
  <c r="B316" i="1"/>
  <c r="C316" i="1"/>
  <c r="B317" i="1"/>
  <c r="C317" i="1"/>
  <c r="B318" i="1"/>
  <c r="C318" i="1"/>
  <c r="B319" i="1"/>
  <c r="C319" i="1"/>
  <c r="B320" i="1"/>
  <c r="C320" i="1"/>
  <c r="B321" i="1"/>
  <c r="C321" i="1"/>
  <c r="B322" i="1"/>
  <c r="C322" i="1"/>
  <c r="B323" i="1"/>
  <c r="C323" i="1"/>
  <c r="B324" i="1"/>
  <c r="C324" i="1"/>
  <c r="B325" i="1"/>
  <c r="C325" i="1"/>
  <c r="Y325" i="1" s="1"/>
  <c r="B326" i="1"/>
  <c r="C326" i="1"/>
  <c r="B327" i="1"/>
  <c r="C327" i="1"/>
  <c r="Y327" i="1" s="1"/>
  <c r="B328" i="1"/>
  <c r="C328" i="1"/>
  <c r="B329" i="1"/>
  <c r="C329" i="1"/>
  <c r="B330" i="1"/>
  <c r="C330" i="1"/>
  <c r="B331" i="1"/>
  <c r="C331" i="1"/>
  <c r="B332" i="1"/>
  <c r="C332" i="1"/>
  <c r="B333" i="1"/>
  <c r="C333" i="1"/>
  <c r="B334" i="1"/>
  <c r="C334" i="1"/>
  <c r="B335" i="1"/>
  <c r="C335" i="1"/>
  <c r="B336" i="1"/>
  <c r="C336" i="1"/>
  <c r="B337" i="1"/>
  <c r="C337" i="1"/>
  <c r="B338" i="1"/>
  <c r="C338" i="1"/>
  <c r="B339" i="1"/>
  <c r="C339" i="1"/>
  <c r="B340" i="1"/>
  <c r="C340" i="1"/>
  <c r="B341" i="1"/>
  <c r="C341" i="1"/>
  <c r="B342" i="1"/>
  <c r="C342" i="1"/>
  <c r="B343" i="1"/>
  <c r="C343" i="1"/>
  <c r="B344" i="1"/>
  <c r="C344" i="1"/>
  <c r="B345" i="1"/>
  <c r="C345" i="1"/>
  <c r="B346" i="1"/>
  <c r="C346" i="1"/>
  <c r="B347" i="1"/>
  <c r="C347" i="1"/>
  <c r="Y347" i="1" s="1"/>
  <c r="B348" i="1"/>
  <c r="C348" i="1"/>
  <c r="Y348" i="1" s="1"/>
  <c r="B349" i="1"/>
  <c r="C349" i="1"/>
  <c r="B350" i="1"/>
  <c r="C350" i="1"/>
  <c r="Y350" i="1" s="1"/>
  <c r="B351" i="1"/>
  <c r="C351" i="1"/>
  <c r="B352" i="1"/>
  <c r="C352" i="1"/>
  <c r="B353" i="1"/>
  <c r="C353" i="1"/>
  <c r="Y353" i="1" s="1"/>
  <c r="B354" i="1"/>
  <c r="C354" i="1"/>
  <c r="Y354" i="1" s="1"/>
  <c r="B355" i="1"/>
  <c r="C355" i="1"/>
  <c r="B356" i="1"/>
  <c r="C356" i="1"/>
  <c r="Y356" i="1" s="1"/>
  <c r="B357" i="1"/>
  <c r="C357" i="1"/>
  <c r="Y357" i="1" s="1"/>
  <c r="B358" i="1"/>
  <c r="C358" i="1"/>
  <c r="Y358" i="1" s="1"/>
  <c r="B359" i="1"/>
  <c r="C359" i="1"/>
  <c r="Y359" i="1" s="1"/>
  <c r="B360" i="1"/>
  <c r="C360" i="1"/>
  <c r="B361" i="1"/>
  <c r="C361" i="1"/>
  <c r="Y361" i="1" s="1"/>
  <c r="B362" i="1"/>
  <c r="C362" i="1"/>
  <c r="Y362" i="1" s="1"/>
  <c r="B363" i="1"/>
  <c r="C363" i="1"/>
  <c r="Y363" i="1" s="1"/>
  <c r="B364" i="1"/>
  <c r="C364" i="1"/>
  <c r="Y364" i="1" s="1"/>
  <c r="B365" i="1"/>
  <c r="C365" i="1"/>
  <c r="B366" i="1"/>
  <c r="C366" i="1"/>
  <c r="B367" i="1"/>
  <c r="C367" i="1"/>
  <c r="B368" i="1"/>
  <c r="C368" i="1"/>
  <c r="B369" i="1"/>
  <c r="C369" i="1"/>
  <c r="B370" i="1"/>
  <c r="C370" i="1"/>
  <c r="B371" i="1"/>
  <c r="C371" i="1"/>
  <c r="B15" i="1"/>
  <c r="C15" i="1"/>
  <c r="B16" i="1"/>
  <c r="C16" i="1"/>
  <c r="Y16" i="1" s="1"/>
  <c r="B17" i="1"/>
  <c r="C17" i="1"/>
  <c r="Y17" i="1" s="1"/>
  <c r="B18" i="1"/>
  <c r="C18" i="1"/>
  <c r="Y18" i="1" s="1"/>
  <c r="B19" i="1"/>
  <c r="C19" i="1"/>
  <c r="Y19" i="1" s="1"/>
  <c r="B20" i="1"/>
  <c r="C20" i="1"/>
  <c r="Y20" i="1" s="1"/>
  <c r="B21" i="1"/>
  <c r="C21" i="1"/>
  <c r="B22" i="1"/>
  <c r="C22" i="1"/>
  <c r="Y22" i="1" s="1"/>
  <c r="B23" i="1"/>
  <c r="C23" i="1"/>
  <c r="Y23" i="1" s="1"/>
  <c r="B24" i="1"/>
  <c r="C24" i="1"/>
  <c r="Y24" i="1" s="1"/>
  <c r="B25" i="1"/>
  <c r="C25" i="1"/>
  <c r="Y25" i="1" s="1"/>
  <c r="B26" i="1"/>
  <c r="C26" i="1"/>
  <c r="Y26" i="1" s="1"/>
  <c r="B27" i="1"/>
  <c r="C27" i="1"/>
  <c r="Y27" i="1" s="1"/>
  <c r="B28" i="1"/>
  <c r="C28" i="1"/>
  <c r="Y28" i="1" s="1"/>
  <c r="B29" i="1"/>
  <c r="C29" i="1"/>
  <c r="Y29" i="1" s="1"/>
  <c r="B30" i="1"/>
  <c r="C30" i="1"/>
  <c r="Y30" i="1" s="1"/>
  <c r="B31" i="1"/>
  <c r="C31" i="1"/>
  <c r="Y31" i="1" s="1"/>
  <c r="B32" i="1"/>
  <c r="C32" i="1"/>
  <c r="B33" i="1"/>
  <c r="C33" i="1"/>
  <c r="B34" i="1"/>
  <c r="C34" i="1"/>
  <c r="Y34" i="1" s="1"/>
  <c r="B35" i="1"/>
  <c r="C35" i="1"/>
  <c r="Y35" i="1" s="1"/>
  <c r="B36" i="1"/>
  <c r="C36" i="1"/>
  <c r="B37" i="1"/>
  <c r="C37" i="1"/>
  <c r="B38" i="1"/>
  <c r="C38" i="1"/>
  <c r="B39" i="1"/>
  <c r="C39" i="1"/>
  <c r="B40" i="1"/>
  <c r="C40" i="1"/>
  <c r="Y40" i="1" s="1"/>
  <c r="B41" i="1"/>
  <c r="C41" i="1"/>
  <c r="Y41" i="1" s="1"/>
  <c r="B42" i="1"/>
  <c r="C42" i="1"/>
  <c r="B43" i="1"/>
  <c r="C43" i="1"/>
  <c r="Y43" i="1" s="1"/>
  <c r="B44" i="1"/>
  <c r="C44" i="1"/>
  <c r="B45" i="1"/>
  <c r="C45" i="1"/>
  <c r="B46" i="1"/>
  <c r="C46" i="1"/>
  <c r="Y46" i="1" s="1"/>
  <c r="B47" i="1"/>
  <c r="C47" i="1"/>
  <c r="Y47" i="1" s="1"/>
  <c r="B48" i="1"/>
  <c r="C48" i="1"/>
  <c r="Y48" i="1" s="1"/>
  <c r="B49" i="1"/>
  <c r="C49" i="1"/>
  <c r="Y49" i="1" s="1"/>
  <c r="B50" i="1"/>
  <c r="C50" i="1"/>
  <c r="Y50" i="1" s="1"/>
  <c r="B51" i="1"/>
  <c r="C51" i="1"/>
  <c r="B52" i="1"/>
  <c r="C52" i="1"/>
  <c r="Y52" i="1" s="1"/>
  <c r="B53" i="1"/>
  <c r="C53" i="1"/>
  <c r="Y53" i="1" s="1"/>
  <c r="B54" i="1"/>
  <c r="C54" i="1"/>
  <c r="Y54" i="1" s="1"/>
  <c r="B55" i="1"/>
  <c r="C55" i="1"/>
  <c r="Y55" i="1" s="1"/>
  <c r="B56" i="1"/>
  <c r="C56" i="1"/>
  <c r="Y56" i="1" s="1"/>
  <c r="B57" i="1"/>
  <c r="C57" i="1"/>
  <c r="Y57" i="1" s="1"/>
  <c r="B58" i="1"/>
  <c r="C58" i="1"/>
  <c r="B59" i="1"/>
  <c r="C59" i="1"/>
  <c r="B60" i="1"/>
  <c r="C60" i="1"/>
  <c r="B61" i="1"/>
  <c r="C61" i="1"/>
  <c r="B62" i="1"/>
  <c r="C62" i="1"/>
  <c r="B63" i="1"/>
  <c r="C63" i="1"/>
  <c r="B64" i="1"/>
  <c r="C64" i="1"/>
  <c r="B65" i="1"/>
  <c r="C65" i="1"/>
  <c r="B66" i="1"/>
  <c r="C66" i="1"/>
  <c r="B67" i="1"/>
  <c r="C67" i="1"/>
  <c r="B68" i="1"/>
  <c r="C68" i="1"/>
  <c r="B69" i="1"/>
  <c r="C69" i="1"/>
  <c r="B70" i="1"/>
  <c r="C70" i="1"/>
  <c r="B71" i="1"/>
  <c r="C71" i="1"/>
  <c r="B72" i="1"/>
  <c r="C72" i="1"/>
  <c r="B73" i="1"/>
  <c r="C73" i="1"/>
  <c r="B74" i="1"/>
  <c r="C74" i="1"/>
  <c r="B75" i="1"/>
  <c r="C75" i="1"/>
  <c r="B76" i="1"/>
  <c r="C76" i="1"/>
  <c r="B77" i="1"/>
  <c r="C77" i="1"/>
  <c r="B78" i="1"/>
  <c r="C78" i="1"/>
  <c r="B79" i="1"/>
  <c r="C79" i="1"/>
  <c r="B80" i="1"/>
  <c r="C80" i="1"/>
  <c r="B81" i="1"/>
  <c r="C81" i="1"/>
  <c r="Y81" i="1" s="1"/>
  <c r="B82" i="1"/>
  <c r="C82" i="1"/>
  <c r="B83" i="1"/>
  <c r="C83" i="1"/>
  <c r="B84" i="1"/>
  <c r="C84" i="1"/>
  <c r="B85" i="1"/>
  <c r="C85" i="1"/>
  <c r="B86" i="1"/>
  <c r="C86" i="1"/>
  <c r="B87" i="1"/>
  <c r="C87" i="1"/>
  <c r="B88" i="1"/>
  <c r="C88" i="1"/>
  <c r="B89" i="1"/>
  <c r="C89" i="1"/>
  <c r="B90" i="1"/>
  <c r="C90" i="1"/>
  <c r="B91" i="1"/>
  <c r="C91" i="1"/>
  <c r="B92" i="1"/>
  <c r="C92" i="1"/>
  <c r="B93" i="1"/>
  <c r="C93" i="1"/>
  <c r="B94" i="1"/>
  <c r="C94" i="1"/>
  <c r="Y94" i="1" s="1"/>
  <c r="B95" i="1"/>
  <c r="C95" i="1"/>
  <c r="Y95" i="1" s="1"/>
  <c r="B96" i="1"/>
  <c r="C96" i="1"/>
  <c r="Y96" i="1" s="1"/>
  <c r="B97" i="1"/>
  <c r="C97" i="1"/>
  <c r="B98" i="1"/>
  <c r="C98" i="1"/>
  <c r="B99" i="1"/>
  <c r="C99" i="1"/>
  <c r="Y99" i="1" s="1"/>
  <c r="B100" i="1"/>
  <c r="C100" i="1"/>
  <c r="B101" i="1"/>
  <c r="C101" i="1"/>
  <c r="Y101" i="1" s="1"/>
  <c r="B102" i="1"/>
  <c r="C102" i="1"/>
  <c r="B103" i="1"/>
  <c r="C103" i="1"/>
  <c r="B104" i="1"/>
  <c r="C104" i="1"/>
  <c r="B105" i="1"/>
  <c r="C105" i="1"/>
  <c r="B106" i="1"/>
  <c r="C106" i="1"/>
  <c r="Y106" i="1" s="1"/>
  <c r="B107" i="1"/>
  <c r="C107" i="1"/>
  <c r="Y107" i="1" s="1"/>
  <c r="B108" i="1"/>
  <c r="C108" i="1"/>
  <c r="Y108" i="1" s="1"/>
  <c r="B109" i="1"/>
  <c r="C109" i="1"/>
  <c r="Y109" i="1" s="1"/>
  <c r="B110" i="1"/>
  <c r="C110" i="1"/>
  <c r="B111" i="1"/>
  <c r="C111" i="1"/>
  <c r="Y111" i="1" s="1"/>
  <c r="B112" i="1"/>
  <c r="C112" i="1"/>
  <c r="Y112" i="1" s="1"/>
  <c r="B113" i="1"/>
  <c r="C113" i="1"/>
  <c r="B114" i="1"/>
  <c r="C114" i="1"/>
  <c r="B115" i="1"/>
  <c r="C115" i="1"/>
  <c r="B116" i="1"/>
  <c r="C116" i="1"/>
  <c r="B117" i="1"/>
  <c r="C117" i="1"/>
  <c r="Y117" i="1" s="1"/>
  <c r="B118" i="1"/>
  <c r="C118" i="1"/>
  <c r="Y118" i="1" s="1"/>
  <c r="B119" i="1"/>
  <c r="C119" i="1"/>
  <c r="B120" i="1"/>
  <c r="C120" i="1"/>
  <c r="B121" i="1"/>
  <c r="C121" i="1"/>
  <c r="B122" i="1"/>
  <c r="C122" i="1"/>
  <c r="Y122" i="1" s="1"/>
  <c r="B123" i="1"/>
  <c r="C123" i="1"/>
  <c r="Y123" i="1" s="1"/>
  <c r="B124" i="1"/>
  <c r="C124" i="1"/>
  <c r="Y124" i="1" s="1"/>
  <c r="B125" i="1"/>
  <c r="C125" i="1"/>
  <c r="B126" i="1"/>
  <c r="C126" i="1"/>
  <c r="B127" i="1"/>
  <c r="C127" i="1"/>
  <c r="Y127" i="1" s="1"/>
  <c r="B128" i="1"/>
  <c r="C128" i="1"/>
  <c r="B129" i="1"/>
  <c r="C129" i="1"/>
  <c r="B130" i="1"/>
  <c r="C130" i="1"/>
  <c r="B131" i="1"/>
  <c r="C131" i="1"/>
  <c r="B132" i="1"/>
  <c r="C132" i="1"/>
  <c r="B133" i="1"/>
  <c r="C133" i="1"/>
  <c r="B134" i="1"/>
  <c r="C134" i="1"/>
  <c r="B135" i="1"/>
  <c r="C135" i="1"/>
  <c r="B136" i="1"/>
  <c r="C136" i="1"/>
  <c r="Y136" i="1" s="1"/>
  <c r="B137" i="1"/>
  <c r="C137" i="1"/>
  <c r="Y137" i="1" s="1"/>
  <c r="B138" i="1"/>
  <c r="C138" i="1"/>
  <c r="Y138" i="1" s="1"/>
  <c r="B139" i="1"/>
  <c r="C139" i="1"/>
  <c r="Y139" i="1" s="1"/>
  <c r="B140" i="1"/>
  <c r="C140" i="1"/>
  <c r="B141" i="1"/>
  <c r="C141" i="1"/>
  <c r="B142" i="1"/>
  <c r="C142" i="1"/>
  <c r="B143" i="1"/>
  <c r="C143" i="1"/>
  <c r="B144" i="1"/>
  <c r="C144" i="1"/>
  <c r="B145" i="1"/>
  <c r="C145" i="1"/>
  <c r="B146" i="1"/>
  <c r="C146" i="1"/>
  <c r="B147" i="1"/>
  <c r="C147" i="1"/>
  <c r="AH15" i="1"/>
  <c r="AC15" i="1"/>
  <c r="AE15" i="1"/>
  <c r="S15" i="1"/>
  <c r="U15" i="1" s="1"/>
  <c r="P15" i="1"/>
  <c r="M15" i="1"/>
  <c r="N15" i="1" s="1"/>
  <c r="J16" i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/>
  <c r="J116" i="1" s="1"/>
  <c r="J117" i="1"/>
  <c r="J118" i="1" s="1"/>
  <c r="J119" i="1" s="1"/>
  <c r="J120" i="1" s="1"/>
  <c r="J121" i="1" s="1"/>
  <c r="J122" i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H15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Y12" i="1" s="1"/>
  <c r="B13" i="1"/>
  <c r="C13" i="1"/>
  <c r="B14" i="1"/>
  <c r="C14" i="1"/>
  <c r="AH330" i="1"/>
  <c r="AE330" i="1"/>
  <c r="AC330" i="1"/>
  <c r="U330" i="1"/>
  <c r="T330" i="1"/>
  <c r="S330" i="1"/>
  <c r="P330" i="1"/>
  <c r="M330" i="1"/>
  <c r="N330" i="1" s="1"/>
  <c r="H330" i="1"/>
  <c r="AH329" i="1"/>
  <c r="AE329" i="1"/>
  <c r="AC329" i="1"/>
  <c r="U329" i="1"/>
  <c r="T329" i="1"/>
  <c r="S329" i="1"/>
  <c r="P329" i="1"/>
  <c r="M329" i="1"/>
  <c r="N329" i="1" s="1"/>
  <c r="H329" i="1"/>
  <c r="AH328" i="1"/>
  <c r="AE328" i="1"/>
  <c r="AC328" i="1"/>
  <c r="U328" i="1"/>
  <c r="T328" i="1"/>
  <c r="S328" i="1"/>
  <c r="P328" i="1"/>
  <c r="M328" i="1"/>
  <c r="N328" i="1" s="1"/>
  <c r="H328" i="1"/>
  <c r="AH4" i="1" l="1"/>
  <c r="AH5" i="1"/>
  <c r="AH6" i="1"/>
  <c r="AH7" i="1"/>
  <c r="AH8" i="1"/>
  <c r="AH9" i="1"/>
  <c r="AH10" i="1"/>
  <c r="AH11" i="1"/>
  <c r="AH12" i="1"/>
  <c r="AH13" i="1"/>
  <c r="AH14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6" i="1"/>
  <c r="AH557" i="1"/>
  <c r="AH3" i="1"/>
  <c r="AE37" i="1"/>
  <c r="AC37" i="1"/>
  <c r="U37" i="1"/>
  <c r="T37" i="1"/>
  <c r="S37" i="1"/>
  <c r="P37" i="1"/>
  <c r="M37" i="1"/>
  <c r="N37" i="1" s="1"/>
  <c r="H37" i="1"/>
  <c r="AE36" i="1"/>
  <c r="AC36" i="1"/>
  <c r="U36" i="1"/>
  <c r="T36" i="1"/>
  <c r="S36" i="1"/>
  <c r="P36" i="1"/>
  <c r="M36" i="1"/>
  <c r="N36" i="1" s="1"/>
  <c r="H36" i="1"/>
  <c r="AE287" i="1"/>
  <c r="AC287" i="1"/>
  <c r="U287" i="1"/>
  <c r="T287" i="1"/>
  <c r="S287" i="1"/>
  <c r="P287" i="1"/>
  <c r="M287" i="1"/>
  <c r="N287" i="1" s="1"/>
  <c r="H287" i="1"/>
  <c r="AE369" i="1"/>
  <c r="AC369" i="1"/>
  <c r="U369" i="1"/>
  <c r="T369" i="1"/>
  <c r="S369" i="1"/>
  <c r="P369" i="1"/>
  <c r="M369" i="1"/>
  <c r="N369" i="1" s="1"/>
  <c r="H369" i="1"/>
  <c r="AE294" i="1"/>
  <c r="AC294" i="1"/>
  <c r="U294" i="1"/>
  <c r="T294" i="1"/>
  <c r="S294" i="1"/>
  <c r="P294" i="1"/>
  <c r="M294" i="1"/>
  <c r="N294" i="1" s="1"/>
  <c r="H294" i="1"/>
  <c r="AE293" i="1"/>
  <c r="AC293" i="1"/>
  <c r="U293" i="1"/>
  <c r="T293" i="1"/>
  <c r="S293" i="1"/>
  <c r="P293" i="1"/>
  <c r="M293" i="1"/>
  <c r="N293" i="1" s="1"/>
  <c r="H293" i="1"/>
  <c r="AE292" i="1"/>
  <c r="AC292" i="1"/>
  <c r="U292" i="1"/>
  <c r="T292" i="1"/>
  <c r="S292" i="1"/>
  <c r="P292" i="1"/>
  <c r="M292" i="1"/>
  <c r="N292" i="1" s="1"/>
  <c r="H292" i="1"/>
  <c r="AE204" i="1"/>
  <c r="AC204" i="1"/>
  <c r="U204" i="1"/>
  <c r="T204" i="1"/>
  <c r="S204" i="1"/>
  <c r="P204" i="1"/>
  <c r="M204" i="1"/>
  <c r="N204" i="1" s="1"/>
  <c r="H204" i="1"/>
  <c r="AE203" i="1"/>
  <c r="AC203" i="1"/>
  <c r="U203" i="1"/>
  <c r="T203" i="1"/>
  <c r="S203" i="1"/>
  <c r="P203" i="1"/>
  <c r="M203" i="1"/>
  <c r="N203" i="1" s="1"/>
  <c r="H203" i="1"/>
  <c r="AE245" i="1"/>
  <c r="AC245" i="1"/>
  <c r="U245" i="1"/>
  <c r="T245" i="1"/>
  <c r="S245" i="1"/>
  <c r="P245" i="1"/>
  <c r="M245" i="1"/>
  <c r="N245" i="1" s="1"/>
  <c r="H245" i="1"/>
  <c r="AE244" i="1"/>
  <c r="AC244" i="1"/>
  <c r="U244" i="1"/>
  <c r="T244" i="1"/>
  <c r="S244" i="1"/>
  <c r="P244" i="1"/>
  <c r="M244" i="1"/>
  <c r="N244" i="1" s="1"/>
  <c r="H244" i="1"/>
  <c r="AE164" i="1"/>
  <c r="AC164" i="1"/>
  <c r="U164" i="1"/>
  <c r="T164" i="1"/>
  <c r="S164" i="1"/>
  <c r="P164" i="1"/>
  <c r="M164" i="1"/>
  <c r="N164" i="1" s="1"/>
  <c r="H164" i="1"/>
  <c r="AE119" i="1"/>
  <c r="AC119" i="1"/>
  <c r="U119" i="1"/>
  <c r="T119" i="1"/>
  <c r="S119" i="1"/>
  <c r="P119" i="1"/>
  <c r="M119" i="1"/>
  <c r="N119" i="1" s="1"/>
  <c r="H119" i="1"/>
  <c r="AE529" i="1"/>
  <c r="AC529" i="1"/>
  <c r="U529" i="1"/>
  <c r="T529" i="1"/>
  <c r="S529" i="1"/>
  <c r="P529" i="1"/>
  <c r="M529" i="1"/>
  <c r="N529" i="1" s="1"/>
  <c r="H529" i="1"/>
  <c r="AE528" i="1"/>
  <c r="AC528" i="1"/>
  <c r="U528" i="1"/>
  <c r="T528" i="1"/>
  <c r="S528" i="1"/>
  <c r="P528" i="1"/>
  <c r="M528" i="1"/>
  <c r="N528" i="1" s="1"/>
  <c r="H528" i="1"/>
  <c r="AE527" i="1"/>
  <c r="AC527" i="1"/>
  <c r="U527" i="1"/>
  <c r="T527" i="1"/>
  <c r="S527" i="1"/>
  <c r="P527" i="1"/>
  <c r="M527" i="1"/>
  <c r="N527" i="1" s="1"/>
  <c r="H527" i="1"/>
  <c r="AE526" i="1"/>
  <c r="AC526" i="1"/>
  <c r="U526" i="1"/>
  <c r="T526" i="1"/>
  <c r="S526" i="1"/>
  <c r="P526" i="1"/>
  <c r="M526" i="1"/>
  <c r="N526" i="1" s="1"/>
  <c r="H526" i="1"/>
  <c r="AE525" i="1"/>
  <c r="AC525" i="1"/>
  <c r="U525" i="1"/>
  <c r="T525" i="1"/>
  <c r="S525" i="1"/>
  <c r="P525" i="1"/>
  <c r="M525" i="1"/>
  <c r="N525" i="1" s="1"/>
  <c r="H525" i="1"/>
  <c r="AE457" i="1"/>
  <c r="AC457" i="1"/>
  <c r="U457" i="1"/>
  <c r="T457" i="1"/>
  <c r="S457" i="1"/>
  <c r="P457" i="1"/>
  <c r="M457" i="1"/>
  <c r="N457" i="1" s="1"/>
  <c r="H457" i="1"/>
  <c r="AE456" i="1"/>
  <c r="AC456" i="1"/>
  <c r="U456" i="1"/>
  <c r="T456" i="1"/>
  <c r="S456" i="1"/>
  <c r="P456" i="1"/>
  <c r="M456" i="1"/>
  <c r="N456" i="1" s="1"/>
  <c r="H456" i="1"/>
  <c r="AE455" i="1"/>
  <c r="AC455" i="1"/>
  <c r="U455" i="1"/>
  <c r="T455" i="1"/>
  <c r="S455" i="1"/>
  <c r="P455" i="1"/>
  <c r="M455" i="1"/>
  <c r="N455" i="1" s="1"/>
  <c r="H455" i="1"/>
  <c r="AE454" i="1"/>
  <c r="AC454" i="1"/>
  <c r="U454" i="1"/>
  <c r="T454" i="1"/>
  <c r="S454" i="1"/>
  <c r="P454" i="1"/>
  <c r="M454" i="1"/>
  <c r="N454" i="1" s="1"/>
  <c r="H454" i="1"/>
  <c r="AE453" i="1"/>
  <c r="AC453" i="1"/>
  <c r="U453" i="1"/>
  <c r="T453" i="1"/>
  <c r="S453" i="1"/>
  <c r="P453" i="1"/>
  <c r="M453" i="1"/>
  <c r="N453" i="1" s="1"/>
  <c r="H453" i="1"/>
  <c r="AE190" i="1"/>
  <c r="AC190" i="1"/>
  <c r="U190" i="1"/>
  <c r="T190" i="1"/>
  <c r="S190" i="1"/>
  <c r="P190" i="1"/>
  <c r="M190" i="1"/>
  <c r="N190" i="1" s="1"/>
  <c r="H190" i="1"/>
  <c r="AE189" i="1"/>
  <c r="AC189" i="1"/>
  <c r="U189" i="1"/>
  <c r="T189" i="1"/>
  <c r="S189" i="1"/>
  <c r="P189" i="1"/>
  <c r="M189" i="1"/>
  <c r="N189" i="1" s="1"/>
  <c r="H189" i="1"/>
  <c r="AE130" i="1"/>
  <c r="AC130" i="1"/>
  <c r="U130" i="1"/>
  <c r="T130" i="1"/>
  <c r="S130" i="1"/>
  <c r="P130" i="1"/>
  <c r="M130" i="1"/>
  <c r="N130" i="1" s="1"/>
  <c r="H130" i="1"/>
  <c r="AE129" i="1"/>
  <c r="AC129" i="1"/>
  <c r="U129" i="1"/>
  <c r="T129" i="1"/>
  <c r="S129" i="1"/>
  <c r="P129" i="1"/>
  <c r="M129" i="1"/>
  <c r="N129" i="1" s="1"/>
  <c r="H129" i="1"/>
  <c r="AE68" i="1"/>
  <c r="AC68" i="1"/>
  <c r="U68" i="1"/>
  <c r="T68" i="1"/>
  <c r="S68" i="1"/>
  <c r="P68" i="1"/>
  <c r="M68" i="1"/>
  <c r="N68" i="1" s="1"/>
  <c r="H68" i="1"/>
  <c r="AE67" i="1"/>
  <c r="AC67" i="1"/>
  <c r="U67" i="1"/>
  <c r="T67" i="1"/>
  <c r="S67" i="1"/>
  <c r="P67" i="1"/>
  <c r="M67" i="1"/>
  <c r="N67" i="1" s="1"/>
  <c r="H67" i="1"/>
  <c r="AE66" i="1"/>
  <c r="AC66" i="1"/>
  <c r="U66" i="1"/>
  <c r="T66" i="1"/>
  <c r="S66" i="1"/>
  <c r="P66" i="1"/>
  <c r="M66" i="1"/>
  <c r="N66" i="1" s="1"/>
  <c r="H66" i="1"/>
  <c r="AE65" i="1"/>
  <c r="AC65" i="1"/>
  <c r="U65" i="1"/>
  <c r="T65" i="1"/>
  <c r="S65" i="1"/>
  <c r="P65" i="1"/>
  <c r="M65" i="1"/>
  <c r="N65" i="1" s="1"/>
  <c r="H65" i="1"/>
  <c r="AE64" i="1"/>
  <c r="AC64" i="1"/>
  <c r="U64" i="1"/>
  <c r="T64" i="1"/>
  <c r="S64" i="1"/>
  <c r="P64" i="1"/>
  <c r="M64" i="1"/>
  <c r="N64" i="1" s="1"/>
  <c r="H64" i="1"/>
  <c r="AE13" i="1"/>
  <c r="AC13" i="1"/>
  <c r="U13" i="1"/>
  <c r="T13" i="1"/>
  <c r="S13" i="1"/>
  <c r="P13" i="1"/>
  <c r="M13" i="1"/>
  <c r="N13" i="1" s="1"/>
  <c r="H13" i="1"/>
  <c r="AE101" i="1"/>
  <c r="AC101" i="1"/>
  <c r="U101" i="1"/>
  <c r="T101" i="1"/>
  <c r="S101" i="1"/>
  <c r="P101" i="1"/>
  <c r="M101" i="1"/>
  <c r="N101" i="1" s="1"/>
  <c r="H101" i="1"/>
  <c r="AE100" i="1"/>
  <c r="AC100" i="1"/>
  <c r="U100" i="1"/>
  <c r="T100" i="1"/>
  <c r="S100" i="1"/>
  <c r="P100" i="1"/>
  <c r="M100" i="1"/>
  <c r="N100" i="1" s="1"/>
  <c r="H100" i="1"/>
  <c r="AE111" i="1"/>
  <c r="AC111" i="1"/>
  <c r="U111" i="1"/>
  <c r="T111" i="1"/>
  <c r="S111" i="1"/>
  <c r="P111" i="1"/>
  <c r="M111" i="1"/>
  <c r="N111" i="1" s="1"/>
  <c r="H111" i="1"/>
  <c r="AE110" i="1"/>
  <c r="AC110" i="1"/>
  <c r="U110" i="1"/>
  <c r="T110" i="1"/>
  <c r="S110" i="1"/>
  <c r="P110" i="1"/>
  <c r="M110" i="1"/>
  <c r="N110" i="1" s="1"/>
  <c r="H110" i="1"/>
  <c r="U17" i="3"/>
  <c r="U16" i="3"/>
  <c r="R17" i="3"/>
  <c r="R16" i="3"/>
  <c r="N16" i="3"/>
  <c r="N17" i="3"/>
  <c r="K16" i="3"/>
  <c r="K17" i="3"/>
  <c r="E16" i="3"/>
  <c r="F16" i="3"/>
  <c r="E17" i="3"/>
  <c r="F17" i="3"/>
  <c r="A16" i="3"/>
  <c r="A17" i="3"/>
  <c r="AE139" i="1"/>
  <c r="AC139" i="1"/>
  <c r="U139" i="1"/>
  <c r="T139" i="1"/>
  <c r="S139" i="1"/>
  <c r="P139" i="1"/>
  <c r="M139" i="1"/>
  <c r="N139" i="1" s="1"/>
  <c r="H139" i="1"/>
  <c r="AE138" i="1"/>
  <c r="AC138" i="1"/>
  <c r="U138" i="1"/>
  <c r="T138" i="1"/>
  <c r="S138" i="1"/>
  <c r="P138" i="1"/>
  <c r="M138" i="1"/>
  <c r="N138" i="1" s="1"/>
  <c r="H138" i="1"/>
  <c r="U21" i="3"/>
  <c r="U22" i="3"/>
  <c r="R21" i="3"/>
  <c r="R22" i="3"/>
  <c r="N21" i="3"/>
  <c r="W21" i="3" s="1"/>
  <c r="N22" i="3"/>
  <c r="E21" i="3"/>
  <c r="F21" i="3"/>
  <c r="E22" i="3"/>
  <c r="F22" i="3"/>
  <c r="A21" i="3"/>
  <c r="A22" i="3"/>
  <c r="AE350" i="1"/>
  <c r="AC350" i="1"/>
  <c r="U350" i="1"/>
  <c r="T350" i="1"/>
  <c r="S350" i="1"/>
  <c r="P350" i="1"/>
  <c r="M350" i="1"/>
  <c r="N350" i="1" s="1"/>
  <c r="H350" i="1"/>
  <c r="AE349" i="1"/>
  <c r="AC349" i="1"/>
  <c r="U349" i="1"/>
  <c r="T349" i="1"/>
  <c r="S349" i="1"/>
  <c r="P349" i="1"/>
  <c r="M349" i="1"/>
  <c r="N349" i="1" s="1"/>
  <c r="H349" i="1"/>
  <c r="AE348" i="1"/>
  <c r="AC348" i="1"/>
  <c r="U348" i="1"/>
  <c r="T348" i="1"/>
  <c r="S348" i="1"/>
  <c r="P348" i="1"/>
  <c r="M348" i="1"/>
  <c r="N348" i="1" s="1"/>
  <c r="H348" i="1"/>
  <c r="U44" i="3"/>
  <c r="U45" i="3"/>
  <c r="R44" i="3"/>
  <c r="R45" i="3"/>
  <c r="N44" i="3"/>
  <c r="N45" i="3"/>
  <c r="K44" i="3"/>
  <c r="K45" i="3"/>
  <c r="E44" i="3"/>
  <c r="F44" i="3"/>
  <c r="E45" i="3"/>
  <c r="F45" i="3"/>
  <c r="A44" i="3"/>
  <c r="A45" i="3"/>
  <c r="AE431" i="1"/>
  <c r="AC431" i="1"/>
  <c r="U431" i="1"/>
  <c r="T431" i="1"/>
  <c r="S431" i="1"/>
  <c r="P431" i="1"/>
  <c r="M431" i="1"/>
  <c r="N431" i="1" s="1"/>
  <c r="H431" i="1"/>
  <c r="AE430" i="1"/>
  <c r="AC430" i="1"/>
  <c r="U430" i="1"/>
  <c r="T430" i="1"/>
  <c r="S430" i="1"/>
  <c r="P430" i="1"/>
  <c r="M430" i="1"/>
  <c r="N430" i="1" s="1"/>
  <c r="H430" i="1"/>
  <c r="A57" i="3"/>
  <c r="A58" i="3"/>
  <c r="U57" i="3"/>
  <c r="U58" i="3"/>
  <c r="R57" i="3"/>
  <c r="R58" i="3"/>
  <c r="N57" i="3"/>
  <c r="N58" i="3"/>
  <c r="K57" i="3"/>
  <c r="K58" i="3"/>
  <c r="K59" i="3"/>
  <c r="E57" i="3"/>
  <c r="F57" i="3"/>
  <c r="E58" i="3"/>
  <c r="F58" i="3"/>
  <c r="A9" i="3"/>
  <c r="E9" i="3"/>
  <c r="F9" i="3"/>
  <c r="K9" i="3"/>
  <c r="N9" i="3"/>
  <c r="R9" i="3"/>
  <c r="U9" i="3"/>
  <c r="C2850" i="11"/>
  <c r="C2851" i="11"/>
  <c r="C2852" i="11"/>
  <c r="C2853" i="11"/>
  <c r="C2854" i="11"/>
  <c r="C2855" i="11"/>
  <c r="C2856" i="11"/>
  <c r="C2857" i="11"/>
  <c r="C2858" i="11"/>
  <c r="C2859" i="11"/>
  <c r="C2860" i="11"/>
  <c r="C2861" i="11"/>
  <c r="C2862" i="11"/>
  <c r="C2863" i="11"/>
  <c r="C2864" i="11"/>
  <c r="C2865" i="11"/>
  <c r="C2866" i="11"/>
  <c r="C2867" i="11"/>
  <c r="C2868" i="11"/>
  <c r="C2869" i="11"/>
  <c r="C2870" i="11"/>
  <c r="C2871" i="11"/>
  <c r="C2872" i="11"/>
  <c r="C2873" i="11"/>
  <c r="C2874" i="11"/>
  <c r="C2875" i="11"/>
  <c r="C2876" i="11"/>
  <c r="C2877" i="11"/>
  <c r="C2878" i="11"/>
  <c r="C2879" i="11"/>
  <c r="C2880" i="11"/>
  <c r="C2881" i="11"/>
  <c r="C2882" i="11"/>
  <c r="C2883" i="11"/>
  <c r="C2884" i="11"/>
  <c r="C2885" i="11"/>
  <c r="C2886" i="11"/>
  <c r="C2887" i="11"/>
  <c r="C2888" i="11"/>
  <c r="C2889" i="11"/>
  <c r="C2890" i="11"/>
  <c r="C2891" i="11"/>
  <c r="C2892" i="11"/>
  <c r="C2893" i="11"/>
  <c r="C2894" i="11"/>
  <c r="C2895" i="11"/>
  <c r="C2896" i="11"/>
  <c r="C2897" i="11"/>
  <c r="C2898" i="11"/>
  <c r="C2899" i="11"/>
  <c r="C2900" i="11"/>
  <c r="C2901" i="11"/>
  <c r="C2902" i="11"/>
  <c r="C2903" i="11"/>
  <c r="C2904" i="11"/>
  <c r="C2905" i="11"/>
  <c r="C2906" i="11"/>
  <c r="C2907" i="11"/>
  <c r="C2908" i="11"/>
  <c r="C2909" i="11"/>
  <c r="C2910" i="11"/>
  <c r="C2911" i="11"/>
  <c r="C2912" i="11"/>
  <c r="C2913" i="11"/>
  <c r="C2914" i="11"/>
  <c r="C2915" i="11"/>
  <c r="C2916" i="11"/>
  <c r="C2917" i="11"/>
  <c r="C2918" i="11"/>
  <c r="C2919" i="11"/>
  <c r="C2920" i="11"/>
  <c r="C2921" i="11"/>
  <c r="C2922" i="11"/>
  <c r="C2923" i="11"/>
  <c r="C2924" i="11"/>
  <c r="C2925" i="11"/>
  <c r="C2926" i="11"/>
  <c r="C2927" i="11"/>
  <c r="C2928" i="11"/>
  <c r="C2929" i="11"/>
  <c r="C2930" i="11"/>
  <c r="C2931" i="11"/>
  <c r="C2932" i="11"/>
  <c r="C2933" i="11"/>
  <c r="C2934" i="11"/>
  <c r="C2935" i="11"/>
  <c r="C2936" i="11"/>
  <c r="C2937" i="11"/>
  <c r="C2938" i="11"/>
  <c r="C2939" i="11"/>
  <c r="C2940" i="11"/>
  <c r="C2941" i="11"/>
  <c r="C2942" i="11"/>
  <c r="C2943" i="11"/>
  <c r="C2944" i="11"/>
  <c r="C2945" i="11"/>
  <c r="C2946" i="11"/>
  <c r="C2947" i="11"/>
  <c r="C2948" i="11"/>
  <c r="C2949" i="11"/>
  <c r="C2950" i="11"/>
  <c r="C2951" i="11"/>
  <c r="C2952" i="11"/>
  <c r="C2953" i="11"/>
  <c r="C2954" i="11"/>
  <c r="C2955" i="11"/>
  <c r="C2956" i="11"/>
  <c r="C2957" i="11"/>
  <c r="C2958" i="11"/>
  <c r="C2959" i="11"/>
  <c r="C2960" i="11"/>
  <c r="C2961" i="11"/>
  <c r="C2962" i="11"/>
  <c r="C2963" i="11"/>
  <c r="C2964" i="11"/>
  <c r="C2965" i="11"/>
  <c r="C2966" i="11"/>
  <c r="C2967" i="11"/>
  <c r="C2968" i="11"/>
  <c r="C2969" i="11"/>
  <c r="C2970" i="11"/>
  <c r="C2971" i="11"/>
  <c r="C2972" i="11"/>
  <c r="C2973" i="11"/>
  <c r="C2974" i="11"/>
  <c r="C2975" i="11"/>
  <c r="C2976" i="11"/>
  <c r="C2977" i="11"/>
  <c r="C2978" i="11"/>
  <c r="C2979" i="11"/>
  <c r="C2980" i="11"/>
  <c r="C2981" i="11"/>
  <c r="C2982" i="11"/>
  <c r="C2983" i="11"/>
  <c r="C2984" i="11"/>
  <c r="C2985" i="11"/>
  <c r="C2986" i="11"/>
  <c r="C2987" i="11"/>
  <c r="C2988" i="11"/>
  <c r="C2989" i="11"/>
  <c r="C2990" i="11"/>
  <c r="C2991" i="11"/>
  <c r="C2992" i="11"/>
  <c r="C2993" i="11"/>
  <c r="C2994" i="11"/>
  <c r="C2995" i="11"/>
  <c r="C2996" i="11"/>
  <c r="C2997" i="11"/>
  <c r="C2998" i="11"/>
  <c r="C2999" i="11"/>
  <c r="C3000" i="11"/>
  <c r="C3001" i="11"/>
  <c r="C3002" i="11"/>
  <c r="C3003" i="11"/>
  <c r="C3004" i="11"/>
  <c r="C3005" i="11"/>
  <c r="C3006" i="11"/>
  <c r="C3007" i="11"/>
  <c r="C3008" i="11"/>
  <c r="C3009" i="11"/>
  <c r="C3010" i="11"/>
  <c r="C3011" i="11"/>
  <c r="C3012" i="11"/>
  <c r="C3013" i="11"/>
  <c r="C3014" i="11"/>
  <c r="C3015" i="11"/>
  <c r="C3016" i="11"/>
  <c r="C3017" i="11"/>
  <c r="C3018" i="11"/>
  <c r="C3019" i="11"/>
  <c r="C3020" i="11"/>
  <c r="C3021" i="11"/>
  <c r="C3022" i="11"/>
  <c r="C3023" i="11"/>
  <c r="C3024" i="11"/>
  <c r="C3025" i="11"/>
  <c r="C3026" i="11"/>
  <c r="C3027" i="11"/>
  <c r="C3028" i="11"/>
  <c r="C3029" i="11"/>
  <c r="C3030" i="11"/>
  <c r="C3031" i="11"/>
  <c r="C3032" i="11"/>
  <c r="C3033" i="11"/>
  <c r="C3034" i="11"/>
  <c r="C3035" i="11"/>
  <c r="C3036" i="11"/>
  <c r="C3037" i="11"/>
  <c r="C3038" i="11"/>
  <c r="C3039" i="11"/>
  <c r="C3040" i="11"/>
  <c r="C3041" i="11"/>
  <c r="C3042" i="11"/>
  <c r="C3043" i="11"/>
  <c r="C3044" i="11"/>
  <c r="C3045" i="11"/>
  <c r="C3046" i="11"/>
  <c r="C3047" i="11"/>
  <c r="C3048" i="11"/>
  <c r="C3049" i="11"/>
  <c r="C3050" i="11"/>
  <c r="C3051" i="11"/>
  <c r="C3052" i="11"/>
  <c r="C3053" i="11"/>
  <c r="C3054" i="11"/>
  <c r="C3055" i="11"/>
  <c r="C3056" i="11"/>
  <c r="C3057" i="11"/>
  <c r="C3058" i="11"/>
  <c r="C3059" i="11"/>
  <c r="C3060" i="11"/>
  <c r="C3061" i="11"/>
  <c r="C3062" i="11"/>
  <c r="C3063" i="11"/>
  <c r="C3064" i="11"/>
  <c r="C3065" i="11"/>
  <c r="C3066" i="11"/>
  <c r="C3067" i="11"/>
  <c r="C3068" i="11"/>
  <c r="C3069" i="11"/>
  <c r="C3070" i="11"/>
  <c r="C3071" i="11"/>
  <c r="C3072" i="11"/>
  <c r="C3073" i="11"/>
  <c r="C3074" i="11"/>
  <c r="C3075" i="11"/>
  <c r="C3076" i="11"/>
  <c r="C3077" i="11"/>
  <c r="C3078" i="11"/>
  <c r="C3079" i="11"/>
  <c r="C3080" i="11"/>
  <c r="C3081" i="11"/>
  <c r="C3082" i="11"/>
  <c r="C3083" i="11"/>
  <c r="C3084" i="11"/>
  <c r="C3085" i="11"/>
  <c r="C3086" i="11"/>
  <c r="C3087" i="11"/>
  <c r="C3088" i="11"/>
  <c r="C3089" i="11"/>
  <c r="C3090" i="11"/>
  <c r="C3091" i="11"/>
  <c r="C3092" i="11"/>
  <c r="C3093" i="11"/>
  <c r="C3094" i="11"/>
  <c r="C3095" i="11"/>
  <c r="C3096" i="11"/>
  <c r="C3097" i="11"/>
  <c r="C3098" i="11"/>
  <c r="C3099" i="11"/>
  <c r="C3100" i="11"/>
  <c r="C3101" i="11"/>
  <c r="C3102" i="11"/>
  <c r="V17" i="3" l="1"/>
  <c r="X17" i="3" s="1"/>
  <c r="O17" i="3"/>
  <c r="W17" i="3" s="1"/>
  <c r="V16" i="3"/>
  <c r="X16" i="3" s="1"/>
  <c r="O16" i="3"/>
  <c r="W16" i="3" s="1"/>
  <c r="V22" i="3"/>
  <c r="Y22" i="3" s="1"/>
  <c r="Z22" i="3" s="1"/>
  <c r="O44" i="3"/>
  <c r="W44" i="3" s="1"/>
  <c r="V21" i="3"/>
  <c r="X21" i="3" s="1"/>
  <c r="Y21" i="3" s="1"/>
  <c r="Z21" i="3" s="1"/>
  <c r="V45" i="3"/>
  <c r="X45" i="3" s="1"/>
  <c r="V44" i="3"/>
  <c r="X44" i="3" s="1"/>
  <c r="O45" i="3"/>
  <c r="W45" i="3" s="1"/>
  <c r="V58" i="3"/>
  <c r="X58" i="3" s="1"/>
  <c r="V57" i="3"/>
  <c r="X57" i="3" s="1"/>
  <c r="O58" i="3"/>
  <c r="W58" i="3" s="1"/>
  <c r="O57" i="3"/>
  <c r="W57" i="3" s="1"/>
  <c r="V9" i="3"/>
  <c r="X9" i="3" s="1"/>
  <c r="AH9" i="3"/>
  <c r="AG9" i="3"/>
  <c r="AF9" i="3"/>
  <c r="AE9" i="3"/>
  <c r="O9" i="3"/>
  <c r="W9" i="3" s="1"/>
  <c r="Y57" i="3" l="1"/>
  <c r="Z57" i="3" s="1"/>
  <c r="Y45" i="3"/>
  <c r="Z45" i="3" s="1"/>
  <c r="Y17" i="3"/>
  <c r="Z17" i="3" s="1"/>
  <c r="Y16" i="3"/>
  <c r="Z16" i="3" s="1"/>
  <c r="Y44" i="3"/>
  <c r="Z44" i="3" s="1"/>
  <c r="Y58" i="3"/>
  <c r="Z58" i="3" s="1"/>
  <c r="Y9" i="3"/>
  <c r="Z9" i="3" s="1"/>
  <c r="P4" i="1" l="1"/>
  <c r="P5" i="1"/>
  <c r="P6" i="1"/>
  <c r="P7" i="1"/>
  <c r="P8" i="1"/>
  <c r="P9" i="1"/>
  <c r="P10" i="1"/>
  <c r="P11" i="1"/>
  <c r="P12" i="1"/>
  <c r="P14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2" i="1"/>
  <c r="P103" i="1"/>
  <c r="P104" i="1"/>
  <c r="P105" i="1"/>
  <c r="P106" i="1"/>
  <c r="P107" i="1"/>
  <c r="P108" i="1"/>
  <c r="P109" i="1"/>
  <c r="P112" i="1"/>
  <c r="P113" i="1"/>
  <c r="P114" i="1"/>
  <c r="P115" i="1"/>
  <c r="P116" i="1"/>
  <c r="P117" i="1"/>
  <c r="P118" i="1"/>
  <c r="P120" i="1"/>
  <c r="P121" i="1"/>
  <c r="P122" i="1"/>
  <c r="P123" i="1"/>
  <c r="P124" i="1"/>
  <c r="P125" i="1"/>
  <c r="P126" i="1"/>
  <c r="P127" i="1"/>
  <c r="P128" i="1"/>
  <c r="P131" i="1"/>
  <c r="P132" i="1"/>
  <c r="P133" i="1"/>
  <c r="P134" i="1"/>
  <c r="P135" i="1"/>
  <c r="P136" i="1"/>
  <c r="P137" i="1"/>
  <c r="P140" i="1"/>
  <c r="P141" i="1"/>
  <c r="P142" i="1"/>
  <c r="P143" i="1"/>
  <c r="P144" i="1"/>
  <c r="P145" i="1"/>
  <c r="P146" i="1"/>
  <c r="P147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8" i="1"/>
  <c r="P289" i="1"/>
  <c r="P290" i="1"/>
  <c r="P291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70" i="1"/>
  <c r="P371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6" i="1"/>
  <c r="P557" i="1"/>
  <c r="P3" i="1"/>
  <c r="F27" i="11"/>
  <c r="F28" i="11" s="1"/>
  <c r="F29" i="11" s="1"/>
  <c r="F30" i="11" s="1"/>
  <c r="F31" i="11" s="1"/>
  <c r="F32" i="11" s="1"/>
  <c r="F33" i="11" s="1"/>
  <c r="F34" i="11" s="1"/>
  <c r="F35" i="11" s="1"/>
  <c r="F36" i="11" s="1"/>
  <c r="D13" i="19"/>
  <c r="B8" i="21"/>
  <c r="B9" i="21" s="1"/>
  <c r="B10" i="21" s="1"/>
  <c r="B11" i="21" s="1"/>
  <c r="B12" i="21" s="1"/>
  <c r="B13" i="21" s="1"/>
  <c r="B14" i="21" s="1"/>
  <c r="B15" i="21" s="1"/>
  <c r="B16" i="21" s="1"/>
  <c r="B17" i="21" s="1"/>
  <c r="D9" i="13"/>
  <c r="C9" i="13"/>
  <c r="D19" i="19"/>
  <c r="D18" i="19"/>
  <c r="D17" i="19"/>
  <c r="D16" i="19"/>
  <c r="D15" i="19"/>
  <c r="D14" i="19"/>
  <c r="C19" i="19"/>
  <c r="C18" i="19"/>
  <c r="C17" i="19"/>
  <c r="E13" i="15"/>
  <c r="E12" i="15"/>
  <c r="E11" i="15"/>
  <c r="E10" i="15"/>
  <c r="E9" i="15"/>
  <c r="E8" i="15"/>
  <c r="E7" i="15"/>
  <c r="C8" i="22"/>
  <c r="E9" i="22"/>
  <c r="G10" i="22"/>
  <c r="C12" i="22"/>
  <c r="E13" i="22"/>
  <c r="G14" i="22"/>
  <c r="C16" i="22"/>
  <c r="E17" i="22"/>
  <c r="G18" i="22"/>
  <c r="C20" i="22"/>
  <c r="E21" i="22"/>
  <c r="G12" i="22"/>
  <c r="C14" i="22"/>
  <c r="E19" i="22"/>
  <c r="H19" i="22"/>
  <c r="D8" i="22"/>
  <c r="F9" i="22"/>
  <c r="H10" i="22"/>
  <c r="D12" i="22"/>
  <c r="F13" i="22"/>
  <c r="H14" i="22"/>
  <c r="D16" i="22"/>
  <c r="F17" i="22"/>
  <c r="H18" i="22"/>
  <c r="D20" i="22"/>
  <c r="F21" i="22"/>
  <c r="E11" i="22"/>
  <c r="C18" i="22"/>
  <c r="G20" i="22"/>
  <c r="E8" i="22"/>
  <c r="G9" i="22"/>
  <c r="C11" i="22"/>
  <c r="E12" i="22"/>
  <c r="G13" i="22"/>
  <c r="C15" i="22"/>
  <c r="E16" i="22"/>
  <c r="G17" i="22"/>
  <c r="C19" i="22"/>
  <c r="E20" i="22"/>
  <c r="G21" i="22"/>
  <c r="C10" i="22"/>
  <c r="G16" i="22"/>
  <c r="F8" i="22"/>
  <c r="H9" i="22"/>
  <c r="D11" i="22"/>
  <c r="F12" i="22"/>
  <c r="H13" i="22"/>
  <c r="D15" i="22"/>
  <c r="F16" i="22"/>
  <c r="H17" i="22"/>
  <c r="D19" i="22"/>
  <c r="F20" i="22"/>
  <c r="H21" i="22"/>
  <c r="G8" i="22"/>
  <c r="E15" i="22"/>
  <c r="H8" i="22"/>
  <c r="D10" i="22"/>
  <c r="F11" i="22"/>
  <c r="H12" i="22"/>
  <c r="D14" i="22"/>
  <c r="F15" i="22"/>
  <c r="H16" i="22"/>
  <c r="D18" i="22"/>
  <c r="F19" i="22"/>
  <c r="H20" i="22"/>
  <c r="F10" i="22"/>
  <c r="D13" i="22"/>
  <c r="H15" i="22"/>
  <c r="F18" i="22"/>
  <c r="C9" i="22"/>
  <c r="E10" i="22"/>
  <c r="G11" i="22"/>
  <c r="C13" i="22"/>
  <c r="E14" i="22"/>
  <c r="G15" i="22"/>
  <c r="C17" i="22"/>
  <c r="E18" i="22"/>
  <c r="G19" i="22"/>
  <c r="C21" i="22"/>
  <c r="D9" i="22"/>
  <c r="H11" i="22"/>
  <c r="F14" i="22"/>
  <c r="D17" i="22"/>
  <c r="D21" i="22"/>
  <c r="H7" i="22"/>
  <c r="G7" i="22"/>
  <c r="F7" i="22"/>
  <c r="E7" i="22"/>
  <c r="D7" i="22"/>
  <c r="C7" i="22"/>
  <c r="H8" i="13"/>
  <c r="G8" i="13"/>
  <c r="F8" i="13"/>
  <c r="E8" i="13"/>
  <c r="D8" i="13"/>
  <c r="C8" i="13"/>
  <c r="D21" i="19"/>
  <c r="D20" i="19"/>
  <c r="C21" i="19"/>
  <c r="C20" i="19"/>
  <c r="E18" i="21"/>
  <c r="D18" i="21"/>
  <c r="C18" i="21"/>
  <c r="C8" i="21"/>
  <c r="E10" i="21"/>
  <c r="D13" i="21"/>
  <c r="C16" i="21"/>
  <c r="D8" i="21"/>
  <c r="C11" i="21"/>
  <c r="E13" i="21"/>
  <c r="D16" i="21"/>
  <c r="E8" i="21"/>
  <c r="D11" i="21"/>
  <c r="C14" i="21"/>
  <c r="E16" i="21"/>
  <c r="E9" i="21"/>
  <c r="E17" i="21"/>
  <c r="C9" i="21"/>
  <c r="E11" i="21"/>
  <c r="D14" i="21"/>
  <c r="C17" i="21"/>
  <c r="D12" i="21"/>
  <c r="D9" i="21"/>
  <c r="C12" i="21"/>
  <c r="E14" i="21"/>
  <c r="D17" i="21"/>
  <c r="C15" i="21"/>
  <c r="C10" i="21"/>
  <c r="E12" i="21"/>
  <c r="D15" i="21"/>
  <c r="D10" i="21"/>
  <c r="C13" i="21"/>
  <c r="E15" i="21"/>
  <c r="E7" i="21"/>
  <c r="D7" i="21"/>
  <c r="C7" i="21"/>
  <c r="C7" i="13"/>
  <c r="L36" i="11"/>
  <c r="K30" i="11"/>
  <c r="J28" i="11"/>
  <c r="I34" i="11"/>
  <c r="I26" i="11"/>
  <c r="H28" i="11"/>
  <c r="H27" i="11"/>
  <c r="I35" i="11"/>
  <c r="G26" i="11"/>
  <c r="K32" i="11"/>
  <c r="L30" i="11"/>
  <c r="J31" i="11"/>
  <c r="J29" i="11"/>
  <c r="J26" i="11"/>
  <c r="H31" i="11"/>
  <c r="G34" i="11"/>
  <c r="L34" i="11"/>
  <c r="L37" i="11"/>
  <c r="L32" i="11"/>
  <c r="L35" i="11"/>
  <c r="K35" i="11"/>
  <c r="I28" i="11"/>
  <c r="I33" i="11"/>
  <c r="G31" i="11"/>
  <c r="G36" i="11"/>
  <c r="G33" i="11"/>
  <c r="J34" i="11"/>
  <c r="K37" i="11"/>
  <c r="K27" i="11"/>
  <c r="L33" i="11"/>
  <c r="K29" i="11"/>
  <c r="I36" i="11"/>
  <c r="I32" i="11"/>
  <c r="G29" i="11"/>
  <c r="H33" i="11"/>
  <c r="H30" i="11"/>
  <c r="G35" i="11"/>
  <c r="J32" i="11"/>
  <c r="J37" i="11"/>
  <c r="L28" i="11"/>
  <c r="K28" i="11"/>
  <c r="L26" i="11"/>
  <c r="I29" i="11"/>
  <c r="I31" i="11"/>
  <c r="H36" i="11"/>
  <c r="H29" i="11"/>
  <c r="H35" i="11"/>
  <c r="H32" i="11"/>
  <c r="G37" i="11"/>
  <c r="G28" i="11"/>
  <c r="I37" i="11"/>
  <c r="K36" i="11"/>
  <c r="L27" i="11"/>
  <c r="K26" i="11"/>
  <c r="J27" i="11"/>
  <c r="J36" i="11"/>
  <c r="G30" i="11"/>
  <c r="H37" i="11"/>
  <c r="L31" i="11"/>
  <c r="K34" i="11"/>
  <c r="J35" i="11"/>
  <c r="J33" i="11"/>
  <c r="I27" i="11"/>
  <c r="G32" i="11"/>
  <c r="G27" i="11"/>
  <c r="H26" i="11"/>
  <c r="L29" i="11"/>
  <c r="H34" i="11"/>
  <c r="D13" i="15" l="1"/>
  <c r="D12" i="15"/>
  <c r="D11" i="15"/>
  <c r="D10" i="15"/>
  <c r="D9" i="15"/>
  <c r="D8" i="15"/>
  <c r="D7" i="15"/>
  <c r="C13" i="15"/>
  <c r="C12" i="15"/>
  <c r="C11" i="15"/>
  <c r="C10" i="15"/>
  <c r="C9" i="15"/>
  <c r="C8" i="15"/>
  <c r="C7" i="15"/>
  <c r="C16" i="19"/>
  <c r="C15" i="19"/>
  <c r="C14" i="19"/>
  <c r="C13" i="19"/>
  <c r="G10" i="12"/>
  <c r="F10" i="12"/>
  <c r="E10" i="12"/>
  <c r="D10" i="12"/>
  <c r="C10" i="12"/>
  <c r="B10" i="12"/>
  <c r="G9" i="12"/>
  <c r="F9" i="12"/>
  <c r="E9" i="12"/>
  <c r="D9" i="12"/>
  <c r="C9" i="12"/>
  <c r="B9" i="12"/>
  <c r="G8" i="12"/>
  <c r="F8" i="12"/>
  <c r="E8" i="12"/>
  <c r="D8" i="12"/>
  <c r="C8" i="12"/>
  <c r="B8" i="12"/>
  <c r="G7" i="12"/>
  <c r="F7" i="12"/>
  <c r="E7" i="12"/>
  <c r="D7" i="12"/>
  <c r="C7" i="12"/>
  <c r="B7" i="12"/>
  <c r="E7" i="19"/>
  <c r="D7" i="19"/>
  <c r="C7" i="19"/>
  <c r="F7" i="19"/>
  <c r="K31" i="11"/>
  <c r="K33" i="11"/>
  <c r="M21" i="18" l="1"/>
  <c r="O23" i="18"/>
  <c r="O22" i="18"/>
  <c r="O21" i="18"/>
  <c r="U5" i="1"/>
  <c r="U6" i="1"/>
  <c r="U7" i="1"/>
  <c r="U8" i="1"/>
  <c r="U9" i="1"/>
  <c r="U10" i="1"/>
  <c r="U11" i="1"/>
  <c r="U12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40" i="1"/>
  <c r="U41" i="1"/>
  <c r="U42" i="1"/>
  <c r="U43" i="1"/>
  <c r="U44" i="1"/>
  <c r="U45" i="1"/>
  <c r="U46" i="1"/>
  <c r="U47" i="1"/>
  <c r="U48" i="1"/>
  <c r="U49" i="1"/>
  <c r="U50" i="1"/>
  <c r="U52" i="1"/>
  <c r="U53" i="1"/>
  <c r="U54" i="1"/>
  <c r="U55" i="1"/>
  <c r="U56" i="1"/>
  <c r="U57" i="1"/>
  <c r="U58" i="1"/>
  <c r="U59" i="1"/>
  <c r="U60" i="1"/>
  <c r="U61" i="1"/>
  <c r="U80" i="1"/>
  <c r="U81" i="1"/>
  <c r="U82" i="1"/>
  <c r="U91" i="1"/>
  <c r="U92" i="1"/>
  <c r="U93" i="1"/>
  <c r="U94" i="1"/>
  <c r="U95" i="1"/>
  <c r="U96" i="1"/>
  <c r="U97" i="1"/>
  <c r="U98" i="1"/>
  <c r="U99" i="1"/>
  <c r="U102" i="1"/>
  <c r="U103" i="1"/>
  <c r="U104" i="1"/>
  <c r="U105" i="1"/>
  <c r="U106" i="1"/>
  <c r="U107" i="1"/>
  <c r="U108" i="1"/>
  <c r="U109" i="1"/>
  <c r="U112" i="1"/>
  <c r="U115" i="1"/>
  <c r="U117" i="1"/>
  <c r="U118" i="1"/>
  <c r="U122" i="1"/>
  <c r="U123" i="1"/>
  <c r="U124" i="1"/>
  <c r="U125" i="1"/>
  <c r="U126" i="1"/>
  <c r="U127" i="1"/>
  <c r="U128" i="1"/>
  <c r="U136" i="1"/>
  <c r="U137" i="1"/>
  <c r="U149" i="1"/>
  <c r="U150" i="1"/>
  <c r="U152" i="1"/>
  <c r="U153" i="1"/>
  <c r="U154" i="1"/>
  <c r="U155" i="1"/>
  <c r="U156" i="1"/>
  <c r="U157" i="1"/>
  <c r="U161" i="1"/>
  <c r="U162" i="1"/>
  <c r="U163" i="1"/>
  <c r="U166" i="1"/>
  <c r="U167" i="1"/>
  <c r="U168" i="1"/>
  <c r="U175" i="1"/>
  <c r="U176" i="1"/>
  <c r="U177" i="1"/>
  <c r="U178" i="1"/>
  <c r="U179" i="1"/>
  <c r="U187" i="1"/>
  <c r="U188" i="1"/>
  <c r="U193" i="1"/>
  <c r="U194" i="1"/>
  <c r="U195" i="1"/>
  <c r="U196" i="1"/>
  <c r="U197" i="1"/>
  <c r="U198" i="1"/>
  <c r="U199" i="1"/>
  <c r="U200" i="1"/>
  <c r="U201" i="1"/>
  <c r="U202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7" i="1"/>
  <c r="U238" i="1"/>
  <c r="U239" i="1"/>
  <c r="U240" i="1"/>
  <c r="U241" i="1"/>
  <c r="U242" i="1"/>
  <c r="U243" i="1"/>
  <c r="U247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90" i="1"/>
  <c r="U291" i="1"/>
  <c r="U305" i="1"/>
  <c r="U306" i="1"/>
  <c r="U307" i="1"/>
  <c r="U317" i="1"/>
  <c r="U318" i="1"/>
  <c r="U319" i="1"/>
  <c r="U320" i="1"/>
  <c r="U321" i="1"/>
  <c r="U322" i="1"/>
  <c r="U323" i="1"/>
  <c r="U324" i="1"/>
  <c r="U325" i="1"/>
  <c r="U326" i="1"/>
  <c r="U327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73" i="1"/>
  <c r="U374" i="1"/>
  <c r="U375" i="1"/>
  <c r="U376" i="1"/>
  <c r="U377" i="1"/>
  <c r="U378" i="1"/>
  <c r="U381" i="1"/>
  <c r="U382" i="1"/>
  <c r="U383" i="1"/>
  <c r="U384" i="1"/>
  <c r="U385" i="1"/>
  <c r="U386" i="1"/>
  <c r="U387" i="1"/>
  <c r="U388" i="1"/>
  <c r="U389" i="1"/>
  <c r="U390" i="1"/>
  <c r="U414" i="1"/>
  <c r="U415" i="1"/>
  <c r="U416" i="1"/>
  <c r="U417" i="1"/>
  <c r="U418" i="1"/>
  <c r="U419" i="1"/>
  <c r="U420" i="1"/>
  <c r="U421" i="1"/>
  <c r="U422" i="1"/>
  <c r="U423" i="1"/>
  <c r="U425" i="1"/>
  <c r="U426" i="1"/>
  <c r="U427" i="1"/>
  <c r="U428" i="1"/>
  <c r="U429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9" i="1"/>
  <c r="U500" i="1"/>
  <c r="U501" i="1"/>
  <c r="U516" i="1"/>
  <c r="U517" i="1"/>
  <c r="U518" i="1"/>
  <c r="U522" i="1"/>
  <c r="U523" i="1"/>
  <c r="U524" i="1"/>
  <c r="U531" i="1"/>
  <c r="U532" i="1"/>
  <c r="U533" i="1"/>
  <c r="U534" i="1"/>
  <c r="U535" i="1"/>
  <c r="U536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3" i="1"/>
  <c r="O10" i="18"/>
  <c r="P10" i="18"/>
  <c r="L10" i="18"/>
  <c r="K10" i="18"/>
  <c r="N10" i="18"/>
  <c r="M10" i="18"/>
  <c r="O9" i="18"/>
  <c r="P9" i="18"/>
  <c r="L9" i="18"/>
  <c r="K9" i="18"/>
  <c r="N9" i="18"/>
  <c r="M9" i="18"/>
  <c r="O8" i="18"/>
  <c r="P8" i="18"/>
  <c r="L8" i="18"/>
  <c r="K8" i="18"/>
  <c r="N8" i="18"/>
  <c r="M8" i="18"/>
  <c r="O7" i="18"/>
  <c r="P7" i="18"/>
  <c r="L7" i="18"/>
  <c r="K7" i="18"/>
  <c r="N7" i="18"/>
  <c r="M7" i="18"/>
  <c r="L13" i="18"/>
  <c r="L12" i="18"/>
  <c r="L11" i="18"/>
  <c r="K13" i="18"/>
  <c r="K12" i="18"/>
  <c r="K11" i="18"/>
  <c r="N13" i="18"/>
  <c r="N12" i="18"/>
  <c r="N11" i="18"/>
  <c r="M13" i="18"/>
  <c r="M12" i="18"/>
  <c r="M11" i="18"/>
  <c r="N21" i="18"/>
  <c r="L23" i="18"/>
  <c r="L21" i="18"/>
  <c r="N23" i="18"/>
  <c r="L22" i="18"/>
  <c r="P22" i="18" l="1"/>
  <c r="P21" i="18"/>
  <c r="P23" i="18"/>
  <c r="O13" i="18"/>
  <c r="P13" i="18"/>
  <c r="O12" i="18"/>
  <c r="P12" i="18"/>
  <c r="O11" i="18"/>
  <c r="P11" i="18"/>
  <c r="S3" i="1"/>
  <c r="T554" i="1"/>
  <c r="T553" i="1"/>
  <c r="T552" i="1"/>
  <c r="T551" i="1"/>
  <c r="T550" i="1"/>
  <c r="T549" i="1"/>
  <c r="T548" i="1"/>
  <c r="T547" i="1"/>
  <c r="T546" i="1"/>
  <c r="T545" i="1"/>
  <c r="T544" i="1"/>
  <c r="T543" i="1"/>
  <c r="T542" i="1"/>
  <c r="T536" i="1"/>
  <c r="T535" i="1"/>
  <c r="T534" i="1"/>
  <c r="T533" i="1"/>
  <c r="T532" i="1"/>
  <c r="T531" i="1"/>
  <c r="T524" i="1"/>
  <c r="T523" i="1"/>
  <c r="T522" i="1"/>
  <c r="T518" i="1"/>
  <c r="T517" i="1"/>
  <c r="T516" i="1"/>
  <c r="T501" i="1"/>
  <c r="T500" i="1"/>
  <c r="T499" i="1"/>
  <c r="T495" i="1"/>
  <c r="T494" i="1"/>
  <c r="T493" i="1"/>
  <c r="T492" i="1"/>
  <c r="T491" i="1"/>
  <c r="T490" i="1"/>
  <c r="T489" i="1"/>
  <c r="T488" i="1"/>
  <c r="T487" i="1"/>
  <c r="T486" i="1"/>
  <c r="T485" i="1"/>
  <c r="T484" i="1"/>
  <c r="T483" i="1"/>
  <c r="T482" i="1"/>
  <c r="T481" i="1"/>
  <c r="T480" i="1"/>
  <c r="T479" i="1"/>
  <c r="T478" i="1"/>
  <c r="T477" i="1"/>
  <c r="T474" i="1"/>
  <c r="T473" i="1"/>
  <c r="T472" i="1"/>
  <c r="T471" i="1"/>
  <c r="T470" i="1"/>
  <c r="T469" i="1"/>
  <c r="T468" i="1"/>
  <c r="T467" i="1"/>
  <c r="T466" i="1"/>
  <c r="T465" i="1"/>
  <c r="T464" i="1"/>
  <c r="T463" i="1"/>
  <c r="T462" i="1"/>
  <c r="T461" i="1"/>
  <c r="T452" i="1"/>
  <c r="T451" i="1"/>
  <c r="T450" i="1"/>
  <c r="T449" i="1"/>
  <c r="T448" i="1"/>
  <c r="T447" i="1"/>
  <c r="T446" i="1"/>
  <c r="T445" i="1"/>
  <c r="T444" i="1"/>
  <c r="T443" i="1"/>
  <c r="T442" i="1"/>
  <c r="T441" i="1"/>
  <c r="T440" i="1"/>
  <c r="T439" i="1"/>
  <c r="T438" i="1"/>
  <c r="T437" i="1"/>
  <c r="T436" i="1"/>
  <c r="T435" i="1"/>
  <c r="T434" i="1"/>
  <c r="T429" i="1"/>
  <c r="T428" i="1"/>
  <c r="T427" i="1"/>
  <c r="T426" i="1"/>
  <c r="T425" i="1"/>
  <c r="T423" i="1"/>
  <c r="T422" i="1"/>
  <c r="T421" i="1"/>
  <c r="T420" i="1"/>
  <c r="T419" i="1"/>
  <c r="T418" i="1"/>
  <c r="T417" i="1"/>
  <c r="T416" i="1"/>
  <c r="T415" i="1"/>
  <c r="T414" i="1"/>
  <c r="T390" i="1"/>
  <c r="T389" i="1"/>
  <c r="T388" i="1"/>
  <c r="T387" i="1"/>
  <c r="T386" i="1"/>
  <c r="T385" i="1"/>
  <c r="T384" i="1"/>
  <c r="T383" i="1"/>
  <c r="T382" i="1"/>
  <c r="T381" i="1"/>
  <c r="T378" i="1"/>
  <c r="T377" i="1"/>
  <c r="T376" i="1"/>
  <c r="T375" i="1"/>
  <c r="T374" i="1"/>
  <c r="T373" i="1"/>
  <c r="T368" i="1"/>
  <c r="T367" i="1"/>
  <c r="T366" i="1"/>
  <c r="T365" i="1"/>
  <c r="T364" i="1"/>
  <c r="T363" i="1"/>
  <c r="T362" i="1"/>
  <c r="T361" i="1"/>
  <c r="T360" i="1"/>
  <c r="T359" i="1"/>
  <c r="T358" i="1"/>
  <c r="T357" i="1"/>
  <c r="T356" i="1"/>
  <c r="T355" i="1"/>
  <c r="T354" i="1"/>
  <c r="T353" i="1"/>
  <c r="T347" i="1"/>
  <c r="T346" i="1"/>
  <c r="T345" i="1"/>
  <c r="T344" i="1"/>
  <c r="T343" i="1"/>
  <c r="T342" i="1"/>
  <c r="T341" i="1"/>
  <c r="T340" i="1"/>
  <c r="T339" i="1"/>
  <c r="T338" i="1"/>
  <c r="T337" i="1"/>
  <c r="T336" i="1"/>
  <c r="T335" i="1"/>
  <c r="T334" i="1"/>
  <c r="T333" i="1"/>
  <c r="T332" i="1"/>
  <c r="T331" i="1"/>
  <c r="T327" i="1"/>
  <c r="T326" i="1"/>
  <c r="T325" i="1"/>
  <c r="T324" i="1"/>
  <c r="T323" i="1"/>
  <c r="T322" i="1"/>
  <c r="T321" i="1"/>
  <c r="T320" i="1"/>
  <c r="T319" i="1"/>
  <c r="T318" i="1"/>
  <c r="T317" i="1"/>
  <c r="T307" i="1"/>
  <c r="T306" i="1"/>
  <c r="T305" i="1"/>
  <c r="T291" i="1"/>
  <c r="T290" i="1"/>
  <c r="T286" i="1"/>
  <c r="T285" i="1"/>
  <c r="T284" i="1"/>
  <c r="T283" i="1"/>
  <c r="T282" i="1"/>
  <c r="T281" i="1"/>
  <c r="T280" i="1"/>
  <c r="T279" i="1"/>
  <c r="T278" i="1"/>
  <c r="T277" i="1"/>
  <c r="T276" i="1"/>
  <c r="T275" i="1"/>
  <c r="T274" i="1"/>
  <c r="T273" i="1"/>
  <c r="T272" i="1"/>
  <c r="T271" i="1"/>
  <c r="T270" i="1"/>
  <c r="T269" i="1"/>
  <c r="T268" i="1"/>
  <c r="T267" i="1"/>
  <c r="T266" i="1"/>
  <c r="T265" i="1"/>
  <c r="T264" i="1"/>
  <c r="T263" i="1"/>
  <c r="T262" i="1"/>
  <c r="T261" i="1"/>
  <c r="T260" i="1"/>
  <c r="T259" i="1"/>
  <c r="T258" i="1"/>
  <c r="T257" i="1"/>
  <c r="T256" i="1"/>
  <c r="T255" i="1"/>
  <c r="T247" i="1"/>
  <c r="T243" i="1"/>
  <c r="T242" i="1"/>
  <c r="T241" i="1"/>
  <c r="T240" i="1"/>
  <c r="T239" i="1"/>
  <c r="T238" i="1"/>
  <c r="T237" i="1"/>
  <c r="T235" i="1"/>
  <c r="T234" i="1"/>
  <c r="T233" i="1"/>
  <c r="T232" i="1"/>
  <c r="T231" i="1"/>
  <c r="T230" i="1"/>
  <c r="T229" i="1"/>
  <c r="T228" i="1"/>
  <c r="T227" i="1"/>
  <c r="T226" i="1"/>
  <c r="T225" i="1"/>
  <c r="T224" i="1"/>
  <c r="T223" i="1"/>
  <c r="T222" i="1"/>
  <c r="T221" i="1"/>
  <c r="T220" i="1"/>
  <c r="T219" i="1"/>
  <c r="T218" i="1"/>
  <c r="T217" i="1"/>
  <c r="T216" i="1"/>
  <c r="T215" i="1"/>
  <c r="T214" i="1"/>
  <c r="T213" i="1"/>
  <c r="T212" i="1"/>
  <c r="T211" i="1"/>
  <c r="T210" i="1"/>
  <c r="T209" i="1"/>
  <c r="T208" i="1"/>
  <c r="T207" i="1"/>
  <c r="T206" i="1"/>
  <c r="T202" i="1"/>
  <c r="T201" i="1"/>
  <c r="T200" i="1"/>
  <c r="T199" i="1"/>
  <c r="T198" i="1"/>
  <c r="T197" i="1"/>
  <c r="T196" i="1"/>
  <c r="T195" i="1"/>
  <c r="T194" i="1"/>
  <c r="T193" i="1"/>
  <c r="T188" i="1"/>
  <c r="T187" i="1"/>
  <c r="T179" i="1"/>
  <c r="T178" i="1"/>
  <c r="T177" i="1"/>
  <c r="T176" i="1"/>
  <c r="T175" i="1"/>
  <c r="T168" i="1"/>
  <c r="T167" i="1"/>
  <c r="T166" i="1"/>
  <c r="T163" i="1"/>
  <c r="T162" i="1"/>
  <c r="T161" i="1"/>
  <c r="T157" i="1"/>
  <c r="T156" i="1"/>
  <c r="T155" i="1"/>
  <c r="T154" i="1"/>
  <c r="T153" i="1"/>
  <c r="T152" i="1"/>
  <c r="T150" i="1"/>
  <c r="T149" i="1"/>
  <c r="T137" i="1"/>
  <c r="T136" i="1"/>
  <c r="T128" i="1"/>
  <c r="T127" i="1"/>
  <c r="T126" i="1"/>
  <c r="T125" i="1"/>
  <c r="T124" i="1"/>
  <c r="T123" i="1"/>
  <c r="T122" i="1"/>
  <c r="T118" i="1"/>
  <c r="T117" i="1"/>
  <c r="T115" i="1"/>
  <c r="T112" i="1"/>
  <c r="T109" i="1"/>
  <c r="T108" i="1"/>
  <c r="T107" i="1"/>
  <c r="T106" i="1"/>
  <c r="T105" i="1"/>
  <c r="T104" i="1"/>
  <c r="T103" i="1"/>
  <c r="T102" i="1"/>
  <c r="T99" i="1"/>
  <c r="T98" i="1"/>
  <c r="T97" i="1"/>
  <c r="T96" i="1"/>
  <c r="T95" i="1"/>
  <c r="T94" i="1"/>
  <c r="T93" i="1"/>
  <c r="T92" i="1"/>
  <c r="T91" i="1"/>
  <c r="T82" i="1"/>
  <c r="T81" i="1"/>
  <c r="T80" i="1"/>
  <c r="T61" i="1"/>
  <c r="T60" i="1"/>
  <c r="T59" i="1"/>
  <c r="T58" i="1"/>
  <c r="T57" i="1"/>
  <c r="T56" i="1"/>
  <c r="T55" i="1"/>
  <c r="T54" i="1"/>
  <c r="T53" i="1"/>
  <c r="T52" i="1"/>
  <c r="T50" i="1"/>
  <c r="T49" i="1"/>
  <c r="T48" i="1"/>
  <c r="T47" i="1"/>
  <c r="T46" i="1"/>
  <c r="T45" i="1"/>
  <c r="T44" i="1"/>
  <c r="T43" i="1"/>
  <c r="T42" i="1"/>
  <c r="T41" i="1"/>
  <c r="T40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2" i="1"/>
  <c r="T11" i="1"/>
  <c r="T10" i="1"/>
  <c r="T9" i="1"/>
  <c r="T8" i="1"/>
  <c r="T7" i="1"/>
  <c r="T6" i="1"/>
  <c r="T5" i="1"/>
  <c r="T3" i="1"/>
  <c r="S4" i="1" l="1"/>
  <c r="U4" i="1" s="1"/>
  <c r="S5" i="1"/>
  <c r="S6" i="1"/>
  <c r="S7" i="1"/>
  <c r="S8" i="1"/>
  <c r="S9" i="1"/>
  <c r="S10" i="1"/>
  <c r="S11" i="1"/>
  <c r="S12" i="1"/>
  <c r="S14" i="1"/>
  <c r="U14" i="1" s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8" i="1"/>
  <c r="U38" i="1" s="1"/>
  <c r="S39" i="1"/>
  <c r="U39" i="1" s="1"/>
  <c r="S40" i="1"/>
  <c r="S41" i="1"/>
  <c r="S42" i="1"/>
  <c r="S43" i="1"/>
  <c r="S44" i="1"/>
  <c r="S45" i="1"/>
  <c r="S46" i="1"/>
  <c r="S47" i="1"/>
  <c r="S48" i="1"/>
  <c r="S49" i="1"/>
  <c r="S50" i="1"/>
  <c r="S51" i="1"/>
  <c r="U51" i="1" s="1"/>
  <c r="S52" i="1"/>
  <c r="S53" i="1"/>
  <c r="S54" i="1"/>
  <c r="S55" i="1"/>
  <c r="S56" i="1"/>
  <c r="S57" i="1"/>
  <c r="S58" i="1"/>
  <c r="S59" i="1"/>
  <c r="S60" i="1"/>
  <c r="S61" i="1"/>
  <c r="S62" i="1"/>
  <c r="U62" i="1" s="1"/>
  <c r="S63" i="1"/>
  <c r="U63" i="1" s="1"/>
  <c r="S69" i="1"/>
  <c r="U69" i="1" s="1"/>
  <c r="S70" i="1"/>
  <c r="U70" i="1" s="1"/>
  <c r="S71" i="1"/>
  <c r="U71" i="1" s="1"/>
  <c r="S72" i="1"/>
  <c r="U72" i="1" s="1"/>
  <c r="S73" i="1"/>
  <c r="U73" i="1" s="1"/>
  <c r="S74" i="1"/>
  <c r="U74" i="1" s="1"/>
  <c r="S75" i="1"/>
  <c r="U75" i="1" s="1"/>
  <c r="S76" i="1"/>
  <c r="U76" i="1" s="1"/>
  <c r="S77" i="1"/>
  <c r="U77" i="1" s="1"/>
  <c r="S78" i="1"/>
  <c r="U78" i="1" s="1"/>
  <c r="S79" i="1"/>
  <c r="U79" i="1" s="1"/>
  <c r="S80" i="1"/>
  <c r="S81" i="1"/>
  <c r="S82" i="1"/>
  <c r="S83" i="1"/>
  <c r="U83" i="1" s="1"/>
  <c r="S84" i="1"/>
  <c r="U84" i="1" s="1"/>
  <c r="S85" i="1"/>
  <c r="U85" i="1" s="1"/>
  <c r="S86" i="1"/>
  <c r="U86" i="1" s="1"/>
  <c r="S87" i="1"/>
  <c r="U87" i="1" s="1"/>
  <c r="S88" i="1"/>
  <c r="U88" i="1" s="1"/>
  <c r="S89" i="1"/>
  <c r="U89" i="1" s="1"/>
  <c r="S90" i="1"/>
  <c r="U90" i="1" s="1"/>
  <c r="S91" i="1"/>
  <c r="S92" i="1"/>
  <c r="S93" i="1"/>
  <c r="S94" i="1"/>
  <c r="S95" i="1"/>
  <c r="S96" i="1"/>
  <c r="S97" i="1"/>
  <c r="S98" i="1"/>
  <c r="S99" i="1"/>
  <c r="S102" i="1"/>
  <c r="S103" i="1"/>
  <c r="S104" i="1"/>
  <c r="S105" i="1"/>
  <c r="S106" i="1"/>
  <c r="S107" i="1"/>
  <c r="S108" i="1"/>
  <c r="S109" i="1"/>
  <c r="S112" i="1"/>
  <c r="S113" i="1"/>
  <c r="U113" i="1" s="1"/>
  <c r="S114" i="1"/>
  <c r="U114" i="1" s="1"/>
  <c r="S115" i="1"/>
  <c r="S116" i="1"/>
  <c r="U116" i="1" s="1"/>
  <c r="S117" i="1"/>
  <c r="S118" i="1"/>
  <c r="S120" i="1"/>
  <c r="U120" i="1" s="1"/>
  <c r="S121" i="1"/>
  <c r="U121" i="1" s="1"/>
  <c r="S122" i="1"/>
  <c r="S123" i="1"/>
  <c r="S124" i="1"/>
  <c r="S125" i="1"/>
  <c r="S126" i="1"/>
  <c r="S127" i="1"/>
  <c r="S128" i="1"/>
  <c r="S131" i="1"/>
  <c r="U131" i="1" s="1"/>
  <c r="S132" i="1"/>
  <c r="U132" i="1" s="1"/>
  <c r="S133" i="1"/>
  <c r="U133" i="1" s="1"/>
  <c r="S134" i="1"/>
  <c r="U134" i="1" s="1"/>
  <c r="S135" i="1"/>
  <c r="U135" i="1" s="1"/>
  <c r="S136" i="1"/>
  <c r="S137" i="1"/>
  <c r="S140" i="1"/>
  <c r="U140" i="1" s="1"/>
  <c r="S141" i="1"/>
  <c r="U141" i="1" s="1"/>
  <c r="S142" i="1"/>
  <c r="U142" i="1" s="1"/>
  <c r="S143" i="1"/>
  <c r="U143" i="1" s="1"/>
  <c r="S144" i="1"/>
  <c r="U144" i="1" s="1"/>
  <c r="S145" i="1"/>
  <c r="U145" i="1" s="1"/>
  <c r="S146" i="1"/>
  <c r="U146" i="1" s="1"/>
  <c r="S147" i="1"/>
  <c r="U147" i="1" s="1"/>
  <c r="S149" i="1"/>
  <c r="S150" i="1"/>
  <c r="S151" i="1"/>
  <c r="U151" i="1" s="1"/>
  <c r="S152" i="1"/>
  <c r="S153" i="1"/>
  <c r="S154" i="1"/>
  <c r="S155" i="1"/>
  <c r="S156" i="1"/>
  <c r="S157" i="1"/>
  <c r="S158" i="1"/>
  <c r="U158" i="1" s="1"/>
  <c r="S159" i="1"/>
  <c r="U159" i="1" s="1"/>
  <c r="S160" i="1"/>
  <c r="U160" i="1" s="1"/>
  <c r="S161" i="1"/>
  <c r="S162" i="1"/>
  <c r="S163" i="1"/>
  <c r="S165" i="1"/>
  <c r="U165" i="1" s="1"/>
  <c r="S166" i="1"/>
  <c r="S167" i="1"/>
  <c r="S168" i="1"/>
  <c r="S169" i="1"/>
  <c r="U169" i="1" s="1"/>
  <c r="S170" i="1"/>
  <c r="U170" i="1" s="1"/>
  <c r="S171" i="1"/>
  <c r="U171" i="1" s="1"/>
  <c r="S172" i="1"/>
  <c r="U172" i="1" s="1"/>
  <c r="S173" i="1"/>
  <c r="U173" i="1" s="1"/>
  <c r="S174" i="1"/>
  <c r="U174" i="1" s="1"/>
  <c r="S175" i="1"/>
  <c r="S176" i="1"/>
  <c r="S177" i="1"/>
  <c r="S178" i="1"/>
  <c r="S179" i="1"/>
  <c r="S180" i="1"/>
  <c r="U180" i="1" s="1"/>
  <c r="S181" i="1"/>
  <c r="U181" i="1" s="1"/>
  <c r="S182" i="1"/>
  <c r="U182" i="1" s="1"/>
  <c r="S183" i="1"/>
  <c r="U183" i="1" s="1"/>
  <c r="S184" i="1"/>
  <c r="U184" i="1" s="1"/>
  <c r="S185" i="1"/>
  <c r="U185" i="1" s="1"/>
  <c r="S186" i="1"/>
  <c r="U186" i="1" s="1"/>
  <c r="S187" i="1"/>
  <c r="S188" i="1"/>
  <c r="S191" i="1"/>
  <c r="U191" i="1" s="1"/>
  <c r="S192" i="1"/>
  <c r="U192" i="1" s="1"/>
  <c r="S193" i="1"/>
  <c r="S194" i="1"/>
  <c r="S195" i="1"/>
  <c r="S196" i="1"/>
  <c r="S197" i="1"/>
  <c r="S198" i="1"/>
  <c r="S199" i="1"/>
  <c r="S200" i="1"/>
  <c r="S201" i="1"/>
  <c r="S202" i="1"/>
  <c r="S205" i="1"/>
  <c r="U205" i="1" s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U236" i="1" s="1"/>
  <c r="S237" i="1"/>
  <c r="S238" i="1"/>
  <c r="S239" i="1"/>
  <c r="S240" i="1"/>
  <c r="S241" i="1"/>
  <c r="S242" i="1"/>
  <c r="S243" i="1"/>
  <c r="S246" i="1"/>
  <c r="U246" i="1" s="1"/>
  <c r="S247" i="1"/>
  <c r="S248" i="1"/>
  <c r="U248" i="1" s="1"/>
  <c r="S249" i="1"/>
  <c r="U249" i="1" s="1"/>
  <c r="S250" i="1"/>
  <c r="U250" i="1" s="1"/>
  <c r="S251" i="1"/>
  <c r="U251" i="1" s="1"/>
  <c r="S252" i="1"/>
  <c r="U252" i="1" s="1"/>
  <c r="S253" i="1"/>
  <c r="U253" i="1" s="1"/>
  <c r="S254" i="1"/>
  <c r="U254" i="1" s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8" i="1"/>
  <c r="U288" i="1" s="1"/>
  <c r="S289" i="1"/>
  <c r="U289" i="1" s="1"/>
  <c r="S290" i="1"/>
  <c r="S291" i="1"/>
  <c r="S295" i="1"/>
  <c r="U295" i="1" s="1"/>
  <c r="S296" i="1"/>
  <c r="U296" i="1" s="1"/>
  <c r="S297" i="1"/>
  <c r="U297" i="1" s="1"/>
  <c r="S298" i="1"/>
  <c r="U298" i="1" s="1"/>
  <c r="S299" i="1"/>
  <c r="U299" i="1" s="1"/>
  <c r="S300" i="1"/>
  <c r="U300" i="1" s="1"/>
  <c r="S301" i="1"/>
  <c r="U301" i="1" s="1"/>
  <c r="S302" i="1"/>
  <c r="U302" i="1" s="1"/>
  <c r="S303" i="1"/>
  <c r="U303" i="1" s="1"/>
  <c r="S304" i="1"/>
  <c r="U304" i="1" s="1"/>
  <c r="S305" i="1"/>
  <c r="S306" i="1"/>
  <c r="S307" i="1"/>
  <c r="S308" i="1"/>
  <c r="U308" i="1" s="1"/>
  <c r="S309" i="1"/>
  <c r="U309" i="1" s="1"/>
  <c r="S310" i="1"/>
  <c r="U310" i="1" s="1"/>
  <c r="S311" i="1"/>
  <c r="U311" i="1" s="1"/>
  <c r="S312" i="1"/>
  <c r="U312" i="1" s="1"/>
  <c r="S313" i="1"/>
  <c r="U313" i="1" s="1"/>
  <c r="S314" i="1"/>
  <c r="U314" i="1" s="1"/>
  <c r="S315" i="1"/>
  <c r="U315" i="1" s="1"/>
  <c r="S316" i="1"/>
  <c r="U316" i="1" s="1"/>
  <c r="S317" i="1"/>
  <c r="S318" i="1"/>
  <c r="S319" i="1"/>
  <c r="S320" i="1"/>
  <c r="S321" i="1"/>
  <c r="S322" i="1"/>
  <c r="S323" i="1"/>
  <c r="S324" i="1"/>
  <c r="S325" i="1"/>
  <c r="S326" i="1"/>
  <c r="S327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51" i="1"/>
  <c r="U351" i="1" s="1"/>
  <c r="S352" i="1"/>
  <c r="U352" i="1" s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70" i="1"/>
  <c r="U370" i="1" s="1"/>
  <c r="S371" i="1"/>
  <c r="U371" i="1" s="1"/>
  <c r="S373" i="1"/>
  <c r="S374" i="1"/>
  <c r="S375" i="1"/>
  <c r="S376" i="1"/>
  <c r="S377" i="1"/>
  <c r="S378" i="1"/>
  <c r="S379" i="1"/>
  <c r="U379" i="1" s="1"/>
  <c r="S380" i="1"/>
  <c r="U380" i="1" s="1"/>
  <c r="S381" i="1"/>
  <c r="S382" i="1"/>
  <c r="S383" i="1"/>
  <c r="S384" i="1"/>
  <c r="S385" i="1"/>
  <c r="S386" i="1"/>
  <c r="S387" i="1"/>
  <c r="S388" i="1"/>
  <c r="S389" i="1"/>
  <c r="S390" i="1"/>
  <c r="S391" i="1"/>
  <c r="U391" i="1" s="1"/>
  <c r="S392" i="1"/>
  <c r="U392" i="1" s="1"/>
  <c r="S393" i="1"/>
  <c r="U393" i="1" s="1"/>
  <c r="S394" i="1"/>
  <c r="U394" i="1" s="1"/>
  <c r="S395" i="1"/>
  <c r="U395" i="1" s="1"/>
  <c r="S396" i="1"/>
  <c r="U396" i="1" s="1"/>
  <c r="S397" i="1"/>
  <c r="U397" i="1" s="1"/>
  <c r="S398" i="1"/>
  <c r="U398" i="1" s="1"/>
  <c r="S399" i="1"/>
  <c r="U399" i="1" s="1"/>
  <c r="S400" i="1"/>
  <c r="U400" i="1" s="1"/>
  <c r="S401" i="1"/>
  <c r="U401" i="1" s="1"/>
  <c r="S402" i="1"/>
  <c r="U402" i="1" s="1"/>
  <c r="S403" i="1"/>
  <c r="U403" i="1" s="1"/>
  <c r="S404" i="1"/>
  <c r="U404" i="1" s="1"/>
  <c r="S405" i="1"/>
  <c r="U405" i="1" s="1"/>
  <c r="S406" i="1"/>
  <c r="U406" i="1" s="1"/>
  <c r="S407" i="1"/>
  <c r="U407" i="1" s="1"/>
  <c r="S408" i="1"/>
  <c r="U408" i="1" s="1"/>
  <c r="S409" i="1"/>
  <c r="U409" i="1" s="1"/>
  <c r="S410" i="1"/>
  <c r="U410" i="1" s="1"/>
  <c r="S411" i="1"/>
  <c r="U411" i="1" s="1"/>
  <c r="S412" i="1"/>
  <c r="U412" i="1" s="1"/>
  <c r="S413" i="1"/>
  <c r="U413" i="1" s="1"/>
  <c r="S414" i="1"/>
  <c r="S415" i="1"/>
  <c r="S416" i="1"/>
  <c r="S417" i="1"/>
  <c r="S418" i="1"/>
  <c r="S419" i="1"/>
  <c r="S420" i="1"/>
  <c r="S421" i="1"/>
  <c r="S422" i="1"/>
  <c r="S423" i="1"/>
  <c r="S424" i="1"/>
  <c r="U424" i="1" s="1"/>
  <c r="S425" i="1"/>
  <c r="S426" i="1"/>
  <c r="S427" i="1"/>
  <c r="S428" i="1"/>
  <c r="S429" i="1"/>
  <c r="S432" i="1"/>
  <c r="U432" i="1" s="1"/>
  <c r="S433" i="1"/>
  <c r="U433" i="1" s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8" i="1"/>
  <c r="U458" i="1" s="1"/>
  <c r="S459" i="1"/>
  <c r="U459" i="1" s="1"/>
  <c r="S460" i="1"/>
  <c r="U460" i="1" s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U475" i="1" s="1"/>
  <c r="S476" i="1"/>
  <c r="U476" i="1" s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U496" i="1" s="1"/>
  <c r="S497" i="1"/>
  <c r="U497" i="1" s="1"/>
  <c r="S498" i="1"/>
  <c r="U498" i="1" s="1"/>
  <c r="S499" i="1"/>
  <c r="S500" i="1"/>
  <c r="S501" i="1"/>
  <c r="S502" i="1"/>
  <c r="U502" i="1" s="1"/>
  <c r="S503" i="1"/>
  <c r="U503" i="1" s="1"/>
  <c r="S504" i="1"/>
  <c r="U504" i="1" s="1"/>
  <c r="S505" i="1"/>
  <c r="U505" i="1" s="1"/>
  <c r="S506" i="1"/>
  <c r="U506" i="1" s="1"/>
  <c r="S507" i="1"/>
  <c r="U507" i="1" s="1"/>
  <c r="S508" i="1"/>
  <c r="U508" i="1" s="1"/>
  <c r="S509" i="1"/>
  <c r="U509" i="1" s="1"/>
  <c r="S510" i="1"/>
  <c r="U510" i="1" s="1"/>
  <c r="S511" i="1"/>
  <c r="U511" i="1" s="1"/>
  <c r="S512" i="1"/>
  <c r="U512" i="1" s="1"/>
  <c r="S513" i="1"/>
  <c r="U513" i="1" s="1"/>
  <c r="S514" i="1"/>
  <c r="U514" i="1" s="1"/>
  <c r="S515" i="1"/>
  <c r="U515" i="1" s="1"/>
  <c r="S516" i="1"/>
  <c r="S517" i="1"/>
  <c r="S518" i="1"/>
  <c r="S519" i="1"/>
  <c r="U519" i="1" s="1"/>
  <c r="S520" i="1"/>
  <c r="U520" i="1" s="1"/>
  <c r="S521" i="1"/>
  <c r="U521" i="1" s="1"/>
  <c r="S522" i="1"/>
  <c r="S523" i="1"/>
  <c r="S524" i="1"/>
  <c r="S530" i="1"/>
  <c r="U530" i="1" s="1"/>
  <c r="S531" i="1"/>
  <c r="S532" i="1"/>
  <c r="S533" i="1"/>
  <c r="S534" i="1"/>
  <c r="S535" i="1"/>
  <c r="S536" i="1"/>
  <c r="S537" i="1"/>
  <c r="U537" i="1" s="1"/>
  <c r="S538" i="1"/>
  <c r="U538" i="1" s="1"/>
  <c r="S539" i="1"/>
  <c r="U539" i="1" s="1"/>
  <c r="S540" i="1"/>
  <c r="U540" i="1" s="1"/>
  <c r="S541" i="1"/>
  <c r="U541" i="1" s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6" i="1"/>
  <c r="U556" i="1" s="1"/>
  <c r="S557" i="1"/>
  <c r="U557" i="1" s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E10" i="17"/>
  <c r="D10" i="17"/>
  <c r="C10" i="17"/>
  <c r="E9" i="17"/>
  <c r="D9" i="17"/>
  <c r="C9" i="17"/>
  <c r="E8" i="17"/>
  <c r="D8" i="17"/>
  <c r="C8" i="17"/>
  <c r="E7" i="17"/>
  <c r="D7" i="17"/>
  <c r="C7" i="17"/>
  <c r="C11" i="17"/>
  <c r="D11" i="17"/>
  <c r="E11" i="17"/>
  <c r="C12" i="17"/>
  <c r="D12" i="17"/>
  <c r="E12" i="17"/>
  <c r="C13" i="17"/>
  <c r="D13" i="17"/>
  <c r="E13" i="17"/>
  <c r="D13" i="16"/>
  <c r="D12" i="16"/>
  <c r="D11" i="16"/>
  <c r="D10" i="16"/>
  <c r="D9" i="16"/>
  <c r="D8" i="16"/>
  <c r="D7" i="16"/>
  <c r="C13" i="16"/>
  <c r="C12" i="16"/>
  <c r="C11" i="16"/>
  <c r="C10" i="16"/>
  <c r="C9" i="16"/>
  <c r="C8" i="16"/>
  <c r="C7" i="16"/>
  <c r="B13" i="16"/>
  <c r="B12" i="16"/>
  <c r="B11" i="16"/>
  <c r="B10" i="16"/>
  <c r="B9" i="16"/>
  <c r="B8" i="16"/>
  <c r="B7" i="16"/>
  <c r="G13" i="15"/>
  <c r="G12" i="15"/>
  <c r="G11" i="15"/>
  <c r="G10" i="15"/>
  <c r="G9" i="15"/>
  <c r="G8" i="15"/>
  <c r="G7" i="15"/>
  <c r="F13" i="15"/>
  <c r="F12" i="15"/>
  <c r="F11" i="15"/>
  <c r="F10" i="15"/>
  <c r="F9" i="15"/>
  <c r="F8" i="15"/>
  <c r="F7" i="15"/>
  <c r="M546" i="1"/>
  <c r="N546" i="1" s="1"/>
  <c r="M543" i="1"/>
  <c r="N543" i="1" s="1"/>
  <c r="M549" i="1"/>
  <c r="N549" i="1" s="1"/>
  <c r="M545" i="1"/>
  <c r="N545" i="1" s="1"/>
  <c r="M548" i="1"/>
  <c r="N548" i="1" s="1"/>
  <c r="M547" i="1"/>
  <c r="N547" i="1" s="1"/>
  <c r="M544" i="1"/>
  <c r="N544" i="1" s="1"/>
  <c r="M542" i="1"/>
  <c r="N542" i="1" s="1"/>
  <c r="M557" i="1"/>
  <c r="N557" i="1" s="1"/>
  <c r="M556" i="1"/>
  <c r="N556" i="1" s="1"/>
  <c r="M552" i="1"/>
  <c r="N552" i="1" s="1"/>
  <c r="M551" i="1"/>
  <c r="N551" i="1" s="1"/>
  <c r="M554" i="1"/>
  <c r="N554" i="1" s="1"/>
  <c r="M553" i="1"/>
  <c r="N553" i="1" s="1"/>
  <c r="M550" i="1"/>
  <c r="N550" i="1" s="1"/>
  <c r="M532" i="1"/>
  <c r="N532" i="1" s="1"/>
  <c r="M531" i="1"/>
  <c r="N531" i="1" s="1"/>
  <c r="M539" i="1"/>
  <c r="N539" i="1" s="1"/>
  <c r="M540" i="1"/>
  <c r="N540" i="1" s="1"/>
  <c r="M541" i="1"/>
  <c r="N541" i="1" s="1"/>
  <c r="M536" i="1"/>
  <c r="N536" i="1" s="1"/>
  <c r="M535" i="1"/>
  <c r="N535" i="1" s="1"/>
  <c r="M538" i="1"/>
  <c r="N538" i="1" s="1"/>
  <c r="M534" i="1"/>
  <c r="N534" i="1" s="1"/>
  <c r="M537" i="1"/>
  <c r="N537" i="1" s="1"/>
  <c r="M533" i="1"/>
  <c r="N533" i="1" s="1"/>
  <c r="M523" i="1"/>
  <c r="N523" i="1" s="1"/>
  <c r="M530" i="1"/>
  <c r="N530" i="1" s="1"/>
  <c r="M524" i="1"/>
  <c r="N524" i="1" s="1"/>
  <c r="M522" i="1"/>
  <c r="N522" i="1" s="1"/>
  <c r="M521" i="1"/>
  <c r="N521" i="1" s="1"/>
  <c r="M518" i="1"/>
  <c r="N518" i="1" s="1"/>
  <c r="M520" i="1"/>
  <c r="N520" i="1" s="1"/>
  <c r="M519" i="1"/>
  <c r="N519" i="1" s="1"/>
  <c r="M517" i="1"/>
  <c r="N517" i="1" s="1"/>
  <c r="M516" i="1"/>
  <c r="N516" i="1" s="1"/>
  <c r="M508" i="1"/>
  <c r="N508" i="1" s="1"/>
  <c r="M505" i="1"/>
  <c r="N505" i="1" s="1"/>
  <c r="M502" i="1"/>
  <c r="N502" i="1" s="1"/>
  <c r="M506" i="1"/>
  <c r="N506" i="1" s="1"/>
  <c r="M501" i="1"/>
  <c r="N501" i="1" s="1"/>
  <c r="M510" i="1"/>
  <c r="N510" i="1" s="1"/>
  <c r="M509" i="1"/>
  <c r="N509" i="1" s="1"/>
  <c r="M504" i="1"/>
  <c r="N504" i="1" s="1"/>
  <c r="M499" i="1"/>
  <c r="N499" i="1" s="1"/>
  <c r="M515" i="1"/>
  <c r="N515" i="1" s="1"/>
  <c r="M513" i="1"/>
  <c r="N513" i="1" s="1"/>
  <c r="M514" i="1"/>
  <c r="N514" i="1" s="1"/>
  <c r="M511" i="1"/>
  <c r="N511" i="1" s="1"/>
  <c r="M500" i="1"/>
  <c r="N500" i="1" s="1"/>
  <c r="M512" i="1"/>
  <c r="N512" i="1" s="1"/>
  <c r="M507" i="1"/>
  <c r="N507" i="1" s="1"/>
  <c r="M503" i="1"/>
  <c r="N503" i="1" s="1"/>
  <c r="M490" i="1"/>
  <c r="N490" i="1" s="1"/>
  <c r="M489" i="1"/>
  <c r="N489" i="1" s="1"/>
  <c r="M495" i="1"/>
  <c r="N495" i="1" s="1"/>
  <c r="M497" i="1"/>
  <c r="N497" i="1" s="1"/>
  <c r="M493" i="1"/>
  <c r="N493" i="1" s="1"/>
  <c r="M496" i="1"/>
  <c r="N496" i="1" s="1"/>
  <c r="M494" i="1"/>
  <c r="N494" i="1" s="1"/>
  <c r="M492" i="1"/>
  <c r="N492" i="1" s="1"/>
  <c r="M491" i="1"/>
  <c r="N491" i="1" s="1"/>
  <c r="M488" i="1"/>
  <c r="N488" i="1" s="1"/>
  <c r="M485" i="1"/>
  <c r="N485" i="1" s="1"/>
  <c r="M481" i="1"/>
  <c r="N481" i="1" s="1"/>
  <c r="M487" i="1"/>
  <c r="N487" i="1" s="1"/>
  <c r="M484" i="1"/>
  <c r="N484" i="1" s="1"/>
  <c r="M480" i="1"/>
  <c r="N480" i="1" s="1"/>
  <c r="M486" i="1"/>
  <c r="N486" i="1" s="1"/>
  <c r="M483" i="1"/>
  <c r="N483" i="1" s="1"/>
  <c r="M482" i="1"/>
  <c r="N482" i="1" s="1"/>
  <c r="M479" i="1"/>
  <c r="N479" i="1" s="1"/>
  <c r="M478" i="1"/>
  <c r="N478" i="1" s="1"/>
  <c r="M477" i="1"/>
  <c r="N477" i="1" s="1"/>
  <c r="M498" i="1"/>
  <c r="N498" i="1" s="1"/>
  <c r="M476" i="1"/>
  <c r="N476" i="1" s="1"/>
  <c r="M471" i="1"/>
  <c r="N471" i="1" s="1"/>
  <c r="M475" i="1"/>
  <c r="N475" i="1" s="1"/>
  <c r="M473" i="1"/>
  <c r="N473" i="1" s="1"/>
  <c r="M469" i="1"/>
  <c r="N469" i="1" s="1"/>
  <c r="M474" i="1"/>
  <c r="N474" i="1" s="1"/>
  <c r="M472" i="1"/>
  <c r="N472" i="1" s="1"/>
  <c r="M470" i="1"/>
  <c r="N470" i="1" s="1"/>
  <c r="M468" i="1"/>
  <c r="N468" i="1" s="1"/>
  <c r="M467" i="1"/>
  <c r="N467" i="1" s="1"/>
  <c r="M466" i="1"/>
  <c r="N466" i="1" s="1"/>
  <c r="M464" i="1"/>
  <c r="N464" i="1" s="1"/>
  <c r="M462" i="1"/>
  <c r="N462" i="1" s="1"/>
  <c r="M463" i="1"/>
  <c r="N463" i="1" s="1"/>
  <c r="M461" i="1"/>
  <c r="N461" i="1" s="1"/>
  <c r="M465" i="1"/>
  <c r="N465" i="1" s="1"/>
  <c r="M458" i="1"/>
  <c r="N458" i="1" s="1"/>
  <c r="M447" i="1"/>
  <c r="N447" i="1" s="1"/>
  <c r="M452" i="1"/>
  <c r="N452" i="1" s="1"/>
  <c r="M460" i="1"/>
  <c r="N460" i="1" s="1"/>
  <c r="M451" i="1"/>
  <c r="N451" i="1" s="1"/>
  <c r="M459" i="1"/>
  <c r="N459" i="1" s="1"/>
  <c r="M450" i="1"/>
  <c r="N450" i="1" s="1"/>
  <c r="M438" i="1"/>
  <c r="N438" i="1" s="1"/>
  <c r="M436" i="1"/>
  <c r="N436" i="1" s="1"/>
  <c r="M437" i="1"/>
  <c r="N437" i="1" s="1"/>
  <c r="M449" i="1"/>
  <c r="N449" i="1" s="1"/>
  <c r="M448" i="1"/>
  <c r="N448" i="1" s="1"/>
  <c r="M443" i="1"/>
  <c r="N443" i="1" s="1"/>
  <c r="M446" i="1"/>
  <c r="N446" i="1" s="1"/>
  <c r="M442" i="1"/>
  <c r="N442" i="1" s="1"/>
  <c r="M445" i="1"/>
  <c r="N445" i="1" s="1"/>
  <c r="M444" i="1"/>
  <c r="N444" i="1" s="1"/>
  <c r="M441" i="1"/>
  <c r="N441" i="1" s="1"/>
  <c r="M440" i="1"/>
  <c r="N440" i="1" s="1"/>
  <c r="M439" i="1"/>
  <c r="N439" i="1" s="1"/>
  <c r="M435" i="1"/>
  <c r="N435" i="1" s="1"/>
  <c r="M434" i="1"/>
  <c r="N434" i="1" s="1"/>
  <c r="M433" i="1"/>
  <c r="N433" i="1" s="1"/>
  <c r="M428" i="1"/>
  <c r="N428" i="1" s="1"/>
  <c r="M427" i="1"/>
  <c r="N427" i="1" s="1"/>
  <c r="M426" i="1"/>
  <c r="N426" i="1" s="1"/>
  <c r="M432" i="1"/>
  <c r="N432" i="1" s="1"/>
  <c r="M429" i="1"/>
  <c r="N429" i="1" s="1"/>
  <c r="M425" i="1"/>
  <c r="N425" i="1" s="1"/>
  <c r="M414" i="1"/>
  <c r="N414" i="1" s="1"/>
  <c r="M424" i="1"/>
  <c r="N424" i="1" s="1"/>
  <c r="M421" i="1"/>
  <c r="N421" i="1" s="1"/>
  <c r="M423" i="1"/>
  <c r="N423" i="1" s="1"/>
  <c r="M422" i="1"/>
  <c r="N422" i="1" s="1"/>
  <c r="M417" i="1"/>
  <c r="N417" i="1" s="1"/>
  <c r="M415" i="1"/>
  <c r="N415" i="1" s="1"/>
  <c r="M418" i="1"/>
  <c r="N418" i="1" s="1"/>
  <c r="M416" i="1"/>
  <c r="N416" i="1" s="1"/>
  <c r="M420" i="1"/>
  <c r="N420" i="1" s="1"/>
  <c r="M419" i="1"/>
  <c r="N419" i="1" s="1"/>
  <c r="M391" i="1"/>
  <c r="N391" i="1" s="1"/>
  <c r="M385" i="1"/>
  <c r="N385" i="1" s="1"/>
  <c r="M383" i="1"/>
  <c r="N383" i="1" s="1"/>
  <c r="M390" i="1"/>
  <c r="N390" i="1" s="1"/>
  <c r="M384" i="1"/>
  <c r="N384" i="1" s="1"/>
  <c r="M394" i="1"/>
  <c r="N394" i="1" s="1"/>
  <c r="M396" i="1"/>
  <c r="N396" i="1" s="1"/>
  <c r="M382" i="1"/>
  <c r="N382" i="1" s="1"/>
  <c r="M387" i="1"/>
  <c r="N387" i="1" s="1"/>
  <c r="M402" i="1"/>
  <c r="N402" i="1" s="1"/>
  <c r="M410" i="1"/>
  <c r="N410" i="1" s="1"/>
  <c r="M401" i="1"/>
  <c r="N401" i="1" s="1"/>
  <c r="M386" i="1"/>
  <c r="N386" i="1" s="1"/>
  <c r="M412" i="1"/>
  <c r="N412" i="1" s="1"/>
  <c r="M393" i="1"/>
  <c r="N393" i="1" s="1"/>
  <c r="M381" i="1"/>
  <c r="N381" i="1" s="1"/>
  <c r="M403" i="1"/>
  <c r="N403" i="1" s="1"/>
  <c r="M389" i="1"/>
  <c r="N389" i="1" s="1"/>
  <c r="M407" i="1"/>
  <c r="N407" i="1" s="1"/>
  <c r="M395" i="1"/>
  <c r="N395" i="1" s="1"/>
  <c r="M413" i="1"/>
  <c r="N413" i="1" s="1"/>
  <c r="M388" i="1"/>
  <c r="N388" i="1" s="1"/>
  <c r="M411" i="1"/>
  <c r="N411" i="1" s="1"/>
  <c r="M400" i="1"/>
  <c r="N400" i="1" s="1"/>
  <c r="M406" i="1"/>
  <c r="N406" i="1" s="1"/>
  <c r="M399" i="1"/>
  <c r="N399" i="1" s="1"/>
  <c r="M409" i="1"/>
  <c r="N409" i="1" s="1"/>
  <c r="M405" i="1"/>
  <c r="N405" i="1" s="1"/>
  <c r="M398" i="1"/>
  <c r="N398" i="1" s="1"/>
  <c r="M408" i="1"/>
  <c r="N408" i="1" s="1"/>
  <c r="M404" i="1"/>
  <c r="N404" i="1" s="1"/>
  <c r="M397" i="1"/>
  <c r="N397" i="1" s="1"/>
  <c r="M392" i="1"/>
  <c r="N392" i="1" s="1"/>
  <c r="M380" i="1"/>
  <c r="N380" i="1" s="1"/>
  <c r="M375" i="1"/>
  <c r="N375" i="1" s="1"/>
  <c r="M379" i="1"/>
  <c r="N379" i="1" s="1"/>
  <c r="M377" i="1"/>
  <c r="N377" i="1" s="1"/>
  <c r="M376" i="1"/>
  <c r="N376" i="1" s="1"/>
  <c r="M374" i="1"/>
  <c r="N374" i="1" s="1"/>
  <c r="M373" i="1"/>
  <c r="N373" i="1" s="1"/>
  <c r="M378" i="1"/>
  <c r="N378" i="1" s="1"/>
  <c r="M361" i="1"/>
  <c r="N361" i="1" s="1"/>
  <c r="M371" i="1"/>
  <c r="N371" i="1" s="1"/>
  <c r="M370" i="1"/>
  <c r="N370" i="1" s="1"/>
  <c r="M368" i="1"/>
  <c r="N368" i="1" s="1"/>
  <c r="M367" i="1"/>
  <c r="N367" i="1" s="1"/>
  <c r="M366" i="1"/>
  <c r="N366" i="1" s="1"/>
  <c r="M365" i="1"/>
  <c r="N365" i="1" s="1"/>
  <c r="M358" i="1"/>
  <c r="N358" i="1" s="1"/>
  <c r="M355" i="1"/>
  <c r="N355" i="1" s="1"/>
  <c r="M364" i="1"/>
  <c r="N364" i="1" s="1"/>
  <c r="M360" i="1"/>
  <c r="N360" i="1" s="1"/>
  <c r="M357" i="1"/>
  <c r="N357" i="1" s="1"/>
  <c r="M354" i="1"/>
  <c r="N354" i="1" s="1"/>
  <c r="M363" i="1"/>
  <c r="N363" i="1" s="1"/>
  <c r="M362" i="1"/>
  <c r="N362" i="1" s="1"/>
  <c r="M359" i="1"/>
  <c r="N359" i="1" s="1"/>
  <c r="M356" i="1"/>
  <c r="N356" i="1" s="1"/>
  <c r="M353" i="1"/>
  <c r="N353" i="1" s="1"/>
  <c r="M351" i="1"/>
  <c r="N351" i="1" s="1"/>
  <c r="M341" i="1"/>
  <c r="N341" i="1" s="1"/>
  <c r="M347" i="1"/>
  <c r="N347" i="1" s="1"/>
  <c r="M334" i="1"/>
  <c r="N334" i="1" s="1"/>
  <c r="M327" i="1"/>
  <c r="N327" i="1" s="1"/>
  <c r="M323" i="1"/>
  <c r="N323" i="1" s="1"/>
  <c r="M346" i="1"/>
  <c r="N346" i="1" s="1"/>
  <c r="M337" i="1"/>
  <c r="N337" i="1" s="1"/>
  <c r="M333" i="1"/>
  <c r="N333" i="1" s="1"/>
  <c r="M326" i="1"/>
  <c r="N326" i="1" s="1"/>
  <c r="M322" i="1"/>
  <c r="N322" i="1" s="1"/>
  <c r="M319" i="1"/>
  <c r="N319" i="1" s="1"/>
  <c r="M345" i="1"/>
  <c r="N345" i="1" s="1"/>
  <c r="M342" i="1"/>
  <c r="N342" i="1" s="1"/>
  <c r="M336" i="1"/>
  <c r="N336" i="1" s="1"/>
  <c r="M332" i="1"/>
  <c r="N332" i="1" s="1"/>
  <c r="M325" i="1"/>
  <c r="N325" i="1" s="1"/>
  <c r="M321" i="1"/>
  <c r="N321" i="1" s="1"/>
  <c r="M318" i="1"/>
  <c r="N318" i="1" s="1"/>
  <c r="M344" i="1"/>
  <c r="N344" i="1" s="1"/>
  <c r="M352" i="1"/>
  <c r="N352" i="1" s="1"/>
  <c r="M343" i="1"/>
  <c r="N343" i="1" s="1"/>
  <c r="M338" i="1"/>
  <c r="N338" i="1" s="1"/>
  <c r="M335" i="1"/>
  <c r="N335" i="1" s="1"/>
  <c r="M331" i="1"/>
  <c r="N331" i="1" s="1"/>
  <c r="M324" i="1"/>
  <c r="N324" i="1" s="1"/>
  <c r="M320" i="1"/>
  <c r="N320" i="1" s="1"/>
  <c r="M340" i="1"/>
  <c r="N340" i="1" s="1"/>
  <c r="M339" i="1"/>
  <c r="N339" i="1" s="1"/>
  <c r="M317" i="1"/>
  <c r="N317" i="1" s="1"/>
  <c r="M305" i="1"/>
  <c r="N305" i="1" s="1"/>
  <c r="M309" i="1"/>
  <c r="N309" i="1" s="1"/>
  <c r="M306" i="1"/>
  <c r="N306" i="1" s="1"/>
  <c r="M311" i="1"/>
  <c r="N311" i="1" s="1"/>
  <c r="M307" i="1"/>
  <c r="N307" i="1" s="1"/>
  <c r="M315" i="1"/>
  <c r="N315" i="1" s="1"/>
  <c r="M310" i="1"/>
  <c r="N310" i="1" s="1"/>
  <c r="M312" i="1"/>
  <c r="N312" i="1" s="1"/>
  <c r="M314" i="1"/>
  <c r="N314" i="1" s="1"/>
  <c r="M316" i="1"/>
  <c r="N316" i="1" s="1"/>
  <c r="M313" i="1"/>
  <c r="N313" i="1" s="1"/>
  <c r="M308" i="1"/>
  <c r="N308" i="1" s="1"/>
  <c r="M303" i="1"/>
  <c r="N303" i="1" s="1"/>
  <c r="M302" i="1"/>
  <c r="N302" i="1" s="1"/>
  <c r="M296" i="1"/>
  <c r="N296" i="1" s="1"/>
  <c r="M297" i="1"/>
  <c r="N297" i="1" s="1"/>
  <c r="M295" i="1"/>
  <c r="N295" i="1" s="1"/>
  <c r="M298" i="1"/>
  <c r="N298" i="1" s="1"/>
  <c r="M299" i="1"/>
  <c r="N299" i="1" s="1"/>
  <c r="M300" i="1"/>
  <c r="N300" i="1" s="1"/>
  <c r="M301" i="1"/>
  <c r="N301" i="1" s="1"/>
  <c r="M304" i="1"/>
  <c r="N304" i="1" s="1"/>
  <c r="M291" i="1"/>
  <c r="N291" i="1" s="1"/>
  <c r="M290" i="1"/>
  <c r="N290" i="1" s="1"/>
  <c r="M270" i="1"/>
  <c r="N270" i="1" s="1"/>
  <c r="M284" i="1"/>
  <c r="N284" i="1" s="1"/>
  <c r="M259" i="1"/>
  <c r="N259" i="1" s="1"/>
  <c r="M258" i="1"/>
  <c r="N258" i="1" s="1"/>
  <c r="M256" i="1"/>
  <c r="N256" i="1" s="1"/>
  <c r="M260" i="1"/>
  <c r="N260" i="1" s="1"/>
  <c r="M278" i="1"/>
  <c r="N278" i="1" s="1"/>
  <c r="M289" i="1"/>
  <c r="N289" i="1" s="1"/>
  <c r="M283" i="1"/>
  <c r="N283" i="1" s="1"/>
  <c r="M275" i="1"/>
  <c r="N275" i="1" s="1"/>
  <c r="M288" i="1"/>
  <c r="N288" i="1" s="1"/>
  <c r="M266" i="1"/>
  <c r="N266" i="1" s="1"/>
  <c r="M277" i="1"/>
  <c r="N277" i="1" s="1"/>
  <c r="M274" i="1"/>
  <c r="N274" i="1" s="1"/>
  <c r="M272" i="1"/>
  <c r="N272" i="1" s="1"/>
  <c r="M265" i="1"/>
  <c r="N265" i="1" s="1"/>
  <c r="M281" i="1"/>
  <c r="N281" i="1" s="1"/>
  <c r="M280" i="1"/>
  <c r="N280" i="1" s="1"/>
  <c r="M279" i="1"/>
  <c r="N279" i="1" s="1"/>
  <c r="M276" i="1"/>
  <c r="N276" i="1" s="1"/>
  <c r="M273" i="1"/>
  <c r="N273" i="1" s="1"/>
  <c r="M271" i="1"/>
  <c r="N271" i="1" s="1"/>
  <c r="M269" i="1"/>
  <c r="N269" i="1" s="1"/>
  <c r="M267" i="1"/>
  <c r="N267" i="1" s="1"/>
  <c r="M264" i="1"/>
  <c r="N264" i="1" s="1"/>
  <c r="M261" i="1"/>
  <c r="N261" i="1" s="1"/>
  <c r="M282" i="1"/>
  <c r="N282" i="1" s="1"/>
  <c r="M257" i="1"/>
  <c r="N257" i="1" s="1"/>
  <c r="M286" i="1"/>
  <c r="N286" i="1" s="1"/>
  <c r="M285" i="1"/>
  <c r="N285" i="1" s="1"/>
  <c r="M268" i="1"/>
  <c r="N268" i="1" s="1"/>
  <c r="M263" i="1"/>
  <c r="N263" i="1" s="1"/>
  <c r="M262" i="1"/>
  <c r="N262" i="1" s="1"/>
  <c r="M255" i="1"/>
  <c r="N255" i="1" s="1"/>
  <c r="M252" i="1"/>
  <c r="N252" i="1" s="1"/>
  <c r="M253" i="1"/>
  <c r="N253" i="1" s="1"/>
  <c r="M247" i="1"/>
  <c r="N247" i="1" s="1"/>
  <c r="M248" i="1"/>
  <c r="N248" i="1" s="1"/>
  <c r="M254" i="1"/>
  <c r="N254" i="1" s="1"/>
  <c r="M251" i="1"/>
  <c r="N251" i="1" s="1"/>
  <c r="M250" i="1"/>
  <c r="N250" i="1" s="1"/>
  <c r="M249" i="1"/>
  <c r="N249" i="1" s="1"/>
  <c r="M246" i="1"/>
  <c r="N246" i="1" s="1"/>
  <c r="M242" i="1"/>
  <c r="N242" i="1" s="1"/>
  <c r="M239" i="1"/>
  <c r="N239" i="1" s="1"/>
  <c r="M241" i="1"/>
  <c r="N241" i="1" s="1"/>
  <c r="M240" i="1"/>
  <c r="N240" i="1" s="1"/>
  <c r="M238" i="1"/>
  <c r="N238" i="1" s="1"/>
  <c r="M237" i="1"/>
  <c r="N237" i="1" s="1"/>
  <c r="M243" i="1"/>
  <c r="N243" i="1" s="1"/>
  <c r="M209" i="1"/>
  <c r="N209" i="1" s="1"/>
  <c r="M227" i="1"/>
  <c r="N227" i="1" s="1"/>
  <c r="M226" i="1"/>
  <c r="N226" i="1" s="1"/>
  <c r="M225" i="1"/>
  <c r="N225" i="1" s="1"/>
  <c r="M224" i="1"/>
  <c r="N224" i="1" s="1"/>
  <c r="M223" i="1"/>
  <c r="N223" i="1" s="1"/>
  <c r="M222" i="1"/>
  <c r="N222" i="1" s="1"/>
  <c r="M221" i="1"/>
  <c r="N221" i="1" s="1"/>
  <c r="M220" i="1"/>
  <c r="N220" i="1" s="1"/>
  <c r="M219" i="1"/>
  <c r="N219" i="1" s="1"/>
  <c r="M208" i="1"/>
  <c r="N208" i="1" s="1"/>
  <c r="M236" i="1"/>
  <c r="N236" i="1" s="1"/>
  <c r="M235" i="1"/>
  <c r="N235" i="1" s="1"/>
  <c r="M234" i="1"/>
  <c r="N234" i="1" s="1"/>
  <c r="M233" i="1"/>
  <c r="N233" i="1" s="1"/>
  <c r="M232" i="1"/>
  <c r="N232" i="1" s="1"/>
  <c r="M231" i="1"/>
  <c r="N231" i="1" s="1"/>
  <c r="M230" i="1"/>
  <c r="N230" i="1" s="1"/>
  <c r="M229" i="1"/>
  <c r="N229" i="1" s="1"/>
  <c r="M228" i="1"/>
  <c r="N228" i="1" s="1"/>
  <c r="M218" i="1"/>
  <c r="N218" i="1" s="1"/>
  <c r="M217" i="1"/>
  <c r="N217" i="1" s="1"/>
  <c r="M216" i="1"/>
  <c r="N216" i="1" s="1"/>
  <c r="M215" i="1"/>
  <c r="N215" i="1" s="1"/>
  <c r="M214" i="1"/>
  <c r="N214" i="1" s="1"/>
  <c r="M213" i="1"/>
  <c r="N213" i="1" s="1"/>
  <c r="M212" i="1"/>
  <c r="N212" i="1" s="1"/>
  <c r="M211" i="1"/>
  <c r="N211" i="1" s="1"/>
  <c r="M207" i="1"/>
  <c r="N207" i="1" s="1"/>
  <c r="M210" i="1"/>
  <c r="N210" i="1" s="1"/>
  <c r="M206" i="1"/>
  <c r="N206" i="1" s="1"/>
  <c r="M195" i="1"/>
  <c r="N195" i="1" s="1"/>
  <c r="M202" i="1"/>
  <c r="N202" i="1" s="1"/>
  <c r="M205" i="1"/>
  <c r="N205" i="1" s="1"/>
  <c r="M201" i="1"/>
  <c r="N201" i="1" s="1"/>
  <c r="M194" i="1"/>
  <c r="N194" i="1" s="1"/>
  <c r="M200" i="1"/>
  <c r="N200" i="1" s="1"/>
  <c r="M199" i="1"/>
  <c r="N199" i="1" s="1"/>
  <c r="M198" i="1"/>
  <c r="N198" i="1" s="1"/>
  <c r="M197" i="1"/>
  <c r="N197" i="1" s="1"/>
  <c r="M196" i="1"/>
  <c r="N196" i="1" s="1"/>
  <c r="M193" i="1"/>
  <c r="N193" i="1" s="1"/>
  <c r="M187" i="1"/>
  <c r="N187" i="1" s="1"/>
  <c r="M188" i="1"/>
  <c r="N188" i="1" s="1"/>
  <c r="M192" i="1"/>
  <c r="N192" i="1" s="1"/>
  <c r="M191" i="1"/>
  <c r="N191" i="1" s="1"/>
  <c r="M176" i="1"/>
  <c r="N176" i="1" s="1"/>
  <c r="M177" i="1"/>
  <c r="N177" i="1" s="1"/>
  <c r="M185" i="1"/>
  <c r="N185" i="1" s="1"/>
  <c r="M184" i="1"/>
  <c r="N184" i="1" s="1"/>
  <c r="M183" i="1"/>
  <c r="N183" i="1" s="1"/>
  <c r="M179" i="1"/>
  <c r="N179" i="1" s="1"/>
  <c r="M180" i="1"/>
  <c r="N180" i="1" s="1"/>
  <c r="M182" i="1"/>
  <c r="N182" i="1" s="1"/>
  <c r="M186" i="1"/>
  <c r="N186" i="1" s="1"/>
  <c r="M181" i="1"/>
  <c r="N181" i="1" s="1"/>
  <c r="M178" i="1"/>
  <c r="N178" i="1" s="1"/>
  <c r="M175" i="1"/>
  <c r="N175" i="1" s="1"/>
  <c r="M174" i="1"/>
  <c r="N174" i="1" s="1"/>
  <c r="M168" i="1"/>
  <c r="N168" i="1" s="1"/>
  <c r="M169" i="1"/>
  <c r="N169" i="1" s="1"/>
  <c r="M167" i="1"/>
  <c r="N167" i="1" s="1"/>
  <c r="M166" i="1"/>
  <c r="N166" i="1" s="1"/>
  <c r="M170" i="1"/>
  <c r="N170" i="1" s="1"/>
  <c r="M173" i="1"/>
  <c r="N173" i="1" s="1"/>
  <c r="M172" i="1"/>
  <c r="N172" i="1" s="1"/>
  <c r="M171" i="1"/>
  <c r="N171" i="1" s="1"/>
  <c r="M161" i="1"/>
  <c r="N161" i="1" s="1"/>
  <c r="M165" i="1"/>
  <c r="N165" i="1" s="1"/>
  <c r="M163" i="1"/>
  <c r="N163" i="1" s="1"/>
  <c r="M162" i="1"/>
  <c r="N162" i="1" s="1"/>
  <c r="M152" i="1"/>
  <c r="N152" i="1" s="1"/>
  <c r="M158" i="1"/>
  <c r="N158" i="1" s="1"/>
  <c r="M157" i="1"/>
  <c r="N157" i="1" s="1"/>
  <c r="M156" i="1"/>
  <c r="N156" i="1" s="1"/>
  <c r="M155" i="1"/>
  <c r="N155" i="1" s="1"/>
  <c r="M160" i="1"/>
  <c r="N160" i="1" s="1"/>
  <c r="M154" i="1"/>
  <c r="N154" i="1" s="1"/>
  <c r="M159" i="1"/>
  <c r="N159" i="1" s="1"/>
  <c r="M153" i="1"/>
  <c r="N153" i="1" s="1"/>
  <c r="M150" i="1"/>
  <c r="N150" i="1" s="1"/>
  <c r="M149" i="1"/>
  <c r="N149" i="1" s="1"/>
  <c r="M151" i="1"/>
  <c r="N151" i="1" s="1"/>
  <c r="M141" i="1"/>
  <c r="N141" i="1" s="1"/>
  <c r="M136" i="1"/>
  <c r="N136" i="1" s="1"/>
  <c r="M142" i="1"/>
  <c r="N142" i="1" s="1"/>
  <c r="M137" i="1"/>
  <c r="N137" i="1" s="1"/>
  <c r="M140" i="1"/>
  <c r="N140" i="1" s="1"/>
  <c r="M145" i="1"/>
  <c r="N145" i="1" s="1"/>
  <c r="M144" i="1"/>
  <c r="N144" i="1" s="1"/>
  <c r="M143" i="1"/>
  <c r="N143" i="1" s="1"/>
  <c r="M147" i="1"/>
  <c r="N147" i="1" s="1"/>
  <c r="M146" i="1"/>
  <c r="N146" i="1" s="1"/>
  <c r="M131" i="1"/>
  <c r="N131" i="1" s="1"/>
  <c r="M126" i="1"/>
  <c r="N126" i="1" s="1"/>
  <c r="M124" i="1"/>
  <c r="N124" i="1" s="1"/>
  <c r="M125" i="1"/>
  <c r="N125" i="1" s="1"/>
  <c r="M127" i="1"/>
  <c r="N127" i="1" s="1"/>
  <c r="M132" i="1"/>
  <c r="N132" i="1" s="1"/>
  <c r="M135" i="1"/>
  <c r="N135" i="1" s="1"/>
  <c r="M134" i="1"/>
  <c r="N134" i="1" s="1"/>
  <c r="M133" i="1"/>
  <c r="N133" i="1" s="1"/>
  <c r="M128" i="1"/>
  <c r="N128" i="1" s="1"/>
  <c r="M123" i="1"/>
  <c r="N123" i="1" s="1"/>
  <c r="M122" i="1"/>
  <c r="N122" i="1" s="1"/>
  <c r="M118" i="1"/>
  <c r="N118" i="1" s="1"/>
  <c r="M117" i="1"/>
  <c r="N117" i="1" s="1"/>
  <c r="M121" i="1"/>
  <c r="N121" i="1" s="1"/>
  <c r="M120" i="1"/>
  <c r="N120" i="1" s="1"/>
  <c r="M115" i="1"/>
  <c r="N115" i="1" s="1"/>
  <c r="M116" i="1"/>
  <c r="N116" i="1" s="1"/>
  <c r="M109" i="1"/>
  <c r="N109" i="1" s="1"/>
  <c r="M107" i="1"/>
  <c r="N107" i="1" s="1"/>
  <c r="M106" i="1"/>
  <c r="N106" i="1" s="1"/>
  <c r="M93" i="1"/>
  <c r="N93" i="1" s="1"/>
  <c r="M103" i="1"/>
  <c r="N103" i="1" s="1"/>
  <c r="M92" i="1"/>
  <c r="N92" i="1" s="1"/>
  <c r="M105" i="1"/>
  <c r="N105" i="1" s="1"/>
  <c r="M102" i="1"/>
  <c r="N102" i="1" s="1"/>
  <c r="M99" i="1"/>
  <c r="N99" i="1" s="1"/>
  <c r="M98" i="1"/>
  <c r="N98" i="1" s="1"/>
  <c r="M91" i="1"/>
  <c r="N91" i="1" s="1"/>
  <c r="M114" i="1"/>
  <c r="N114" i="1" s="1"/>
  <c r="M113" i="1"/>
  <c r="N113" i="1" s="1"/>
  <c r="M112" i="1"/>
  <c r="N112" i="1" s="1"/>
  <c r="M108" i="1"/>
  <c r="N108" i="1" s="1"/>
  <c r="M96" i="1"/>
  <c r="N96" i="1" s="1"/>
  <c r="M95" i="1"/>
  <c r="N95" i="1" s="1"/>
  <c r="M104" i="1"/>
  <c r="N104" i="1" s="1"/>
  <c r="M94" i="1"/>
  <c r="N94" i="1" s="1"/>
  <c r="M97" i="1"/>
  <c r="N97" i="1" s="1"/>
  <c r="M81" i="1"/>
  <c r="N81" i="1" s="1"/>
  <c r="M90" i="1"/>
  <c r="N90" i="1" s="1"/>
  <c r="M80" i="1"/>
  <c r="N80" i="1" s="1"/>
  <c r="M82" i="1"/>
  <c r="N82" i="1" s="1"/>
  <c r="M83" i="1"/>
  <c r="N83" i="1" s="1"/>
  <c r="M89" i="1"/>
  <c r="N89" i="1" s="1"/>
  <c r="M88" i="1"/>
  <c r="N88" i="1" s="1"/>
  <c r="M84" i="1"/>
  <c r="N84" i="1" s="1"/>
  <c r="M87" i="1"/>
  <c r="N87" i="1" s="1"/>
  <c r="M86" i="1"/>
  <c r="N86" i="1" s="1"/>
  <c r="M85" i="1"/>
  <c r="N85" i="1" s="1"/>
  <c r="M69" i="1"/>
  <c r="N69" i="1" s="1"/>
  <c r="M76" i="1"/>
  <c r="N76" i="1" s="1"/>
  <c r="M72" i="1"/>
  <c r="N72" i="1" s="1"/>
  <c r="M71" i="1"/>
  <c r="N71" i="1" s="1"/>
  <c r="M78" i="1"/>
  <c r="N78" i="1" s="1"/>
  <c r="M79" i="1"/>
  <c r="N79" i="1" s="1"/>
  <c r="M77" i="1"/>
  <c r="N77" i="1" s="1"/>
  <c r="M75" i="1"/>
  <c r="N75" i="1" s="1"/>
  <c r="M74" i="1"/>
  <c r="N74" i="1" s="1"/>
  <c r="M73" i="1"/>
  <c r="N73" i="1" s="1"/>
  <c r="M70" i="1"/>
  <c r="N70" i="1" s="1"/>
  <c r="M60" i="1"/>
  <c r="N60" i="1" s="1"/>
  <c r="M63" i="1"/>
  <c r="N63" i="1" s="1"/>
  <c r="M62" i="1"/>
  <c r="N62" i="1" s="1"/>
  <c r="M61" i="1"/>
  <c r="N61" i="1" s="1"/>
  <c r="M59" i="1"/>
  <c r="N59" i="1" s="1"/>
  <c r="M58" i="1"/>
  <c r="N58" i="1" s="1"/>
  <c r="M57" i="1"/>
  <c r="N57" i="1" s="1"/>
  <c r="M56" i="1"/>
  <c r="N56" i="1" s="1"/>
  <c r="M55" i="1"/>
  <c r="N55" i="1" s="1"/>
  <c r="M54" i="1"/>
  <c r="N54" i="1" s="1"/>
  <c r="M53" i="1"/>
  <c r="N53" i="1" s="1"/>
  <c r="M52" i="1"/>
  <c r="N52" i="1" s="1"/>
  <c r="M51" i="1"/>
  <c r="N51" i="1" s="1"/>
  <c r="M49" i="1"/>
  <c r="N49" i="1" s="1"/>
  <c r="M47" i="1"/>
  <c r="N47" i="1" s="1"/>
  <c r="M46" i="1"/>
  <c r="N46" i="1" s="1"/>
  <c r="M43" i="1"/>
  <c r="N43" i="1" s="1"/>
  <c r="M42" i="1"/>
  <c r="N42" i="1" s="1"/>
  <c r="M41" i="1"/>
  <c r="N41" i="1" s="1"/>
  <c r="M50" i="1"/>
  <c r="N50" i="1" s="1"/>
  <c r="M45" i="1"/>
  <c r="N45" i="1" s="1"/>
  <c r="M40" i="1"/>
  <c r="N40" i="1" s="1"/>
  <c r="M48" i="1"/>
  <c r="N48" i="1" s="1"/>
  <c r="M44" i="1"/>
  <c r="N44" i="1" s="1"/>
  <c r="M35" i="1"/>
  <c r="N35" i="1" s="1"/>
  <c r="M39" i="1"/>
  <c r="N39" i="1" s="1"/>
  <c r="M29" i="1"/>
  <c r="N29" i="1" s="1"/>
  <c r="M34" i="1"/>
  <c r="N34" i="1" s="1"/>
  <c r="M33" i="1"/>
  <c r="N33" i="1" s="1"/>
  <c r="M32" i="1"/>
  <c r="N32" i="1" s="1"/>
  <c r="M31" i="1"/>
  <c r="N31" i="1" s="1"/>
  <c r="M30" i="1"/>
  <c r="N30" i="1" s="1"/>
  <c r="M28" i="1"/>
  <c r="N28" i="1" s="1"/>
  <c r="M24" i="1"/>
  <c r="N24" i="1" s="1"/>
  <c r="M26" i="1"/>
  <c r="N26" i="1" s="1"/>
  <c r="M23" i="1"/>
  <c r="N23" i="1" s="1"/>
  <c r="M21" i="1"/>
  <c r="N21" i="1" s="1"/>
  <c r="M18" i="1"/>
  <c r="N18" i="1" s="1"/>
  <c r="M25" i="1"/>
  <c r="N25" i="1" s="1"/>
  <c r="M22" i="1"/>
  <c r="N22" i="1" s="1"/>
  <c r="M20" i="1"/>
  <c r="N20" i="1" s="1"/>
  <c r="M17" i="1"/>
  <c r="N17" i="1" s="1"/>
  <c r="M16" i="1"/>
  <c r="N16" i="1" s="1"/>
  <c r="M27" i="1"/>
  <c r="N27" i="1" s="1"/>
  <c r="M38" i="1"/>
  <c r="N38" i="1" s="1"/>
  <c r="M19" i="1"/>
  <c r="N19" i="1" s="1"/>
  <c r="M7" i="1"/>
  <c r="N7" i="1" s="1"/>
  <c r="M9" i="1"/>
  <c r="N9" i="1" s="1"/>
  <c r="M14" i="1"/>
  <c r="N14" i="1" s="1"/>
  <c r="M12" i="1"/>
  <c r="N12" i="1" s="1"/>
  <c r="M11" i="1"/>
  <c r="N11" i="1" s="1"/>
  <c r="M10" i="1"/>
  <c r="N10" i="1" s="1"/>
  <c r="M8" i="1"/>
  <c r="N8" i="1" s="1"/>
  <c r="M6" i="1"/>
  <c r="N6" i="1" s="1"/>
  <c r="M5" i="1"/>
  <c r="N5" i="1" s="1"/>
  <c r="M3" i="1"/>
  <c r="N3" i="1" s="1"/>
  <c r="M4" i="1"/>
  <c r="N4" i="1" s="1"/>
  <c r="F9" i="13"/>
  <c r="E9" i="13"/>
  <c r="G13" i="12"/>
  <c r="G12" i="12"/>
  <c r="G11" i="12"/>
  <c r="F13" i="12"/>
  <c r="F12" i="12"/>
  <c r="F11" i="12"/>
  <c r="C13" i="12"/>
  <c r="C12" i="12"/>
  <c r="C11" i="12"/>
  <c r="B13" i="12"/>
  <c r="B12" i="12"/>
  <c r="B11" i="12"/>
  <c r="D11" i="12"/>
  <c r="D13" i="12"/>
  <c r="D12" i="12"/>
  <c r="E13" i="12"/>
  <c r="E12" i="12"/>
  <c r="E11" i="12"/>
  <c r="H9" i="13"/>
  <c r="G7" i="13"/>
  <c r="E7" i="13"/>
  <c r="H7" i="13"/>
  <c r="G9" i="13"/>
  <c r="F7" i="13"/>
  <c r="D7" i="13"/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376" i="11"/>
  <c r="C377" i="11"/>
  <c r="C378" i="11"/>
  <c r="C379" i="11"/>
  <c r="C380" i="11"/>
  <c r="C381" i="11"/>
  <c r="C382" i="11"/>
  <c r="C383" i="11"/>
  <c r="C384" i="11"/>
  <c r="C385" i="11"/>
  <c r="C386" i="11"/>
  <c r="C387" i="11"/>
  <c r="C388" i="11"/>
  <c r="C389" i="11"/>
  <c r="C390" i="11"/>
  <c r="C391" i="11"/>
  <c r="C392" i="11"/>
  <c r="C393" i="11"/>
  <c r="C394" i="11"/>
  <c r="C395" i="11"/>
  <c r="C396" i="11"/>
  <c r="C397" i="11"/>
  <c r="C398" i="11"/>
  <c r="C399" i="11"/>
  <c r="C400" i="11"/>
  <c r="C401" i="11"/>
  <c r="C402" i="11"/>
  <c r="C403" i="11"/>
  <c r="C404" i="11"/>
  <c r="C405" i="11"/>
  <c r="C406" i="11"/>
  <c r="C407" i="11"/>
  <c r="C408" i="11"/>
  <c r="C409" i="11"/>
  <c r="C410" i="11"/>
  <c r="C411" i="11"/>
  <c r="C412" i="11"/>
  <c r="C413" i="11"/>
  <c r="C414" i="11"/>
  <c r="C415" i="11"/>
  <c r="C416" i="11"/>
  <c r="C417" i="11"/>
  <c r="C418" i="11"/>
  <c r="C419" i="11"/>
  <c r="C420" i="11"/>
  <c r="C421" i="11"/>
  <c r="C422" i="11"/>
  <c r="C423" i="11"/>
  <c r="C424" i="11"/>
  <c r="C425" i="11"/>
  <c r="C426" i="11"/>
  <c r="C427" i="11"/>
  <c r="C428" i="11"/>
  <c r="C429" i="11"/>
  <c r="C430" i="11"/>
  <c r="C431" i="11"/>
  <c r="C432" i="11"/>
  <c r="C433" i="11"/>
  <c r="C434" i="11"/>
  <c r="C435" i="11"/>
  <c r="C436" i="11"/>
  <c r="C437" i="11"/>
  <c r="C438" i="11"/>
  <c r="C439" i="11"/>
  <c r="C440" i="11"/>
  <c r="C441" i="11"/>
  <c r="C442" i="11"/>
  <c r="C443" i="11"/>
  <c r="C444" i="11"/>
  <c r="C445" i="11"/>
  <c r="C446" i="11"/>
  <c r="C447" i="11"/>
  <c r="C448" i="11"/>
  <c r="C449" i="11"/>
  <c r="C450" i="11"/>
  <c r="C451" i="11"/>
  <c r="C452" i="11"/>
  <c r="C453" i="11"/>
  <c r="C454" i="11"/>
  <c r="C455" i="11"/>
  <c r="C456" i="11"/>
  <c r="C457" i="11"/>
  <c r="C458" i="11"/>
  <c r="C459" i="11"/>
  <c r="C460" i="11"/>
  <c r="C461" i="11"/>
  <c r="C462" i="11"/>
  <c r="C463" i="11"/>
  <c r="C464" i="11"/>
  <c r="C465" i="11"/>
  <c r="C466" i="11"/>
  <c r="C467" i="11"/>
  <c r="C468" i="11"/>
  <c r="C469" i="11"/>
  <c r="C470" i="11"/>
  <c r="C471" i="11"/>
  <c r="C472" i="11"/>
  <c r="C473" i="11"/>
  <c r="C474" i="11"/>
  <c r="C475" i="11"/>
  <c r="C476" i="11"/>
  <c r="C477" i="11"/>
  <c r="C478" i="11"/>
  <c r="C479" i="11"/>
  <c r="C480" i="11"/>
  <c r="C481" i="11"/>
  <c r="C482" i="11"/>
  <c r="C483" i="11"/>
  <c r="C484" i="11"/>
  <c r="C485" i="11"/>
  <c r="C486" i="11"/>
  <c r="C487" i="11"/>
  <c r="C488" i="11"/>
  <c r="C489" i="11"/>
  <c r="C490" i="11"/>
  <c r="C491" i="11"/>
  <c r="C492" i="11"/>
  <c r="C493" i="11"/>
  <c r="C494" i="11"/>
  <c r="C495" i="11"/>
  <c r="C496" i="11"/>
  <c r="C497" i="11"/>
  <c r="C498" i="11"/>
  <c r="C499" i="11"/>
  <c r="C500" i="11"/>
  <c r="C501" i="11"/>
  <c r="C502" i="11"/>
  <c r="C503" i="11"/>
  <c r="C504" i="11"/>
  <c r="C505" i="11"/>
  <c r="C506" i="11"/>
  <c r="C507" i="11"/>
  <c r="C508" i="11"/>
  <c r="C509" i="11"/>
  <c r="C510" i="11"/>
  <c r="C511" i="11"/>
  <c r="C512" i="11"/>
  <c r="C513" i="11"/>
  <c r="C514" i="11"/>
  <c r="C515" i="11"/>
  <c r="C516" i="11"/>
  <c r="C517" i="11"/>
  <c r="C518" i="11"/>
  <c r="C519" i="11"/>
  <c r="C520" i="11"/>
  <c r="C521" i="11"/>
  <c r="C522" i="11"/>
  <c r="C523" i="11"/>
  <c r="C524" i="11"/>
  <c r="C525" i="11"/>
  <c r="C526" i="11"/>
  <c r="C527" i="11"/>
  <c r="C528" i="11"/>
  <c r="C529" i="11"/>
  <c r="C530" i="11"/>
  <c r="C531" i="11"/>
  <c r="C532" i="11"/>
  <c r="C533" i="11"/>
  <c r="C534" i="11"/>
  <c r="C535" i="11"/>
  <c r="C536" i="11"/>
  <c r="C537" i="11"/>
  <c r="C538" i="11"/>
  <c r="C539" i="11"/>
  <c r="C540" i="11"/>
  <c r="C541" i="11"/>
  <c r="C542" i="11"/>
  <c r="C543" i="11"/>
  <c r="C544" i="11"/>
  <c r="C545" i="11"/>
  <c r="C546" i="11"/>
  <c r="C547" i="11"/>
  <c r="C548" i="11"/>
  <c r="C549" i="11"/>
  <c r="C550" i="11"/>
  <c r="C551" i="11"/>
  <c r="C552" i="11"/>
  <c r="C553" i="11"/>
  <c r="C554" i="11"/>
  <c r="C555" i="11"/>
  <c r="C556" i="11"/>
  <c r="C557" i="11"/>
  <c r="C558" i="11"/>
  <c r="C559" i="11"/>
  <c r="C560" i="11"/>
  <c r="C561" i="11"/>
  <c r="C562" i="11"/>
  <c r="C563" i="11"/>
  <c r="C564" i="11"/>
  <c r="C565" i="11"/>
  <c r="C566" i="11"/>
  <c r="C567" i="11"/>
  <c r="C568" i="11"/>
  <c r="C569" i="11"/>
  <c r="C570" i="11"/>
  <c r="C571" i="11"/>
  <c r="C572" i="11"/>
  <c r="C573" i="11"/>
  <c r="C574" i="11"/>
  <c r="C575" i="11"/>
  <c r="C576" i="11"/>
  <c r="C577" i="11"/>
  <c r="C578" i="11"/>
  <c r="C579" i="11"/>
  <c r="C580" i="11"/>
  <c r="C581" i="11"/>
  <c r="C582" i="11"/>
  <c r="C583" i="11"/>
  <c r="C584" i="11"/>
  <c r="C585" i="11"/>
  <c r="C586" i="11"/>
  <c r="C587" i="11"/>
  <c r="C588" i="11"/>
  <c r="C589" i="11"/>
  <c r="C590" i="11"/>
  <c r="C591" i="11"/>
  <c r="C592" i="11"/>
  <c r="C593" i="11"/>
  <c r="C594" i="11"/>
  <c r="C595" i="11"/>
  <c r="C596" i="11"/>
  <c r="C597" i="11"/>
  <c r="C598" i="11"/>
  <c r="C599" i="11"/>
  <c r="C600" i="11"/>
  <c r="C601" i="11"/>
  <c r="C602" i="11"/>
  <c r="C603" i="11"/>
  <c r="C604" i="11"/>
  <c r="C605" i="11"/>
  <c r="C606" i="11"/>
  <c r="C607" i="11"/>
  <c r="C608" i="11"/>
  <c r="C609" i="11"/>
  <c r="C610" i="11"/>
  <c r="C611" i="11"/>
  <c r="C612" i="11"/>
  <c r="C613" i="11"/>
  <c r="C614" i="11"/>
  <c r="C615" i="11"/>
  <c r="C616" i="11"/>
  <c r="C617" i="11"/>
  <c r="C618" i="11"/>
  <c r="C619" i="11"/>
  <c r="C620" i="11"/>
  <c r="C621" i="11"/>
  <c r="C622" i="11"/>
  <c r="C623" i="11"/>
  <c r="C624" i="11"/>
  <c r="C625" i="11"/>
  <c r="C626" i="11"/>
  <c r="C627" i="11"/>
  <c r="C628" i="11"/>
  <c r="C629" i="11"/>
  <c r="C630" i="11"/>
  <c r="C631" i="11"/>
  <c r="C632" i="11"/>
  <c r="C633" i="11"/>
  <c r="C634" i="11"/>
  <c r="C635" i="11"/>
  <c r="C636" i="11"/>
  <c r="C637" i="11"/>
  <c r="C638" i="11"/>
  <c r="C639" i="11"/>
  <c r="C640" i="11"/>
  <c r="C641" i="11"/>
  <c r="C642" i="11"/>
  <c r="C643" i="11"/>
  <c r="C644" i="11"/>
  <c r="C645" i="11"/>
  <c r="C646" i="11"/>
  <c r="C647" i="11"/>
  <c r="C648" i="11"/>
  <c r="C649" i="11"/>
  <c r="C650" i="11"/>
  <c r="C651" i="11"/>
  <c r="C652" i="11"/>
  <c r="C653" i="11"/>
  <c r="C654" i="11"/>
  <c r="C655" i="11"/>
  <c r="C656" i="11"/>
  <c r="C657" i="11"/>
  <c r="C658" i="11"/>
  <c r="C659" i="11"/>
  <c r="C660" i="11"/>
  <c r="C661" i="11"/>
  <c r="C662" i="11"/>
  <c r="C663" i="11"/>
  <c r="C664" i="11"/>
  <c r="C665" i="11"/>
  <c r="C666" i="11"/>
  <c r="C667" i="11"/>
  <c r="C668" i="11"/>
  <c r="C669" i="11"/>
  <c r="C670" i="11"/>
  <c r="C671" i="11"/>
  <c r="C672" i="11"/>
  <c r="C673" i="11"/>
  <c r="C674" i="11"/>
  <c r="C675" i="11"/>
  <c r="C676" i="11"/>
  <c r="C677" i="11"/>
  <c r="C678" i="11"/>
  <c r="C679" i="11"/>
  <c r="C680" i="11"/>
  <c r="C681" i="11"/>
  <c r="C682" i="11"/>
  <c r="C683" i="11"/>
  <c r="C684" i="11"/>
  <c r="C685" i="11"/>
  <c r="C686" i="11"/>
  <c r="C687" i="11"/>
  <c r="C688" i="11"/>
  <c r="C689" i="11"/>
  <c r="C690" i="11"/>
  <c r="C691" i="11"/>
  <c r="C692" i="11"/>
  <c r="C693" i="11"/>
  <c r="C694" i="11"/>
  <c r="C695" i="11"/>
  <c r="C696" i="11"/>
  <c r="C697" i="11"/>
  <c r="C698" i="11"/>
  <c r="C699" i="11"/>
  <c r="C700" i="11"/>
  <c r="C701" i="11"/>
  <c r="C702" i="11"/>
  <c r="C703" i="11"/>
  <c r="C704" i="11"/>
  <c r="C705" i="11"/>
  <c r="C706" i="11"/>
  <c r="C707" i="11"/>
  <c r="C708" i="11"/>
  <c r="C709" i="11"/>
  <c r="C710" i="11"/>
  <c r="C711" i="11"/>
  <c r="C712" i="11"/>
  <c r="C713" i="11"/>
  <c r="C714" i="11"/>
  <c r="C715" i="11"/>
  <c r="C716" i="11"/>
  <c r="C717" i="11"/>
  <c r="C718" i="11"/>
  <c r="C719" i="11"/>
  <c r="C720" i="11"/>
  <c r="C721" i="11"/>
  <c r="C722" i="11"/>
  <c r="C723" i="11"/>
  <c r="C724" i="11"/>
  <c r="C725" i="11"/>
  <c r="C726" i="11"/>
  <c r="C727" i="11"/>
  <c r="C728" i="11"/>
  <c r="C729" i="11"/>
  <c r="C730" i="11"/>
  <c r="C731" i="11"/>
  <c r="C732" i="11"/>
  <c r="C733" i="11"/>
  <c r="C734" i="11"/>
  <c r="C735" i="11"/>
  <c r="C736" i="11"/>
  <c r="C737" i="11"/>
  <c r="C738" i="11"/>
  <c r="C739" i="11"/>
  <c r="C740" i="11"/>
  <c r="C741" i="11"/>
  <c r="C742" i="11"/>
  <c r="C743" i="11"/>
  <c r="C744" i="11"/>
  <c r="C745" i="11"/>
  <c r="C746" i="11"/>
  <c r="C747" i="11"/>
  <c r="C748" i="11"/>
  <c r="C749" i="11"/>
  <c r="C750" i="11"/>
  <c r="C751" i="11"/>
  <c r="C752" i="11"/>
  <c r="C753" i="11"/>
  <c r="C754" i="11"/>
  <c r="C755" i="11"/>
  <c r="C756" i="11"/>
  <c r="C757" i="11"/>
  <c r="C758" i="11"/>
  <c r="C759" i="11"/>
  <c r="C760" i="11"/>
  <c r="C761" i="11"/>
  <c r="C762" i="11"/>
  <c r="C763" i="11"/>
  <c r="C764" i="11"/>
  <c r="C765" i="11"/>
  <c r="C766" i="11"/>
  <c r="C767" i="11"/>
  <c r="C768" i="11"/>
  <c r="C769" i="11"/>
  <c r="C770" i="11"/>
  <c r="C771" i="11"/>
  <c r="C772" i="11"/>
  <c r="C773" i="11"/>
  <c r="C774" i="11"/>
  <c r="C775" i="11"/>
  <c r="C776" i="11"/>
  <c r="C777" i="11"/>
  <c r="C778" i="11"/>
  <c r="C779" i="11"/>
  <c r="C780" i="11"/>
  <c r="C781" i="11"/>
  <c r="C782" i="11"/>
  <c r="C783" i="11"/>
  <c r="C784" i="11"/>
  <c r="C785" i="11"/>
  <c r="C786" i="11"/>
  <c r="C787" i="11"/>
  <c r="C788" i="11"/>
  <c r="C789" i="11"/>
  <c r="C790" i="11"/>
  <c r="C791" i="11"/>
  <c r="C792" i="11"/>
  <c r="C793" i="11"/>
  <c r="C794" i="11"/>
  <c r="C795" i="11"/>
  <c r="C796" i="11"/>
  <c r="C797" i="11"/>
  <c r="C798" i="11"/>
  <c r="C799" i="11"/>
  <c r="C800" i="11"/>
  <c r="C801" i="11"/>
  <c r="C802" i="11"/>
  <c r="C803" i="11"/>
  <c r="C804" i="11"/>
  <c r="C805" i="11"/>
  <c r="C806" i="11"/>
  <c r="C807" i="11"/>
  <c r="C808" i="11"/>
  <c r="C809" i="11"/>
  <c r="C810" i="11"/>
  <c r="C811" i="11"/>
  <c r="C812" i="11"/>
  <c r="C813" i="11"/>
  <c r="C814" i="11"/>
  <c r="C815" i="11"/>
  <c r="C816" i="11"/>
  <c r="C817" i="11"/>
  <c r="C818" i="11"/>
  <c r="C819" i="11"/>
  <c r="C820" i="11"/>
  <c r="C821" i="11"/>
  <c r="C822" i="11"/>
  <c r="C823" i="11"/>
  <c r="C824" i="11"/>
  <c r="C825" i="11"/>
  <c r="C826" i="11"/>
  <c r="C827" i="11"/>
  <c r="C828" i="11"/>
  <c r="C829" i="11"/>
  <c r="C830" i="11"/>
  <c r="C831" i="11"/>
  <c r="C832" i="11"/>
  <c r="C833" i="11"/>
  <c r="C834" i="11"/>
  <c r="C835" i="11"/>
  <c r="C836" i="11"/>
  <c r="C837" i="11"/>
  <c r="C838" i="11"/>
  <c r="C839" i="11"/>
  <c r="C840" i="11"/>
  <c r="C841" i="11"/>
  <c r="C842" i="11"/>
  <c r="C843" i="11"/>
  <c r="C844" i="11"/>
  <c r="C845" i="11"/>
  <c r="C846" i="11"/>
  <c r="C847" i="11"/>
  <c r="C848" i="11"/>
  <c r="C849" i="11"/>
  <c r="C850" i="11"/>
  <c r="C851" i="11"/>
  <c r="C852" i="11"/>
  <c r="C853" i="11"/>
  <c r="C854" i="11"/>
  <c r="C855" i="11"/>
  <c r="C856" i="11"/>
  <c r="C857" i="11"/>
  <c r="C858" i="11"/>
  <c r="C859" i="11"/>
  <c r="C860" i="11"/>
  <c r="C861" i="11"/>
  <c r="C862" i="11"/>
  <c r="C863" i="11"/>
  <c r="C864" i="11"/>
  <c r="C865" i="11"/>
  <c r="C866" i="11"/>
  <c r="C867" i="11"/>
  <c r="C868" i="11"/>
  <c r="C869" i="11"/>
  <c r="C870" i="11"/>
  <c r="C871" i="11"/>
  <c r="C872" i="11"/>
  <c r="C873" i="11"/>
  <c r="C874" i="11"/>
  <c r="C875" i="11"/>
  <c r="C876" i="11"/>
  <c r="C877" i="11"/>
  <c r="C878" i="11"/>
  <c r="C879" i="11"/>
  <c r="C880" i="11"/>
  <c r="C881" i="11"/>
  <c r="C882" i="11"/>
  <c r="C883" i="11"/>
  <c r="C884" i="11"/>
  <c r="C885" i="11"/>
  <c r="C886" i="11"/>
  <c r="C887" i="11"/>
  <c r="C888" i="11"/>
  <c r="C889" i="11"/>
  <c r="C890" i="11"/>
  <c r="C891" i="11"/>
  <c r="C892" i="11"/>
  <c r="C893" i="11"/>
  <c r="C894" i="11"/>
  <c r="C895" i="11"/>
  <c r="C896" i="11"/>
  <c r="C897" i="11"/>
  <c r="C898" i="11"/>
  <c r="C899" i="11"/>
  <c r="C900" i="11"/>
  <c r="C901" i="11"/>
  <c r="C902" i="11"/>
  <c r="C903" i="11"/>
  <c r="C904" i="11"/>
  <c r="C905" i="11"/>
  <c r="C906" i="11"/>
  <c r="C907" i="11"/>
  <c r="C908" i="11"/>
  <c r="C909" i="11"/>
  <c r="C910" i="11"/>
  <c r="C911" i="11"/>
  <c r="C912" i="11"/>
  <c r="C913" i="11"/>
  <c r="C914" i="11"/>
  <c r="C915" i="11"/>
  <c r="C916" i="11"/>
  <c r="C917" i="11"/>
  <c r="C918" i="11"/>
  <c r="C919" i="11"/>
  <c r="C920" i="11"/>
  <c r="C921" i="11"/>
  <c r="C922" i="11"/>
  <c r="C923" i="11"/>
  <c r="C924" i="11"/>
  <c r="C925" i="11"/>
  <c r="C926" i="11"/>
  <c r="C927" i="11"/>
  <c r="C928" i="11"/>
  <c r="C929" i="11"/>
  <c r="C930" i="11"/>
  <c r="C931" i="11"/>
  <c r="C932" i="11"/>
  <c r="C933" i="11"/>
  <c r="C934" i="11"/>
  <c r="C935" i="11"/>
  <c r="C936" i="11"/>
  <c r="C937" i="11"/>
  <c r="C938" i="11"/>
  <c r="C939" i="11"/>
  <c r="C940" i="11"/>
  <c r="C941" i="11"/>
  <c r="C942" i="11"/>
  <c r="C943" i="11"/>
  <c r="C944" i="11"/>
  <c r="C945" i="11"/>
  <c r="C946" i="11"/>
  <c r="C947" i="11"/>
  <c r="C948" i="11"/>
  <c r="C949" i="11"/>
  <c r="C950" i="11"/>
  <c r="C951" i="11"/>
  <c r="C952" i="11"/>
  <c r="C953" i="11"/>
  <c r="C954" i="11"/>
  <c r="C955" i="11"/>
  <c r="C956" i="11"/>
  <c r="C957" i="11"/>
  <c r="C958" i="11"/>
  <c r="C959" i="11"/>
  <c r="C960" i="11"/>
  <c r="C961" i="11"/>
  <c r="C962" i="11"/>
  <c r="C963" i="11"/>
  <c r="C964" i="11"/>
  <c r="C965" i="11"/>
  <c r="C966" i="11"/>
  <c r="C967" i="11"/>
  <c r="C968" i="11"/>
  <c r="C969" i="11"/>
  <c r="C970" i="11"/>
  <c r="C971" i="11"/>
  <c r="C972" i="11"/>
  <c r="C973" i="11"/>
  <c r="C974" i="11"/>
  <c r="C975" i="11"/>
  <c r="C976" i="11"/>
  <c r="C977" i="11"/>
  <c r="C978" i="11"/>
  <c r="C979" i="11"/>
  <c r="C980" i="11"/>
  <c r="C981" i="11"/>
  <c r="C982" i="11"/>
  <c r="C983" i="11"/>
  <c r="C984" i="11"/>
  <c r="C985" i="11"/>
  <c r="C986" i="11"/>
  <c r="C987" i="11"/>
  <c r="C988" i="11"/>
  <c r="C989" i="11"/>
  <c r="C990" i="11"/>
  <c r="C991" i="11"/>
  <c r="C992" i="11"/>
  <c r="C993" i="11"/>
  <c r="C994" i="11"/>
  <c r="C995" i="11"/>
  <c r="C996" i="11"/>
  <c r="C997" i="11"/>
  <c r="C998" i="11"/>
  <c r="C999" i="11"/>
  <c r="C1000" i="11"/>
  <c r="C1001" i="11"/>
  <c r="C1002" i="11"/>
  <c r="C1003" i="11"/>
  <c r="C1004" i="11"/>
  <c r="C1005" i="11"/>
  <c r="C1006" i="11"/>
  <c r="C1007" i="11"/>
  <c r="C1008" i="11"/>
  <c r="C1009" i="11"/>
  <c r="C1010" i="11"/>
  <c r="C1011" i="11"/>
  <c r="C1012" i="11"/>
  <c r="C1013" i="11"/>
  <c r="C1014" i="11"/>
  <c r="C1015" i="11"/>
  <c r="C1016" i="11"/>
  <c r="C1017" i="11"/>
  <c r="C1018" i="11"/>
  <c r="C1019" i="11"/>
  <c r="C1020" i="11"/>
  <c r="C1021" i="11"/>
  <c r="C1022" i="11"/>
  <c r="C1023" i="11"/>
  <c r="C1024" i="11"/>
  <c r="C1025" i="11"/>
  <c r="C1026" i="11"/>
  <c r="C1027" i="11"/>
  <c r="C1028" i="11"/>
  <c r="C1029" i="11"/>
  <c r="C1030" i="11"/>
  <c r="C1031" i="11"/>
  <c r="C1032" i="11"/>
  <c r="C1033" i="11"/>
  <c r="C1034" i="11"/>
  <c r="C1035" i="11"/>
  <c r="C1036" i="11"/>
  <c r="C1037" i="11"/>
  <c r="C1038" i="11"/>
  <c r="C1039" i="11"/>
  <c r="C1040" i="11"/>
  <c r="C1041" i="11"/>
  <c r="C1042" i="11"/>
  <c r="C1043" i="11"/>
  <c r="C1044" i="11"/>
  <c r="C1045" i="11"/>
  <c r="C1046" i="11"/>
  <c r="C1047" i="11"/>
  <c r="C1048" i="11"/>
  <c r="C1049" i="11"/>
  <c r="C1050" i="11"/>
  <c r="C1051" i="11"/>
  <c r="C1052" i="11"/>
  <c r="C1053" i="11"/>
  <c r="C1054" i="11"/>
  <c r="C1055" i="11"/>
  <c r="C1056" i="11"/>
  <c r="C1057" i="11"/>
  <c r="C1058" i="11"/>
  <c r="C1059" i="11"/>
  <c r="C1060" i="11"/>
  <c r="C1061" i="11"/>
  <c r="C1062" i="11"/>
  <c r="C1063" i="11"/>
  <c r="C1064" i="11"/>
  <c r="C1065" i="11"/>
  <c r="C1066" i="11"/>
  <c r="C1067" i="11"/>
  <c r="C1068" i="11"/>
  <c r="C1069" i="11"/>
  <c r="C1070" i="11"/>
  <c r="C1071" i="11"/>
  <c r="C1072" i="11"/>
  <c r="C1073" i="11"/>
  <c r="C1074" i="11"/>
  <c r="C1075" i="11"/>
  <c r="C1076" i="11"/>
  <c r="C1077" i="11"/>
  <c r="C1078" i="11"/>
  <c r="C1079" i="11"/>
  <c r="C1080" i="11"/>
  <c r="C1081" i="11"/>
  <c r="C1082" i="11"/>
  <c r="C1083" i="11"/>
  <c r="C1084" i="11"/>
  <c r="C1085" i="11"/>
  <c r="C1086" i="11"/>
  <c r="C1087" i="11"/>
  <c r="C1088" i="11"/>
  <c r="C1089" i="11"/>
  <c r="C1090" i="11"/>
  <c r="C1091" i="11"/>
  <c r="C1092" i="11"/>
  <c r="C1093" i="11"/>
  <c r="C1094" i="11"/>
  <c r="C1095" i="11"/>
  <c r="C1096" i="11"/>
  <c r="C1097" i="11"/>
  <c r="C1098" i="11"/>
  <c r="C1099" i="11"/>
  <c r="C1100" i="11"/>
  <c r="C1101" i="11"/>
  <c r="C1102" i="11"/>
  <c r="C1103" i="11"/>
  <c r="C1104" i="11"/>
  <c r="C1105" i="11"/>
  <c r="C1106" i="11"/>
  <c r="C1107" i="11"/>
  <c r="C1108" i="11"/>
  <c r="C1109" i="11"/>
  <c r="C1110" i="11"/>
  <c r="C1111" i="11"/>
  <c r="C1112" i="11"/>
  <c r="C1113" i="11"/>
  <c r="C1114" i="11"/>
  <c r="C1115" i="11"/>
  <c r="C1116" i="11"/>
  <c r="C1117" i="11"/>
  <c r="C1118" i="11"/>
  <c r="C1119" i="11"/>
  <c r="C1120" i="11"/>
  <c r="C1121" i="11"/>
  <c r="C1122" i="11"/>
  <c r="C1123" i="11"/>
  <c r="C1124" i="11"/>
  <c r="C1125" i="11"/>
  <c r="C1126" i="11"/>
  <c r="C1127" i="11"/>
  <c r="C1128" i="11"/>
  <c r="C1129" i="11"/>
  <c r="C1130" i="11"/>
  <c r="C1131" i="11"/>
  <c r="C1132" i="11"/>
  <c r="C1133" i="11"/>
  <c r="C1134" i="11"/>
  <c r="C1135" i="11"/>
  <c r="C1136" i="11"/>
  <c r="C1137" i="11"/>
  <c r="C1138" i="11"/>
  <c r="C1139" i="11"/>
  <c r="C1140" i="11"/>
  <c r="C1141" i="11"/>
  <c r="C1142" i="11"/>
  <c r="C1143" i="11"/>
  <c r="C1144" i="11"/>
  <c r="C1145" i="11"/>
  <c r="C1146" i="11"/>
  <c r="C1147" i="11"/>
  <c r="C1148" i="11"/>
  <c r="C1149" i="11"/>
  <c r="C1150" i="11"/>
  <c r="C1151" i="11"/>
  <c r="C1152" i="11"/>
  <c r="C1153" i="11"/>
  <c r="C1154" i="11"/>
  <c r="C1155" i="11"/>
  <c r="C1156" i="11"/>
  <c r="C1157" i="11"/>
  <c r="C1158" i="11"/>
  <c r="C1159" i="11"/>
  <c r="C1160" i="11"/>
  <c r="C1161" i="11"/>
  <c r="C1162" i="11"/>
  <c r="C1163" i="11"/>
  <c r="C1164" i="11"/>
  <c r="C1165" i="11"/>
  <c r="C1166" i="11"/>
  <c r="C1167" i="11"/>
  <c r="C1168" i="11"/>
  <c r="C1169" i="11"/>
  <c r="C1170" i="11"/>
  <c r="C1171" i="11"/>
  <c r="C1172" i="11"/>
  <c r="C1173" i="11"/>
  <c r="C1174" i="11"/>
  <c r="C1175" i="11"/>
  <c r="C1176" i="11"/>
  <c r="C1177" i="11"/>
  <c r="C1178" i="11"/>
  <c r="C1179" i="11"/>
  <c r="C1180" i="11"/>
  <c r="C1181" i="11"/>
  <c r="C1182" i="11"/>
  <c r="C1183" i="11"/>
  <c r="C1184" i="11"/>
  <c r="C1185" i="11"/>
  <c r="C1186" i="11"/>
  <c r="C1187" i="11"/>
  <c r="C1188" i="11"/>
  <c r="C1189" i="11"/>
  <c r="C1190" i="11"/>
  <c r="C1191" i="11"/>
  <c r="C1192" i="11"/>
  <c r="C1193" i="11"/>
  <c r="C1194" i="11"/>
  <c r="C1195" i="11"/>
  <c r="C1196" i="11"/>
  <c r="C1197" i="11"/>
  <c r="C1198" i="11"/>
  <c r="C1199" i="11"/>
  <c r="C1200" i="11"/>
  <c r="C1201" i="11"/>
  <c r="C1202" i="11"/>
  <c r="C1203" i="11"/>
  <c r="C1204" i="11"/>
  <c r="C1205" i="11"/>
  <c r="C1206" i="11"/>
  <c r="C1207" i="11"/>
  <c r="C1208" i="11"/>
  <c r="C1209" i="11"/>
  <c r="C1210" i="11"/>
  <c r="C1211" i="11"/>
  <c r="C1212" i="11"/>
  <c r="C1213" i="11"/>
  <c r="C1214" i="11"/>
  <c r="C1215" i="11"/>
  <c r="C1216" i="11"/>
  <c r="C1217" i="11"/>
  <c r="C1218" i="11"/>
  <c r="C1219" i="11"/>
  <c r="C1220" i="11"/>
  <c r="C1221" i="11"/>
  <c r="C1222" i="11"/>
  <c r="C1223" i="11"/>
  <c r="C1224" i="11"/>
  <c r="C1225" i="11"/>
  <c r="C1226" i="11"/>
  <c r="C1227" i="11"/>
  <c r="C1228" i="11"/>
  <c r="C1229" i="11"/>
  <c r="C1230" i="11"/>
  <c r="C1231" i="11"/>
  <c r="C1232" i="11"/>
  <c r="C1233" i="11"/>
  <c r="C1234" i="11"/>
  <c r="C1235" i="11"/>
  <c r="C1236" i="11"/>
  <c r="C1237" i="11"/>
  <c r="C1238" i="11"/>
  <c r="C1239" i="11"/>
  <c r="C1240" i="11"/>
  <c r="C1241" i="11"/>
  <c r="C1242" i="11"/>
  <c r="C1243" i="11"/>
  <c r="C1244" i="11"/>
  <c r="C1245" i="11"/>
  <c r="C1246" i="11"/>
  <c r="C1247" i="11"/>
  <c r="C1248" i="11"/>
  <c r="C1249" i="11"/>
  <c r="C1250" i="11"/>
  <c r="C1251" i="11"/>
  <c r="C1252" i="11"/>
  <c r="C1253" i="11"/>
  <c r="C1254" i="11"/>
  <c r="C1255" i="11"/>
  <c r="C1256" i="11"/>
  <c r="C1257" i="11"/>
  <c r="C1258" i="11"/>
  <c r="C1259" i="11"/>
  <c r="C1260" i="11"/>
  <c r="C1261" i="11"/>
  <c r="C1262" i="11"/>
  <c r="C1263" i="11"/>
  <c r="C1264" i="11"/>
  <c r="C1265" i="11"/>
  <c r="C1266" i="11"/>
  <c r="C1267" i="11"/>
  <c r="C1268" i="11"/>
  <c r="C1269" i="11"/>
  <c r="C1270" i="11"/>
  <c r="C1271" i="11"/>
  <c r="C1272" i="11"/>
  <c r="C1273" i="11"/>
  <c r="C1274" i="11"/>
  <c r="C1275" i="11"/>
  <c r="C1276" i="11"/>
  <c r="C1277" i="11"/>
  <c r="C1278" i="11"/>
  <c r="C1279" i="11"/>
  <c r="C1280" i="11"/>
  <c r="C1281" i="11"/>
  <c r="C1282" i="11"/>
  <c r="C1283" i="11"/>
  <c r="C1284" i="11"/>
  <c r="C1285" i="11"/>
  <c r="C1286" i="11"/>
  <c r="C1287" i="11"/>
  <c r="C1288" i="11"/>
  <c r="C1289" i="11"/>
  <c r="C1290" i="11"/>
  <c r="C1291" i="11"/>
  <c r="C1292" i="11"/>
  <c r="C1293" i="11"/>
  <c r="C1294" i="11"/>
  <c r="C1295" i="11"/>
  <c r="C1296" i="11"/>
  <c r="C1297" i="11"/>
  <c r="C1298" i="11"/>
  <c r="C1299" i="11"/>
  <c r="C1300" i="11"/>
  <c r="C1301" i="11"/>
  <c r="C1302" i="11"/>
  <c r="C1303" i="11"/>
  <c r="C1304" i="11"/>
  <c r="C1305" i="11"/>
  <c r="C1306" i="11"/>
  <c r="C1307" i="11"/>
  <c r="C1308" i="11"/>
  <c r="C1309" i="11"/>
  <c r="C1310" i="11"/>
  <c r="C1311" i="11"/>
  <c r="C1312" i="11"/>
  <c r="C1313" i="11"/>
  <c r="C1314" i="11"/>
  <c r="C1315" i="11"/>
  <c r="C1316" i="11"/>
  <c r="C1317" i="11"/>
  <c r="C1318" i="11"/>
  <c r="C1319" i="11"/>
  <c r="C1320" i="11"/>
  <c r="C1321" i="11"/>
  <c r="C1322" i="11"/>
  <c r="C1323" i="11"/>
  <c r="C1324" i="11"/>
  <c r="C1325" i="11"/>
  <c r="C1326" i="11"/>
  <c r="C1327" i="11"/>
  <c r="C1328" i="11"/>
  <c r="C1329" i="11"/>
  <c r="C1330" i="11"/>
  <c r="C1331" i="11"/>
  <c r="C1332" i="11"/>
  <c r="C1333" i="11"/>
  <c r="C1334" i="11"/>
  <c r="C1335" i="11"/>
  <c r="C1336" i="11"/>
  <c r="C1337" i="11"/>
  <c r="C1338" i="11"/>
  <c r="C1339" i="11"/>
  <c r="C1340" i="11"/>
  <c r="C1341" i="11"/>
  <c r="C1342" i="11"/>
  <c r="C1343" i="11"/>
  <c r="C1344" i="11"/>
  <c r="C1345" i="11"/>
  <c r="C1346" i="11"/>
  <c r="C1347" i="11"/>
  <c r="C1348" i="11"/>
  <c r="C1349" i="11"/>
  <c r="C1350" i="11"/>
  <c r="C1351" i="11"/>
  <c r="C1352" i="11"/>
  <c r="C1353" i="11"/>
  <c r="C1354" i="11"/>
  <c r="C1355" i="11"/>
  <c r="C1356" i="11"/>
  <c r="C1357" i="11"/>
  <c r="C1358" i="11"/>
  <c r="C1359" i="11"/>
  <c r="C1360" i="11"/>
  <c r="C1361" i="11"/>
  <c r="C1362" i="11"/>
  <c r="C1363" i="11"/>
  <c r="C1364" i="11"/>
  <c r="C1365" i="11"/>
  <c r="C1366" i="11"/>
  <c r="C1367" i="11"/>
  <c r="C1368" i="11"/>
  <c r="C1369" i="11"/>
  <c r="C1370" i="11"/>
  <c r="C1371" i="11"/>
  <c r="C1372" i="11"/>
  <c r="C1373" i="11"/>
  <c r="C1374" i="11"/>
  <c r="C1375" i="11"/>
  <c r="C1376" i="11"/>
  <c r="C1377" i="11"/>
  <c r="C1378" i="11"/>
  <c r="C1379" i="11"/>
  <c r="C1380" i="11"/>
  <c r="C1381" i="11"/>
  <c r="C1382" i="11"/>
  <c r="C1383" i="11"/>
  <c r="C1384" i="11"/>
  <c r="C1385" i="11"/>
  <c r="C1386" i="11"/>
  <c r="C1387" i="11"/>
  <c r="C1388" i="11"/>
  <c r="C1389" i="11"/>
  <c r="C1390" i="11"/>
  <c r="C1391" i="11"/>
  <c r="C1392" i="11"/>
  <c r="C1393" i="11"/>
  <c r="C1394" i="11"/>
  <c r="C1395" i="11"/>
  <c r="C1396" i="11"/>
  <c r="C1397" i="11"/>
  <c r="C1398" i="11"/>
  <c r="C1399" i="11"/>
  <c r="C1400" i="11"/>
  <c r="C1401" i="11"/>
  <c r="C1402" i="11"/>
  <c r="C1403" i="11"/>
  <c r="C1404" i="11"/>
  <c r="C1405" i="11"/>
  <c r="C1406" i="11"/>
  <c r="C1407" i="11"/>
  <c r="C1408" i="11"/>
  <c r="C1409" i="11"/>
  <c r="C1410" i="11"/>
  <c r="C1411" i="11"/>
  <c r="C1412" i="11"/>
  <c r="C1413" i="11"/>
  <c r="C1414" i="11"/>
  <c r="C1415" i="11"/>
  <c r="C1416" i="11"/>
  <c r="C1417" i="11"/>
  <c r="C1418" i="11"/>
  <c r="C1419" i="11"/>
  <c r="C1420" i="11"/>
  <c r="C1421" i="11"/>
  <c r="C1422" i="11"/>
  <c r="C1423" i="11"/>
  <c r="C1424" i="11"/>
  <c r="C1425" i="11"/>
  <c r="C1426" i="11"/>
  <c r="C1427" i="11"/>
  <c r="C1428" i="11"/>
  <c r="C1429" i="11"/>
  <c r="C1430" i="11"/>
  <c r="C1431" i="11"/>
  <c r="C1432" i="11"/>
  <c r="C1433" i="11"/>
  <c r="C1434" i="11"/>
  <c r="C1435" i="11"/>
  <c r="C1436" i="11"/>
  <c r="C1437" i="11"/>
  <c r="C1438" i="11"/>
  <c r="C1439" i="11"/>
  <c r="C1440" i="11"/>
  <c r="C1441" i="11"/>
  <c r="C1442" i="11"/>
  <c r="C1443" i="11"/>
  <c r="C1444" i="11"/>
  <c r="C1445" i="11"/>
  <c r="C1446" i="11"/>
  <c r="C1447" i="11"/>
  <c r="C1448" i="11"/>
  <c r="C1449" i="11"/>
  <c r="C1450" i="11"/>
  <c r="C1451" i="11"/>
  <c r="C1452" i="11"/>
  <c r="C1453" i="11"/>
  <c r="C1454" i="11"/>
  <c r="C1455" i="11"/>
  <c r="C1456" i="11"/>
  <c r="C1457" i="11"/>
  <c r="C1458" i="11"/>
  <c r="C1459" i="11"/>
  <c r="C1460" i="11"/>
  <c r="C1461" i="11"/>
  <c r="C1462" i="11"/>
  <c r="C1463" i="11"/>
  <c r="C1464" i="11"/>
  <c r="C1465" i="11"/>
  <c r="C1466" i="11"/>
  <c r="C1467" i="11"/>
  <c r="C1468" i="11"/>
  <c r="C1469" i="11"/>
  <c r="C1470" i="11"/>
  <c r="C1471" i="11"/>
  <c r="C1472" i="11"/>
  <c r="C1473" i="11"/>
  <c r="C1474" i="11"/>
  <c r="C1475" i="11"/>
  <c r="C1476" i="11"/>
  <c r="C1477" i="11"/>
  <c r="C1478" i="11"/>
  <c r="C1479" i="11"/>
  <c r="C1480" i="11"/>
  <c r="C1481" i="11"/>
  <c r="C1482" i="11"/>
  <c r="C1483" i="11"/>
  <c r="C1484" i="11"/>
  <c r="C1485" i="11"/>
  <c r="C1486" i="11"/>
  <c r="C1487" i="11"/>
  <c r="C1488" i="11"/>
  <c r="C1489" i="11"/>
  <c r="C1490" i="11"/>
  <c r="C1491" i="11"/>
  <c r="C1492" i="11"/>
  <c r="C1493" i="11"/>
  <c r="C1494" i="11"/>
  <c r="C1495" i="11"/>
  <c r="C1496" i="11"/>
  <c r="C1497" i="11"/>
  <c r="C1498" i="11"/>
  <c r="C1499" i="11"/>
  <c r="C1500" i="11"/>
  <c r="C1501" i="11"/>
  <c r="C1502" i="11"/>
  <c r="C1503" i="11"/>
  <c r="C1504" i="11"/>
  <c r="C1505" i="11"/>
  <c r="C1506" i="11"/>
  <c r="C1507" i="11"/>
  <c r="C1508" i="11"/>
  <c r="C1509" i="11"/>
  <c r="C1510" i="11"/>
  <c r="C1511" i="11"/>
  <c r="C1512" i="11"/>
  <c r="C1513" i="11"/>
  <c r="C1514" i="11"/>
  <c r="C1515" i="11"/>
  <c r="C1516" i="11"/>
  <c r="C1517" i="11"/>
  <c r="C1518" i="11"/>
  <c r="C1519" i="11"/>
  <c r="C1520" i="11"/>
  <c r="C1521" i="11"/>
  <c r="C1522" i="11"/>
  <c r="C1523" i="11"/>
  <c r="C1524" i="11"/>
  <c r="C1525" i="11"/>
  <c r="C1526" i="11"/>
  <c r="C1527" i="11"/>
  <c r="C1528" i="11"/>
  <c r="C1529" i="11"/>
  <c r="C1530" i="11"/>
  <c r="C1531" i="11"/>
  <c r="C1532" i="11"/>
  <c r="C1533" i="11"/>
  <c r="C1534" i="11"/>
  <c r="C1535" i="11"/>
  <c r="C1536" i="11"/>
  <c r="C1537" i="11"/>
  <c r="C1538" i="11"/>
  <c r="C1539" i="11"/>
  <c r="C1540" i="11"/>
  <c r="C1541" i="11"/>
  <c r="C1542" i="11"/>
  <c r="C1543" i="11"/>
  <c r="C1544" i="11"/>
  <c r="C1545" i="11"/>
  <c r="C1546" i="11"/>
  <c r="C1547" i="11"/>
  <c r="C1548" i="11"/>
  <c r="C1549" i="11"/>
  <c r="C1550" i="11"/>
  <c r="C1551" i="11"/>
  <c r="C1552" i="11"/>
  <c r="C1553" i="11"/>
  <c r="C1554" i="11"/>
  <c r="C1555" i="11"/>
  <c r="C1556" i="11"/>
  <c r="C1557" i="11"/>
  <c r="C1558" i="11"/>
  <c r="C1559" i="11"/>
  <c r="C1560" i="11"/>
  <c r="C1561" i="11"/>
  <c r="C1562" i="11"/>
  <c r="C1563" i="11"/>
  <c r="C1564" i="11"/>
  <c r="C1565" i="11"/>
  <c r="C1566" i="11"/>
  <c r="C1567" i="11"/>
  <c r="C1568" i="11"/>
  <c r="C1569" i="11"/>
  <c r="C1570" i="11"/>
  <c r="C1571" i="11"/>
  <c r="C1572" i="11"/>
  <c r="C1573" i="11"/>
  <c r="C1574" i="11"/>
  <c r="C1575" i="11"/>
  <c r="C1576" i="11"/>
  <c r="C1577" i="11"/>
  <c r="C1578" i="11"/>
  <c r="C1579" i="11"/>
  <c r="C1580" i="11"/>
  <c r="C1581" i="11"/>
  <c r="C1582" i="11"/>
  <c r="C1583" i="11"/>
  <c r="C1584" i="11"/>
  <c r="C1585" i="11"/>
  <c r="C1586" i="11"/>
  <c r="C1587" i="11"/>
  <c r="C1588" i="11"/>
  <c r="C1589" i="11"/>
  <c r="C1590" i="11"/>
  <c r="C1591" i="11"/>
  <c r="C1592" i="11"/>
  <c r="C1593" i="11"/>
  <c r="C1594" i="11"/>
  <c r="C1595" i="11"/>
  <c r="C1596" i="11"/>
  <c r="C1597" i="11"/>
  <c r="C1598" i="11"/>
  <c r="C1599" i="11"/>
  <c r="C1600" i="11"/>
  <c r="C1601" i="11"/>
  <c r="C1602" i="11"/>
  <c r="C1603" i="11"/>
  <c r="C1604" i="11"/>
  <c r="C1605" i="11"/>
  <c r="C1606" i="11"/>
  <c r="C1607" i="11"/>
  <c r="C1608" i="11"/>
  <c r="C1609" i="11"/>
  <c r="C1610" i="11"/>
  <c r="C1611" i="11"/>
  <c r="C1612" i="11"/>
  <c r="C1613" i="11"/>
  <c r="C1614" i="11"/>
  <c r="C1615" i="11"/>
  <c r="C1616" i="11"/>
  <c r="C1617" i="11"/>
  <c r="C1618" i="11"/>
  <c r="C1619" i="11"/>
  <c r="C1620" i="11"/>
  <c r="C1621" i="11"/>
  <c r="C1622" i="11"/>
  <c r="C1623" i="11"/>
  <c r="C1624" i="11"/>
  <c r="C1625" i="11"/>
  <c r="C1626" i="11"/>
  <c r="C1627" i="11"/>
  <c r="C1628" i="11"/>
  <c r="C1629" i="11"/>
  <c r="C1630" i="11"/>
  <c r="C1631" i="11"/>
  <c r="C1632" i="11"/>
  <c r="C1633" i="11"/>
  <c r="C1634" i="11"/>
  <c r="C1635" i="11"/>
  <c r="C1636" i="11"/>
  <c r="C1637" i="11"/>
  <c r="C1638" i="11"/>
  <c r="C1639" i="11"/>
  <c r="C1640" i="11"/>
  <c r="C1641" i="11"/>
  <c r="C1642" i="11"/>
  <c r="C1643" i="11"/>
  <c r="C1644" i="11"/>
  <c r="C1645" i="11"/>
  <c r="C1646" i="11"/>
  <c r="C1647" i="11"/>
  <c r="C1648" i="11"/>
  <c r="C1649" i="11"/>
  <c r="C1650" i="11"/>
  <c r="C1651" i="11"/>
  <c r="C1652" i="11"/>
  <c r="C1653" i="11"/>
  <c r="C1654" i="11"/>
  <c r="C1655" i="11"/>
  <c r="C1656" i="11"/>
  <c r="C1657" i="11"/>
  <c r="C1658" i="11"/>
  <c r="C1659" i="11"/>
  <c r="C1660" i="11"/>
  <c r="C1661" i="11"/>
  <c r="C1662" i="11"/>
  <c r="C1663" i="11"/>
  <c r="C1664" i="11"/>
  <c r="C1665" i="11"/>
  <c r="C1666" i="11"/>
  <c r="C1667" i="11"/>
  <c r="C1668" i="11"/>
  <c r="C1669" i="11"/>
  <c r="C1670" i="11"/>
  <c r="C1671" i="11"/>
  <c r="C1672" i="11"/>
  <c r="C1673" i="11"/>
  <c r="C1674" i="11"/>
  <c r="C1675" i="11"/>
  <c r="C1676" i="11"/>
  <c r="C1677" i="11"/>
  <c r="C1678" i="11"/>
  <c r="C1679" i="11"/>
  <c r="C1680" i="11"/>
  <c r="C1681" i="11"/>
  <c r="C1682" i="11"/>
  <c r="C1683" i="11"/>
  <c r="C1684" i="11"/>
  <c r="C1685" i="11"/>
  <c r="C1686" i="11"/>
  <c r="C1687" i="11"/>
  <c r="C1688" i="11"/>
  <c r="C1689" i="11"/>
  <c r="C1690" i="11"/>
  <c r="C1691" i="11"/>
  <c r="C1692" i="11"/>
  <c r="C1693" i="11"/>
  <c r="C1694" i="11"/>
  <c r="C1695" i="11"/>
  <c r="C1696" i="11"/>
  <c r="C1697" i="11"/>
  <c r="C1698" i="11"/>
  <c r="C1699" i="11"/>
  <c r="C1700" i="11"/>
  <c r="C1701" i="11"/>
  <c r="C1702" i="11"/>
  <c r="C1703" i="11"/>
  <c r="C1704" i="11"/>
  <c r="C1705" i="11"/>
  <c r="C1706" i="11"/>
  <c r="C1707" i="11"/>
  <c r="C1708" i="11"/>
  <c r="C1709" i="11"/>
  <c r="C1710" i="11"/>
  <c r="C1711" i="11"/>
  <c r="C1712" i="11"/>
  <c r="C1713" i="11"/>
  <c r="C1714" i="11"/>
  <c r="C1715" i="11"/>
  <c r="C1716" i="11"/>
  <c r="C1717" i="11"/>
  <c r="C1718" i="11"/>
  <c r="C1719" i="11"/>
  <c r="C1720" i="11"/>
  <c r="C1721" i="11"/>
  <c r="C1722" i="11"/>
  <c r="C1723" i="11"/>
  <c r="C1724" i="11"/>
  <c r="C1725" i="11"/>
  <c r="C1726" i="11"/>
  <c r="C1727" i="11"/>
  <c r="C1728" i="11"/>
  <c r="C1729" i="11"/>
  <c r="C1730" i="11"/>
  <c r="C1731" i="11"/>
  <c r="C1732" i="11"/>
  <c r="C1733" i="11"/>
  <c r="C1734" i="11"/>
  <c r="C1735" i="11"/>
  <c r="C1736" i="11"/>
  <c r="C1737" i="11"/>
  <c r="C1738" i="11"/>
  <c r="C1739" i="11"/>
  <c r="C1740" i="11"/>
  <c r="C1741" i="11"/>
  <c r="C1742" i="11"/>
  <c r="C1743" i="11"/>
  <c r="C1744" i="11"/>
  <c r="C1745" i="11"/>
  <c r="C1746" i="11"/>
  <c r="C1747" i="11"/>
  <c r="C1748" i="11"/>
  <c r="C1749" i="11"/>
  <c r="C1750" i="11"/>
  <c r="C1751" i="11"/>
  <c r="C1752" i="11"/>
  <c r="C1753" i="11"/>
  <c r="C1754" i="11"/>
  <c r="C1755" i="11"/>
  <c r="C1756" i="11"/>
  <c r="C1757" i="11"/>
  <c r="C1758" i="11"/>
  <c r="C1759" i="11"/>
  <c r="C1760" i="11"/>
  <c r="C1761" i="11"/>
  <c r="C1762" i="11"/>
  <c r="C1763" i="11"/>
  <c r="C1764" i="11"/>
  <c r="C1765" i="11"/>
  <c r="C1766" i="11"/>
  <c r="C1767" i="11"/>
  <c r="C1768" i="11"/>
  <c r="C1769" i="11"/>
  <c r="C1770" i="11"/>
  <c r="C1771" i="11"/>
  <c r="C1772" i="11"/>
  <c r="C1773" i="11"/>
  <c r="C1774" i="11"/>
  <c r="C1775" i="11"/>
  <c r="C1776" i="11"/>
  <c r="C1777" i="11"/>
  <c r="C1778" i="11"/>
  <c r="C1779" i="11"/>
  <c r="C1780" i="11"/>
  <c r="C1781" i="11"/>
  <c r="C1782" i="11"/>
  <c r="C1783" i="11"/>
  <c r="C1784" i="11"/>
  <c r="C1785" i="11"/>
  <c r="C1786" i="11"/>
  <c r="C1787" i="11"/>
  <c r="C1788" i="11"/>
  <c r="C1789" i="11"/>
  <c r="C1790" i="11"/>
  <c r="C1791" i="11"/>
  <c r="C1792" i="11"/>
  <c r="C1793" i="11"/>
  <c r="C1794" i="11"/>
  <c r="C1795" i="11"/>
  <c r="C1796" i="11"/>
  <c r="C1797" i="11"/>
  <c r="C1798" i="11"/>
  <c r="C1799" i="11"/>
  <c r="C1800" i="11"/>
  <c r="C1801" i="11"/>
  <c r="C1802" i="11"/>
  <c r="C1803" i="11"/>
  <c r="C1804" i="11"/>
  <c r="C1805" i="11"/>
  <c r="C1806" i="11"/>
  <c r="C1807" i="11"/>
  <c r="C1808" i="11"/>
  <c r="C1809" i="11"/>
  <c r="C1810" i="11"/>
  <c r="C1811" i="11"/>
  <c r="C1812" i="11"/>
  <c r="C1813" i="11"/>
  <c r="C1814" i="11"/>
  <c r="C1815" i="11"/>
  <c r="C1816" i="11"/>
  <c r="C1817" i="11"/>
  <c r="C1818" i="11"/>
  <c r="C1819" i="11"/>
  <c r="C1820" i="11"/>
  <c r="C1821" i="11"/>
  <c r="C1822" i="11"/>
  <c r="C1823" i="11"/>
  <c r="C1824" i="11"/>
  <c r="C1825" i="11"/>
  <c r="C1826" i="11"/>
  <c r="C1827" i="11"/>
  <c r="C1828" i="11"/>
  <c r="C1829" i="11"/>
  <c r="C1830" i="11"/>
  <c r="C1831" i="11"/>
  <c r="C1832" i="11"/>
  <c r="C1833" i="11"/>
  <c r="C1834" i="11"/>
  <c r="C1835" i="11"/>
  <c r="C1836" i="11"/>
  <c r="C1837" i="11"/>
  <c r="C1838" i="11"/>
  <c r="C1839" i="11"/>
  <c r="C1840" i="11"/>
  <c r="C1841" i="11"/>
  <c r="C1842" i="11"/>
  <c r="C1843" i="11"/>
  <c r="C1844" i="11"/>
  <c r="C1845" i="11"/>
  <c r="C1846" i="11"/>
  <c r="C1847" i="11"/>
  <c r="C1848" i="11"/>
  <c r="C1849" i="11"/>
  <c r="C1850" i="11"/>
  <c r="C1851" i="11"/>
  <c r="C1852" i="11"/>
  <c r="C1853" i="11"/>
  <c r="C1854" i="11"/>
  <c r="C1855" i="11"/>
  <c r="C1856" i="11"/>
  <c r="C1857" i="11"/>
  <c r="C1858" i="11"/>
  <c r="C1859" i="11"/>
  <c r="C1860" i="11"/>
  <c r="C1861" i="11"/>
  <c r="C1862" i="11"/>
  <c r="C1863" i="11"/>
  <c r="C1864" i="11"/>
  <c r="C1865" i="11"/>
  <c r="C1866" i="11"/>
  <c r="C1867" i="11"/>
  <c r="C1868" i="11"/>
  <c r="C1869" i="11"/>
  <c r="C1870" i="11"/>
  <c r="C1871" i="11"/>
  <c r="C1872" i="11"/>
  <c r="C1873" i="11"/>
  <c r="C1874" i="11"/>
  <c r="C1875" i="11"/>
  <c r="C1876" i="11"/>
  <c r="C1877" i="11"/>
  <c r="C1878" i="11"/>
  <c r="C1879" i="11"/>
  <c r="C1880" i="11"/>
  <c r="C1881" i="11"/>
  <c r="C1882" i="11"/>
  <c r="C1883" i="11"/>
  <c r="C1884" i="11"/>
  <c r="C1885" i="11"/>
  <c r="C1886" i="11"/>
  <c r="C1887" i="11"/>
  <c r="C1888" i="11"/>
  <c r="C1889" i="11"/>
  <c r="C1890" i="11"/>
  <c r="C1891" i="11"/>
  <c r="C1892" i="11"/>
  <c r="C1893" i="11"/>
  <c r="C1894" i="11"/>
  <c r="C1895" i="11"/>
  <c r="C1896" i="11"/>
  <c r="C1897" i="11"/>
  <c r="C1898" i="11"/>
  <c r="C1899" i="11"/>
  <c r="C1900" i="11"/>
  <c r="C1901" i="11"/>
  <c r="C1902" i="11"/>
  <c r="C1903" i="11"/>
  <c r="C1904" i="11"/>
  <c r="C1905" i="11"/>
  <c r="C1906" i="11"/>
  <c r="C1907" i="11"/>
  <c r="C1908" i="11"/>
  <c r="C1909" i="11"/>
  <c r="C1910" i="11"/>
  <c r="C1911" i="11"/>
  <c r="C1912" i="11"/>
  <c r="C1913" i="11"/>
  <c r="C1914" i="11"/>
  <c r="C1915" i="11"/>
  <c r="C1916" i="11"/>
  <c r="C1917" i="11"/>
  <c r="C1918" i="11"/>
  <c r="C1919" i="11"/>
  <c r="C1920" i="11"/>
  <c r="C1921" i="11"/>
  <c r="C1922" i="11"/>
  <c r="C1923" i="11"/>
  <c r="C1924" i="11"/>
  <c r="C1925" i="11"/>
  <c r="C1926" i="11"/>
  <c r="C1927" i="11"/>
  <c r="C1928" i="11"/>
  <c r="C1929" i="11"/>
  <c r="C1930" i="11"/>
  <c r="C1931" i="11"/>
  <c r="C1932" i="11"/>
  <c r="C1933" i="11"/>
  <c r="C1934" i="11"/>
  <c r="C1935" i="11"/>
  <c r="C1936" i="11"/>
  <c r="C1937" i="11"/>
  <c r="C1938" i="11"/>
  <c r="C1939" i="11"/>
  <c r="C1940" i="11"/>
  <c r="C1941" i="11"/>
  <c r="C1942" i="11"/>
  <c r="C1943" i="11"/>
  <c r="C1944" i="11"/>
  <c r="C1945" i="11"/>
  <c r="C1946" i="11"/>
  <c r="C1947" i="11"/>
  <c r="C1948" i="11"/>
  <c r="C1949" i="11"/>
  <c r="C1950" i="11"/>
  <c r="C1951" i="11"/>
  <c r="C1952" i="11"/>
  <c r="C1953" i="11"/>
  <c r="C1954" i="11"/>
  <c r="C1955" i="11"/>
  <c r="C1956" i="11"/>
  <c r="C1957" i="11"/>
  <c r="C1958" i="11"/>
  <c r="C1959" i="11"/>
  <c r="C1960" i="11"/>
  <c r="C1961" i="11"/>
  <c r="C1962" i="11"/>
  <c r="C1963" i="11"/>
  <c r="C1964" i="11"/>
  <c r="C1965" i="11"/>
  <c r="C1966" i="11"/>
  <c r="C1967" i="11"/>
  <c r="C1968" i="11"/>
  <c r="C1969" i="11"/>
  <c r="C1970" i="11"/>
  <c r="C1971" i="11"/>
  <c r="C1972" i="11"/>
  <c r="C1973" i="11"/>
  <c r="C1974" i="11"/>
  <c r="C1975" i="11"/>
  <c r="C1976" i="11"/>
  <c r="C1977" i="11"/>
  <c r="C1978" i="11"/>
  <c r="C1979" i="11"/>
  <c r="C1980" i="11"/>
  <c r="C1981" i="11"/>
  <c r="C1982" i="11"/>
  <c r="C1983" i="11"/>
  <c r="C1984" i="11"/>
  <c r="C1985" i="11"/>
  <c r="C1986" i="11"/>
  <c r="C1987" i="11"/>
  <c r="C1988" i="11"/>
  <c r="C1989" i="11"/>
  <c r="C1990" i="11"/>
  <c r="C1991" i="11"/>
  <c r="C1992" i="11"/>
  <c r="C1993" i="11"/>
  <c r="C1994" i="11"/>
  <c r="C1995" i="11"/>
  <c r="C1996" i="11"/>
  <c r="C1997" i="11"/>
  <c r="C1998" i="11"/>
  <c r="C1999" i="11"/>
  <c r="C2000" i="11"/>
  <c r="C2001" i="11"/>
  <c r="C2002" i="11"/>
  <c r="C2003" i="11"/>
  <c r="C2004" i="11"/>
  <c r="C2005" i="11"/>
  <c r="C2006" i="11"/>
  <c r="C2007" i="11"/>
  <c r="C2008" i="11"/>
  <c r="C2009" i="11"/>
  <c r="C2010" i="11"/>
  <c r="C2011" i="11"/>
  <c r="C2012" i="11"/>
  <c r="C2013" i="11"/>
  <c r="C2014" i="11"/>
  <c r="C2015" i="11"/>
  <c r="C2016" i="11"/>
  <c r="C2017" i="11"/>
  <c r="C2018" i="11"/>
  <c r="C2019" i="11"/>
  <c r="C2020" i="11"/>
  <c r="C2021" i="11"/>
  <c r="C2022" i="11"/>
  <c r="C2023" i="11"/>
  <c r="C2024" i="11"/>
  <c r="C2025" i="11"/>
  <c r="C2026" i="11"/>
  <c r="C2027" i="11"/>
  <c r="C2028" i="11"/>
  <c r="C2029" i="11"/>
  <c r="C2030" i="11"/>
  <c r="C2031" i="11"/>
  <c r="C2032" i="11"/>
  <c r="C2033" i="11"/>
  <c r="C2034" i="11"/>
  <c r="C2035" i="11"/>
  <c r="C2036" i="11"/>
  <c r="C2037" i="11"/>
  <c r="C2038" i="11"/>
  <c r="C2039" i="11"/>
  <c r="C2040" i="11"/>
  <c r="C2041" i="11"/>
  <c r="C2042" i="11"/>
  <c r="C2043" i="11"/>
  <c r="C2044" i="11"/>
  <c r="C2045" i="11"/>
  <c r="C2046" i="11"/>
  <c r="C2047" i="11"/>
  <c r="C2048" i="11"/>
  <c r="C2049" i="11"/>
  <c r="C2050" i="11"/>
  <c r="C2051" i="11"/>
  <c r="C2052" i="11"/>
  <c r="C2053" i="11"/>
  <c r="C2054" i="11"/>
  <c r="C2055" i="11"/>
  <c r="C2056" i="11"/>
  <c r="C2057" i="11"/>
  <c r="C2058" i="11"/>
  <c r="C2059" i="11"/>
  <c r="C2060" i="11"/>
  <c r="C2061" i="11"/>
  <c r="C2062" i="11"/>
  <c r="C2063" i="11"/>
  <c r="C2064" i="11"/>
  <c r="C2065" i="11"/>
  <c r="C2066" i="11"/>
  <c r="C2067" i="11"/>
  <c r="C2068" i="11"/>
  <c r="C2069" i="11"/>
  <c r="C2070" i="11"/>
  <c r="C2071" i="11"/>
  <c r="C2072" i="11"/>
  <c r="C2073" i="11"/>
  <c r="C2074" i="11"/>
  <c r="C2075" i="11"/>
  <c r="C2076" i="11"/>
  <c r="C2077" i="11"/>
  <c r="C2078" i="11"/>
  <c r="C2079" i="11"/>
  <c r="C2080" i="11"/>
  <c r="C2081" i="11"/>
  <c r="C2082" i="11"/>
  <c r="C2083" i="11"/>
  <c r="C2084" i="11"/>
  <c r="C2085" i="11"/>
  <c r="C2086" i="11"/>
  <c r="C2087" i="11"/>
  <c r="C2088" i="11"/>
  <c r="C2089" i="11"/>
  <c r="C2090" i="11"/>
  <c r="C2091" i="11"/>
  <c r="C2092" i="11"/>
  <c r="C2093" i="11"/>
  <c r="C2094" i="11"/>
  <c r="C2095" i="11"/>
  <c r="C2096" i="11"/>
  <c r="C2097" i="11"/>
  <c r="C2098" i="11"/>
  <c r="C2099" i="11"/>
  <c r="C2100" i="11"/>
  <c r="C2101" i="11"/>
  <c r="C2102" i="11"/>
  <c r="C2103" i="11"/>
  <c r="C2104" i="11"/>
  <c r="C2105" i="11"/>
  <c r="C2106" i="11"/>
  <c r="C2107" i="11"/>
  <c r="C2108" i="11"/>
  <c r="C2109" i="11"/>
  <c r="C2110" i="11"/>
  <c r="C2111" i="11"/>
  <c r="C2112" i="11"/>
  <c r="C2113" i="11"/>
  <c r="C2114" i="11"/>
  <c r="C2115" i="11"/>
  <c r="C2116" i="11"/>
  <c r="C2117" i="11"/>
  <c r="C2118" i="11"/>
  <c r="C2119" i="11"/>
  <c r="C2120" i="11"/>
  <c r="C2121" i="11"/>
  <c r="C2122" i="11"/>
  <c r="C2123" i="11"/>
  <c r="C2124" i="11"/>
  <c r="C2125" i="11"/>
  <c r="C2126" i="11"/>
  <c r="C2127" i="11"/>
  <c r="C2128" i="11"/>
  <c r="C2129" i="11"/>
  <c r="C2130" i="11"/>
  <c r="C2131" i="11"/>
  <c r="C2132" i="11"/>
  <c r="C2133" i="11"/>
  <c r="C2134" i="11"/>
  <c r="C2135" i="11"/>
  <c r="C2136" i="11"/>
  <c r="C2137" i="11"/>
  <c r="C2138" i="11"/>
  <c r="C2139" i="11"/>
  <c r="C2140" i="11"/>
  <c r="C2141" i="11"/>
  <c r="C2142" i="11"/>
  <c r="C2143" i="11"/>
  <c r="C2144" i="11"/>
  <c r="C2145" i="11"/>
  <c r="C2146" i="11"/>
  <c r="C2147" i="11"/>
  <c r="C2148" i="11"/>
  <c r="C2149" i="11"/>
  <c r="C2150" i="11"/>
  <c r="C2151" i="11"/>
  <c r="C2152" i="11"/>
  <c r="C2153" i="11"/>
  <c r="C2154" i="11"/>
  <c r="C2155" i="11"/>
  <c r="C2156" i="11"/>
  <c r="C2157" i="11"/>
  <c r="C2158" i="11"/>
  <c r="C2159" i="11"/>
  <c r="C2160" i="11"/>
  <c r="C2161" i="11"/>
  <c r="C2162" i="11"/>
  <c r="C2163" i="11"/>
  <c r="C2164" i="11"/>
  <c r="C2165" i="11"/>
  <c r="C2166" i="11"/>
  <c r="C2167" i="11"/>
  <c r="C2168" i="11"/>
  <c r="C2169" i="11"/>
  <c r="C2170" i="11"/>
  <c r="C2171" i="11"/>
  <c r="C2172" i="11"/>
  <c r="C2173" i="11"/>
  <c r="C2174" i="11"/>
  <c r="C2175" i="11"/>
  <c r="C2176" i="11"/>
  <c r="C2177" i="11"/>
  <c r="C2178" i="11"/>
  <c r="C2179" i="11"/>
  <c r="C2180" i="11"/>
  <c r="C2181" i="11"/>
  <c r="C2182" i="11"/>
  <c r="C2183" i="11"/>
  <c r="C2184" i="11"/>
  <c r="C2185" i="11"/>
  <c r="C2186" i="11"/>
  <c r="C2187" i="11"/>
  <c r="C2188" i="11"/>
  <c r="C2189" i="11"/>
  <c r="C2190" i="11"/>
  <c r="C2191" i="11"/>
  <c r="C2192" i="11"/>
  <c r="C2193" i="11"/>
  <c r="C2194" i="11"/>
  <c r="C2195" i="11"/>
  <c r="C2196" i="11"/>
  <c r="C2197" i="11"/>
  <c r="C2198" i="11"/>
  <c r="C2199" i="11"/>
  <c r="C2200" i="11"/>
  <c r="C2201" i="11"/>
  <c r="C2202" i="11"/>
  <c r="C2203" i="11"/>
  <c r="C2204" i="11"/>
  <c r="C2205" i="11"/>
  <c r="C2206" i="11"/>
  <c r="C2207" i="11"/>
  <c r="C2208" i="11"/>
  <c r="C2209" i="11"/>
  <c r="C2210" i="11"/>
  <c r="C2211" i="11"/>
  <c r="C2212" i="11"/>
  <c r="C2213" i="11"/>
  <c r="C2214" i="11"/>
  <c r="C2215" i="11"/>
  <c r="C2216" i="11"/>
  <c r="C2217" i="11"/>
  <c r="C2218" i="11"/>
  <c r="C2219" i="11"/>
  <c r="C2220" i="11"/>
  <c r="C2221" i="11"/>
  <c r="C2222" i="11"/>
  <c r="C2223" i="11"/>
  <c r="C2224" i="11"/>
  <c r="C2225" i="11"/>
  <c r="C2226" i="11"/>
  <c r="C2227" i="11"/>
  <c r="C2228" i="11"/>
  <c r="C2229" i="11"/>
  <c r="C2230" i="11"/>
  <c r="C2231" i="11"/>
  <c r="C2232" i="11"/>
  <c r="C2233" i="11"/>
  <c r="C2234" i="11"/>
  <c r="C2235" i="11"/>
  <c r="C2236" i="11"/>
  <c r="C2237" i="11"/>
  <c r="C2238" i="11"/>
  <c r="C2239" i="11"/>
  <c r="C2240" i="11"/>
  <c r="C2241" i="11"/>
  <c r="C2242" i="11"/>
  <c r="C2243" i="11"/>
  <c r="C2244" i="11"/>
  <c r="C2245" i="11"/>
  <c r="C2246" i="11"/>
  <c r="C2247" i="11"/>
  <c r="C2248" i="11"/>
  <c r="C2249" i="11"/>
  <c r="C2250" i="11"/>
  <c r="C2251" i="11"/>
  <c r="C2252" i="11"/>
  <c r="C2253" i="11"/>
  <c r="C2254" i="11"/>
  <c r="C2255" i="11"/>
  <c r="C2256" i="11"/>
  <c r="C2257" i="11"/>
  <c r="C2258" i="11"/>
  <c r="C2259" i="11"/>
  <c r="C2260" i="11"/>
  <c r="C2261" i="11"/>
  <c r="C2262" i="11"/>
  <c r="C2263" i="11"/>
  <c r="C2264" i="11"/>
  <c r="C2265" i="11"/>
  <c r="C2266" i="11"/>
  <c r="C2267" i="11"/>
  <c r="C2268" i="11"/>
  <c r="C2269" i="11"/>
  <c r="C2270" i="11"/>
  <c r="C2271" i="11"/>
  <c r="C2272" i="11"/>
  <c r="C2273" i="11"/>
  <c r="C2274" i="11"/>
  <c r="C2275" i="11"/>
  <c r="C2276" i="11"/>
  <c r="C2277" i="11"/>
  <c r="C2278" i="11"/>
  <c r="C2279" i="11"/>
  <c r="C2280" i="11"/>
  <c r="C2281" i="11"/>
  <c r="C2282" i="11"/>
  <c r="C2283" i="11"/>
  <c r="C2284" i="11"/>
  <c r="C2285" i="11"/>
  <c r="C2286" i="11"/>
  <c r="C2287" i="11"/>
  <c r="C2288" i="11"/>
  <c r="C2289" i="11"/>
  <c r="C2290" i="11"/>
  <c r="C2291" i="11"/>
  <c r="C2292" i="11"/>
  <c r="C2293" i="11"/>
  <c r="C2294" i="11"/>
  <c r="C2295" i="11"/>
  <c r="C2296" i="11"/>
  <c r="C2297" i="11"/>
  <c r="C2298" i="11"/>
  <c r="C2299" i="11"/>
  <c r="C2300" i="11"/>
  <c r="C2301" i="11"/>
  <c r="C2302" i="11"/>
  <c r="C2303" i="11"/>
  <c r="C2304" i="11"/>
  <c r="C2305" i="11"/>
  <c r="C2306" i="11"/>
  <c r="C2307" i="11"/>
  <c r="C2308" i="11"/>
  <c r="C2309" i="11"/>
  <c r="C2310" i="11"/>
  <c r="C2311" i="11"/>
  <c r="C2312" i="11"/>
  <c r="C2313" i="11"/>
  <c r="C2314" i="11"/>
  <c r="C2315" i="11"/>
  <c r="C2316" i="11"/>
  <c r="C2317" i="11"/>
  <c r="C2318" i="11"/>
  <c r="C2319" i="11"/>
  <c r="C2320" i="11"/>
  <c r="C2321" i="11"/>
  <c r="C2322" i="11"/>
  <c r="C2323" i="11"/>
  <c r="C2324" i="11"/>
  <c r="C2325" i="11"/>
  <c r="C2326" i="11"/>
  <c r="C2327" i="11"/>
  <c r="C2328" i="11"/>
  <c r="C2329" i="11"/>
  <c r="C2330" i="11"/>
  <c r="C2331" i="11"/>
  <c r="C2332" i="11"/>
  <c r="C2333" i="11"/>
  <c r="C2334" i="11"/>
  <c r="C2335" i="11"/>
  <c r="C2336" i="11"/>
  <c r="C2337" i="11"/>
  <c r="C2338" i="11"/>
  <c r="C2339" i="11"/>
  <c r="C2340" i="11"/>
  <c r="C2341" i="11"/>
  <c r="C2342" i="11"/>
  <c r="C2343" i="11"/>
  <c r="C2344" i="11"/>
  <c r="C2345" i="11"/>
  <c r="C2346" i="11"/>
  <c r="C2347" i="11"/>
  <c r="C2348" i="11"/>
  <c r="C2349" i="11"/>
  <c r="C2350" i="11"/>
  <c r="C2351" i="11"/>
  <c r="C2352" i="11"/>
  <c r="C2353" i="11"/>
  <c r="C2354" i="11"/>
  <c r="C2355" i="11"/>
  <c r="C2356" i="11"/>
  <c r="C2357" i="11"/>
  <c r="C2358" i="11"/>
  <c r="C2359" i="11"/>
  <c r="C2360" i="11"/>
  <c r="C2361" i="11"/>
  <c r="C2362" i="11"/>
  <c r="C2363" i="11"/>
  <c r="C2364" i="11"/>
  <c r="C2365" i="11"/>
  <c r="C2366" i="11"/>
  <c r="C2367" i="11"/>
  <c r="C2368" i="11"/>
  <c r="C2369" i="11"/>
  <c r="C2370" i="11"/>
  <c r="C2371" i="11"/>
  <c r="C2372" i="11"/>
  <c r="C2373" i="11"/>
  <c r="C2374" i="11"/>
  <c r="C2375" i="11"/>
  <c r="C2376" i="11"/>
  <c r="C2377" i="11"/>
  <c r="C2378" i="11"/>
  <c r="C2379" i="11"/>
  <c r="C2380" i="11"/>
  <c r="C2381" i="11"/>
  <c r="C2382" i="11"/>
  <c r="C2383" i="11"/>
  <c r="C2384" i="11"/>
  <c r="C2385" i="11"/>
  <c r="C2386" i="11"/>
  <c r="C2387" i="11"/>
  <c r="C2388" i="11"/>
  <c r="C2389" i="11"/>
  <c r="C2390" i="11"/>
  <c r="C2391" i="11"/>
  <c r="C2392" i="11"/>
  <c r="C2393" i="11"/>
  <c r="C2394" i="11"/>
  <c r="C2395" i="11"/>
  <c r="C2396" i="11"/>
  <c r="C2397" i="11"/>
  <c r="C2398" i="11"/>
  <c r="C2399" i="11"/>
  <c r="C2400" i="11"/>
  <c r="C2401" i="11"/>
  <c r="C2402" i="11"/>
  <c r="C2403" i="11"/>
  <c r="C2404" i="11"/>
  <c r="C2405" i="11"/>
  <c r="C2406" i="11"/>
  <c r="C2407" i="11"/>
  <c r="C2408" i="11"/>
  <c r="C2409" i="11"/>
  <c r="C2410" i="11"/>
  <c r="C2411" i="11"/>
  <c r="C2412" i="11"/>
  <c r="C2413" i="11"/>
  <c r="C2414" i="11"/>
  <c r="C2415" i="11"/>
  <c r="C2416" i="11"/>
  <c r="C2417" i="11"/>
  <c r="C2418" i="11"/>
  <c r="C2419" i="11"/>
  <c r="C2420" i="11"/>
  <c r="C2421" i="11"/>
  <c r="C2422" i="11"/>
  <c r="C2423" i="11"/>
  <c r="C2424" i="11"/>
  <c r="C2425" i="11"/>
  <c r="C2426" i="11"/>
  <c r="C2427" i="11"/>
  <c r="C2428" i="11"/>
  <c r="C2429" i="11"/>
  <c r="C2430" i="11"/>
  <c r="C2431" i="11"/>
  <c r="C2432" i="11"/>
  <c r="C2433" i="11"/>
  <c r="C2434" i="11"/>
  <c r="C2435" i="11"/>
  <c r="C2436" i="11"/>
  <c r="C2437" i="11"/>
  <c r="C2438" i="11"/>
  <c r="C2439" i="11"/>
  <c r="C2440" i="11"/>
  <c r="C2441" i="11"/>
  <c r="C2442" i="11"/>
  <c r="C2443" i="11"/>
  <c r="C2444" i="11"/>
  <c r="C2445" i="11"/>
  <c r="C2446" i="11"/>
  <c r="C2447" i="11"/>
  <c r="C2448" i="11"/>
  <c r="C2449" i="11"/>
  <c r="C2450" i="11"/>
  <c r="C2451" i="11"/>
  <c r="C2452" i="11"/>
  <c r="C2453" i="11"/>
  <c r="C2454" i="11"/>
  <c r="C2455" i="11"/>
  <c r="C2456" i="11"/>
  <c r="C2457" i="11"/>
  <c r="C2458" i="11"/>
  <c r="C2459" i="11"/>
  <c r="C2460" i="11"/>
  <c r="C2461" i="11"/>
  <c r="C2462" i="11"/>
  <c r="C2463" i="11"/>
  <c r="C2464" i="11"/>
  <c r="C2465" i="11"/>
  <c r="C2466" i="11"/>
  <c r="C2467" i="11"/>
  <c r="C2468" i="11"/>
  <c r="C2469" i="11"/>
  <c r="C2470" i="11"/>
  <c r="C2471" i="11"/>
  <c r="C2472" i="11"/>
  <c r="C2473" i="11"/>
  <c r="C2474" i="11"/>
  <c r="C2475" i="11"/>
  <c r="C2476" i="11"/>
  <c r="C2477" i="11"/>
  <c r="C2478" i="11"/>
  <c r="C2479" i="11"/>
  <c r="C2480" i="11"/>
  <c r="C2481" i="11"/>
  <c r="C2482" i="11"/>
  <c r="C2483" i="11"/>
  <c r="C2484" i="11"/>
  <c r="C2485" i="11"/>
  <c r="C2486" i="11"/>
  <c r="C2487" i="11"/>
  <c r="C2488" i="11"/>
  <c r="C2489" i="11"/>
  <c r="C2490" i="11"/>
  <c r="C2491" i="11"/>
  <c r="C2492" i="11"/>
  <c r="C2493" i="11"/>
  <c r="C2494" i="11"/>
  <c r="C2495" i="11"/>
  <c r="C2496" i="11"/>
  <c r="C2497" i="11"/>
  <c r="C2498" i="11"/>
  <c r="C2499" i="11"/>
  <c r="C2500" i="11"/>
  <c r="C2501" i="11"/>
  <c r="C2502" i="11"/>
  <c r="C2503" i="11"/>
  <c r="C2504" i="11"/>
  <c r="C2505" i="11"/>
  <c r="C2506" i="11"/>
  <c r="C2507" i="11"/>
  <c r="C2508" i="11"/>
  <c r="C2509" i="11"/>
  <c r="C2510" i="11"/>
  <c r="C2511" i="11"/>
  <c r="C2512" i="11"/>
  <c r="C2513" i="11"/>
  <c r="C2514" i="11"/>
  <c r="C2515" i="11"/>
  <c r="C2516" i="11"/>
  <c r="C2517" i="11"/>
  <c r="C2518" i="11"/>
  <c r="C2519" i="11"/>
  <c r="C2520" i="11"/>
  <c r="C2521" i="11"/>
  <c r="C2522" i="11"/>
  <c r="C2523" i="11"/>
  <c r="C2524" i="11"/>
  <c r="C2525" i="11"/>
  <c r="C2526" i="11"/>
  <c r="C2527" i="11"/>
  <c r="C2528" i="11"/>
  <c r="C2529" i="11"/>
  <c r="C2530" i="11"/>
  <c r="C2531" i="11"/>
  <c r="C2532" i="11"/>
  <c r="C2533" i="11"/>
  <c r="C2534" i="11"/>
  <c r="C2535" i="11"/>
  <c r="C2536" i="11"/>
  <c r="C2537" i="11"/>
  <c r="C2538" i="11"/>
  <c r="C2539" i="11"/>
  <c r="C2540" i="11"/>
  <c r="C2541" i="11"/>
  <c r="C2542" i="11"/>
  <c r="C2543" i="11"/>
  <c r="C2544" i="11"/>
  <c r="C2545" i="11"/>
  <c r="C2546" i="11"/>
  <c r="C2547" i="11"/>
  <c r="C2548" i="11"/>
  <c r="C2549" i="11"/>
  <c r="C2550" i="11"/>
  <c r="C2551" i="11"/>
  <c r="C2552" i="11"/>
  <c r="C2553" i="11"/>
  <c r="C2554" i="11"/>
  <c r="C2555" i="11"/>
  <c r="C2556" i="11"/>
  <c r="C2557" i="11"/>
  <c r="C2558" i="11"/>
  <c r="C2559" i="11"/>
  <c r="C2560" i="11"/>
  <c r="C2561" i="11"/>
  <c r="C2562" i="11"/>
  <c r="C2563" i="11"/>
  <c r="C2564" i="11"/>
  <c r="C2565" i="11"/>
  <c r="C2566" i="11"/>
  <c r="C2567" i="11"/>
  <c r="C2568" i="11"/>
  <c r="C2569" i="11"/>
  <c r="C2570" i="11"/>
  <c r="C2571" i="11"/>
  <c r="C2572" i="11"/>
  <c r="C2573" i="11"/>
  <c r="C2574" i="11"/>
  <c r="C2575" i="11"/>
  <c r="C2576" i="11"/>
  <c r="C2577" i="11"/>
  <c r="C2578" i="11"/>
  <c r="C2579" i="11"/>
  <c r="C2580" i="11"/>
  <c r="C2581" i="11"/>
  <c r="C2582" i="11"/>
  <c r="C2583" i="11"/>
  <c r="C2584" i="11"/>
  <c r="C2585" i="11"/>
  <c r="C2586" i="11"/>
  <c r="C2587" i="11"/>
  <c r="C2588" i="11"/>
  <c r="C2589" i="11"/>
  <c r="C2590" i="11"/>
  <c r="C2591" i="11"/>
  <c r="C2592" i="11"/>
  <c r="C2593" i="11"/>
  <c r="C2594" i="11"/>
  <c r="C2595" i="11"/>
  <c r="C2596" i="11"/>
  <c r="C2597" i="11"/>
  <c r="C2598" i="11"/>
  <c r="C2599" i="11"/>
  <c r="C2600" i="11"/>
  <c r="C2601" i="11"/>
  <c r="C2602" i="11"/>
  <c r="C2603" i="11"/>
  <c r="C2604" i="11"/>
  <c r="C2605" i="11"/>
  <c r="C2606" i="11"/>
  <c r="C2607" i="11"/>
  <c r="C2608" i="11"/>
  <c r="C2609" i="11"/>
  <c r="C2610" i="11"/>
  <c r="C2611" i="11"/>
  <c r="C2612" i="11"/>
  <c r="C2613" i="11"/>
  <c r="C2614" i="11"/>
  <c r="C2615" i="11"/>
  <c r="C2616" i="11"/>
  <c r="C2617" i="11"/>
  <c r="C2618" i="11"/>
  <c r="C2619" i="11"/>
  <c r="C2620" i="11"/>
  <c r="C2621" i="11"/>
  <c r="C2622" i="11"/>
  <c r="C2623" i="11"/>
  <c r="C2624" i="11"/>
  <c r="C2625" i="11"/>
  <c r="C2626" i="11"/>
  <c r="C2627" i="11"/>
  <c r="C2628" i="11"/>
  <c r="C2629" i="11"/>
  <c r="C2630" i="11"/>
  <c r="C2631" i="11"/>
  <c r="C2632" i="11"/>
  <c r="C2633" i="11"/>
  <c r="C2634" i="11"/>
  <c r="C2635" i="11"/>
  <c r="C2636" i="11"/>
  <c r="C2637" i="11"/>
  <c r="C2638" i="11"/>
  <c r="C2639" i="11"/>
  <c r="C2640" i="11"/>
  <c r="C2641" i="11"/>
  <c r="C2642" i="11"/>
  <c r="C2643" i="11"/>
  <c r="C2644" i="11"/>
  <c r="C2645" i="11"/>
  <c r="C2646" i="11"/>
  <c r="C2647" i="11"/>
  <c r="C2648" i="11"/>
  <c r="C2649" i="11"/>
  <c r="C2650" i="11"/>
  <c r="C2651" i="11"/>
  <c r="C2652" i="11"/>
  <c r="C2653" i="11"/>
  <c r="C2654" i="11"/>
  <c r="C2655" i="11"/>
  <c r="C2656" i="11"/>
  <c r="C2657" i="11"/>
  <c r="C2658" i="11"/>
  <c r="C2659" i="11"/>
  <c r="C2660" i="11"/>
  <c r="C2661" i="11"/>
  <c r="C2662" i="11"/>
  <c r="C2663" i="11"/>
  <c r="C2664" i="11"/>
  <c r="C2665" i="11"/>
  <c r="C2666" i="11"/>
  <c r="C2667" i="11"/>
  <c r="C2668" i="11"/>
  <c r="C2669" i="11"/>
  <c r="C2670" i="11"/>
  <c r="C2671" i="11"/>
  <c r="C2672" i="11"/>
  <c r="C2673" i="11"/>
  <c r="C2674" i="11"/>
  <c r="C2675" i="11"/>
  <c r="C2676" i="11"/>
  <c r="C2677" i="11"/>
  <c r="C2678" i="11"/>
  <c r="C2679" i="11"/>
  <c r="C2680" i="11"/>
  <c r="C2681" i="11"/>
  <c r="C2682" i="11"/>
  <c r="C2683" i="11"/>
  <c r="C2684" i="11"/>
  <c r="C2685" i="11"/>
  <c r="C2686" i="11"/>
  <c r="C2687" i="11"/>
  <c r="C2688" i="11"/>
  <c r="C2689" i="11"/>
  <c r="C2690" i="11"/>
  <c r="C2691" i="11"/>
  <c r="C2692" i="11"/>
  <c r="C2693" i="11"/>
  <c r="C2694" i="11"/>
  <c r="C2695" i="11"/>
  <c r="C2696" i="11"/>
  <c r="C2697" i="11"/>
  <c r="C2698" i="11"/>
  <c r="C2699" i="11"/>
  <c r="C2700" i="11"/>
  <c r="C2701" i="11"/>
  <c r="C2702" i="11"/>
  <c r="C2703" i="11"/>
  <c r="C2704" i="11"/>
  <c r="C2705" i="11"/>
  <c r="C2706" i="11"/>
  <c r="C2707" i="11"/>
  <c r="C2708" i="11"/>
  <c r="C2709" i="11"/>
  <c r="C2710" i="11"/>
  <c r="C2711" i="11"/>
  <c r="C2712" i="11"/>
  <c r="C2713" i="11"/>
  <c r="C2714" i="11"/>
  <c r="C2715" i="11"/>
  <c r="C2716" i="11"/>
  <c r="C2717" i="11"/>
  <c r="C2718" i="11"/>
  <c r="C2719" i="11"/>
  <c r="C2720" i="11"/>
  <c r="C2721" i="11"/>
  <c r="C2722" i="11"/>
  <c r="C2723" i="11"/>
  <c r="C2724" i="11"/>
  <c r="C2725" i="11"/>
  <c r="C2726" i="11"/>
  <c r="C2727" i="11"/>
  <c r="C2728" i="11"/>
  <c r="C2729" i="11"/>
  <c r="C2730" i="11"/>
  <c r="C2731" i="11"/>
  <c r="C2732" i="11"/>
  <c r="C2733" i="11"/>
  <c r="C2734" i="11"/>
  <c r="C2735" i="11"/>
  <c r="C2736" i="11"/>
  <c r="C2737" i="11"/>
  <c r="C2738" i="11"/>
  <c r="C2739" i="11"/>
  <c r="C2740" i="11"/>
  <c r="C2741" i="11"/>
  <c r="C2742" i="11"/>
  <c r="C2743" i="11"/>
  <c r="C2744" i="11"/>
  <c r="C2745" i="11"/>
  <c r="C2746" i="11"/>
  <c r="C2747" i="11"/>
  <c r="C2748" i="11"/>
  <c r="C2749" i="11"/>
  <c r="C2750" i="11"/>
  <c r="C2751" i="11"/>
  <c r="C2752" i="11"/>
  <c r="C2753" i="11"/>
  <c r="C2754" i="11"/>
  <c r="C2755" i="11"/>
  <c r="C2756" i="11"/>
  <c r="C2757" i="11"/>
  <c r="C2758" i="11"/>
  <c r="C2759" i="11"/>
  <c r="C2760" i="11"/>
  <c r="C2761" i="11"/>
  <c r="C2762" i="11"/>
  <c r="C2763" i="11"/>
  <c r="C2764" i="11"/>
  <c r="C2765" i="11"/>
  <c r="C2766" i="11"/>
  <c r="C2767" i="11"/>
  <c r="C2768" i="11"/>
  <c r="C2769" i="11"/>
  <c r="C2770" i="11"/>
  <c r="C2771" i="11"/>
  <c r="C2772" i="11"/>
  <c r="C2773" i="11"/>
  <c r="C2774" i="11"/>
  <c r="C2775" i="11"/>
  <c r="C2776" i="11"/>
  <c r="C2777" i="11"/>
  <c r="C2778" i="11"/>
  <c r="C2779" i="11"/>
  <c r="C2780" i="11"/>
  <c r="C2781" i="11"/>
  <c r="C2782" i="11"/>
  <c r="C2783" i="11"/>
  <c r="C2784" i="11"/>
  <c r="C2785" i="11"/>
  <c r="C2786" i="11"/>
  <c r="C2787" i="11"/>
  <c r="C2788" i="11"/>
  <c r="C2789" i="11"/>
  <c r="C2790" i="11"/>
  <c r="C2791" i="11"/>
  <c r="C2792" i="11"/>
  <c r="C2793" i="11"/>
  <c r="C2794" i="11"/>
  <c r="C2795" i="11"/>
  <c r="C2796" i="11"/>
  <c r="C2797" i="11"/>
  <c r="C2798" i="11"/>
  <c r="C2799" i="11"/>
  <c r="C2800" i="11"/>
  <c r="C2801" i="11"/>
  <c r="C2802" i="11"/>
  <c r="C2803" i="11"/>
  <c r="C2804" i="11"/>
  <c r="C2805" i="11"/>
  <c r="C2806" i="11"/>
  <c r="C2807" i="11"/>
  <c r="C2808" i="11"/>
  <c r="C2809" i="11"/>
  <c r="C2810" i="11"/>
  <c r="C2811" i="11"/>
  <c r="C2812" i="11"/>
  <c r="C2813" i="11"/>
  <c r="C2814" i="11"/>
  <c r="C2815" i="11"/>
  <c r="C2816" i="11"/>
  <c r="C2817" i="11"/>
  <c r="C2818" i="11"/>
  <c r="C2819" i="11"/>
  <c r="C2820" i="11"/>
  <c r="C2821" i="11"/>
  <c r="C2822" i="11"/>
  <c r="C2823" i="11"/>
  <c r="C2824" i="11"/>
  <c r="C2825" i="11"/>
  <c r="C2826" i="11"/>
  <c r="C2827" i="11"/>
  <c r="C2828" i="11"/>
  <c r="C2829" i="11"/>
  <c r="C2830" i="11"/>
  <c r="C2831" i="11"/>
  <c r="C2832" i="11"/>
  <c r="C2833" i="11"/>
  <c r="C2834" i="11"/>
  <c r="C2835" i="11"/>
  <c r="C2836" i="11"/>
  <c r="C2837" i="11"/>
  <c r="C2838" i="11"/>
  <c r="C2839" i="11"/>
  <c r="C2840" i="11"/>
  <c r="C2841" i="11"/>
  <c r="C2842" i="11"/>
  <c r="C2843" i="11"/>
  <c r="C2844" i="11"/>
  <c r="C2845" i="11"/>
  <c r="C2846" i="11"/>
  <c r="C2847" i="11"/>
  <c r="C2848" i="11"/>
  <c r="C2849" i="11"/>
  <c r="C2" i="11"/>
  <c r="J5" i="1" l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A3" i="7" l="1"/>
  <c r="AE505" i="1"/>
  <c r="AC505" i="1"/>
  <c r="H505" i="1"/>
  <c r="A4" i="7" l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B4" i="1"/>
  <c r="A48" i="7" l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E2" i="3"/>
  <c r="B3" i="1" l="1"/>
  <c r="C3" i="1"/>
  <c r="C4" i="1"/>
  <c r="T24" i="8"/>
  <c r="T88" i="8"/>
  <c r="E88" i="8"/>
  <c r="K88" i="8"/>
  <c r="E33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2" i="8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U28" i="8" s="1"/>
  <c r="N29" i="8"/>
  <c r="N30" i="8"/>
  <c r="N31" i="8"/>
  <c r="U31" i="8" s="1"/>
  <c r="N32" i="8"/>
  <c r="U32" i="8" s="1"/>
  <c r="N33" i="8"/>
  <c r="N34" i="8"/>
  <c r="N35" i="8"/>
  <c r="N36" i="8"/>
  <c r="U36" i="8" s="1"/>
  <c r="N37" i="8"/>
  <c r="N38" i="8"/>
  <c r="N39" i="8"/>
  <c r="N40" i="8"/>
  <c r="U40" i="8" s="1"/>
  <c r="N41" i="8"/>
  <c r="N42" i="8"/>
  <c r="N43" i="8"/>
  <c r="N44" i="8"/>
  <c r="U44" i="8" s="1"/>
  <c r="N45" i="8"/>
  <c r="N46" i="8"/>
  <c r="N47" i="8"/>
  <c r="N48" i="8"/>
  <c r="U48" i="8" s="1"/>
  <c r="N49" i="8"/>
  <c r="N50" i="8"/>
  <c r="N51" i="8"/>
  <c r="N52" i="8"/>
  <c r="U52" i="8" s="1"/>
  <c r="N53" i="8"/>
  <c r="N54" i="8"/>
  <c r="N55" i="8"/>
  <c r="U55" i="8" s="1"/>
  <c r="N56" i="8"/>
  <c r="N57" i="8"/>
  <c r="N58" i="8"/>
  <c r="N59" i="8"/>
  <c r="U59" i="8" s="1"/>
  <c r="N60" i="8"/>
  <c r="N61" i="8"/>
  <c r="N62" i="8"/>
  <c r="N63" i="8"/>
  <c r="U63" i="8" s="1"/>
  <c r="N64" i="8"/>
  <c r="N65" i="8"/>
  <c r="N66" i="8"/>
  <c r="N67" i="8"/>
  <c r="U67" i="8" s="1"/>
  <c r="N68" i="8"/>
  <c r="N69" i="8"/>
  <c r="N70" i="8"/>
  <c r="N71" i="8"/>
  <c r="U71" i="8" s="1"/>
  <c r="N72" i="8"/>
  <c r="N73" i="8"/>
  <c r="N74" i="8"/>
  <c r="N75" i="8"/>
  <c r="U75" i="8" s="1"/>
  <c r="N76" i="8"/>
  <c r="N77" i="8"/>
  <c r="N78" i="8"/>
  <c r="N79" i="8"/>
  <c r="U79" i="8" s="1"/>
  <c r="N80" i="8"/>
  <c r="N81" i="8"/>
  <c r="N82" i="8"/>
  <c r="N83" i="8"/>
  <c r="U83" i="8" s="1"/>
  <c r="N84" i="8"/>
  <c r="N85" i="8"/>
  <c r="N86" i="8"/>
  <c r="N87" i="8"/>
  <c r="U87" i="8" s="1"/>
  <c r="N88" i="8"/>
  <c r="U88" i="8" s="1"/>
  <c r="N89" i="8"/>
  <c r="N90" i="8"/>
  <c r="N91" i="8"/>
  <c r="N92" i="8"/>
  <c r="U92" i="8" s="1"/>
  <c r="N93" i="8"/>
  <c r="N94" i="8"/>
  <c r="N95" i="8"/>
  <c r="U95" i="8" s="1"/>
  <c r="N96" i="8"/>
  <c r="U96" i="8" s="1"/>
  <c r="N97" i="8"/>
  <c r="N98" i="8"/>
  <c r="N99" i="8"/>
  <c r="N100" i="8"/>
  <c r="U100" i="8" s="1"/>
  <c r="N101" i="8"/>
  <c r="K3" i="8"/>
  <c r="K4" i="8"/>
  <c r="K5" i="8"/>
  <c r="K6" i="8"/>
  <c r="K7" i="8"/>
  <c r="K8" i="8"/>
  <c r="T8" i="8" s="1"/>
  <c r="K9" i="8"/>
  <c r="K10" i="8"/>
  <c r="K11" i="8"/>
  <c r="K12" i="8"/>
  <c r="T12" i="8" s="1"/>
  <c r="K13" i="8"/>
  <c r="K14" i="8"/>
  <c r="K15" i="8"/>
  <c r="K16" i="8"/>
  <c r="T16" i="8" s="1"/>
  <c r="K17" i="8"/>
  <c r="K18" i="8"/>
  <c r="K19" i="8"/>
  <c r="K20" i="8"/>
  <c r="T20" i="8" s="1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T33" i="8" s="1"/>
  <c r="K34" i="8"/>
  <c r="K35" i="8"/>
  <c r="K36" i="8"/>
  <c r="K37" i="8"/>
  <c r="K38" i="8"/>
  <c r="K39" i="8"/>
  <c r="K40" i="8"/>
  <c r="K41" i="8"/>
  <c r="K42" i="8"/>
  <c r="K43" i="8"/>
  <c r="K44" i="8"/>
  <c r="T44" i="8" s="1"/>
  <c r="K45" i="8"/>
  <c r="K46" i="8"/>
  <c r="K47" i="8"/>
  <c r="K48" i="8"/>
  <c r="K49" i="8"/>
  <c r="K50" i="8"/>
  <c r="K51" i="8"/>
  <c r="K52" i="8"/>
  <c r="T52" i="8" s="1"/>
  <c r="K53" i="8"/>
  <c r="K54" i="8"/>
  <c r="K55" i="8"/>
  <c r="K56" i="8"/>
  <c r="K57" i="8"/>
  <c r="K58" i="8"/>
  <c r="K59" i="8"/>
  <c r="K60" i="8"/>
  <c r="T60" i="8" s="1"/>
  <c r="K61" i="8"/>
  <c r="K62" i="8"/>
  <c r="K63" i="8"/>
  <c r="K64" i="8"/>
  <c r="K66" i="8"/>
  <c r="K67" i="8"/>
  <c r="K68" i="8"/>
  <c r="K69" i="8"/>
  <c r="T69" i="8" s="1"/>
  <c r="K70" i="8"/>
  <c r="K71" i="8"/>
  <c r="K72" i="8"/>
  <c r="K73" i="8"/>
  <c r="K74" i="8"/>
  <c r="K75" i="8"/>
  <c r="K76" i="8"/>
  <c r="K77" i="8"/>
  <c r="T77" i="8" s="1"/>
  <c r="K78" i="8"/>
  <c r="K79" i="8"/>
  <c r="K80" i="8"/>
  <c r="K81" i="8"/>
  <c r="K82" i="8"/>
  <c r="T82" i="8" s="1"/>
  <c r="K83" i="8"/>
  <c r="K84" i="8"/>
  <c r="K85" i="8"/>
  <c r="K86" i="8"/>
  <c r="K87" i="8"/>
  <c r="K89" i="8"/>
  <c r="K90" i="8"/>
  <c r="K91" i="8"/>
  <c r="T91" i="8" s="1"/>
  <c r="K92" i="8"/>
  <c r="K93" i="8"/>
  <c r="K94" i="8"/>
  <c r="K95" i="8"/>
  <c r="K96" i="8"/>
  <c r="K97" i="8"/>
  <c r="K98" i="8"/>
  <c r="K99" i="8"/>
  <c r="T99" i="8" s="1"/>
  <c r="K100" i="8"/>
  <c r="K101" i="8"/>
  <c r="N2" i="8"/>
  <c r="K2" i="8"/>
  <c r="E2" i="8"/>
  <c r="E78" i="8"/>
  <c r="F78" i="8"/>
  <c r="E79" i="8"/>
  <c r="F79" i="8"/>
  <c r="E80" i="8"/>
  <c r="F80" i="8"/>
  <c r="E81" i="8"/>
  <c r="F81" i="8"/>
  <c r="E82" i="8"/>
  <c r="F82" i="8"/>
  <c r="E83" i="8"/>
  <c r="F83" i="8"/>
  <c r="E84" i="8"/>
  <c r="F84" i="8"/>
  <c r="E85" i="8"/>
  <c r="F85" i="8"/>
  <c r="E86" i="8"/>
  <c r="F86" i="8"/>
  <c r="E87" i="8"/>
  <c r="F87" i="8"/>
  <c r="F88" i="8"/>
  <c r="E89" i="8"/>
  <c r="F89" i="8"/>
  <c r="E90" i="8"/>
  <c r="F90" i="8"/>
  <c r="E91" i="8"/>
  <c r="F91" i="8"/>
  <c r="E92" i="8"/>
  <c r="F92" i="8"/>
  <c r="E93" i="8"/>
  <c r="F93" i="8"/>
  <c r="E94" i="8"/>
  <c r="F94" i="8"/>
  <c r="E95" i="8"/>
  <c r="F95" i="8"/>
  <c r="E96" i="8"/>
  <c r="F96" i="8"/>
  <c r="E97" i="8"/>
  <c r="F97" i="8"/>
  <c r="E98" i="8"/>
  <c r="F98" i="8"/>
  <c r="E99" i="8"/>
  <c r="F99" i="8"/>
  <c r="E100" i="8"/>
  <c r="F100" i="8"/>
  <c r="E101" i="8"/>
  <c r="F101" i="8"/>
  <c r="F77" i="8"/>
  <c r="E77" i="8"/>
  <c r="F76" i="8"/>
  <c r="E76" i="8"/>
  <c r="F75" i="8"/>
  <c r="E75" i="8"/>
  <c r="F74" i="8"/>
  <c r="E74" i="8"/>
  <c r="F73" i="8"/>
  <c r="E73" i="8"/>
  <c r="F72" i="8"/>
  <c r="E72" i="8"/>
  <c r="F71" i="8"/>
  <c r="E71" i="8"/>
  <c r="F70" i="8"/>
  <c r="E70" i="8"/>
  <c r="F69" i="8"/>
  <c r="E69" i="8"/>
  <c r="F68" i="8"/>
  <c r="E68" i="8"/>
  <c r="F67" i="8"/>
  <c r="E67" i="8"/>
  <c r="F66" i="8"/>
  <c r="E66" i="8"/>
  <c r="F65" i="8"/>
  <c r="E65" i="8"/>
  <c r="T65" i="8" s="1"/>
  <c r="F64" i="8"/>
  <c r="E64" i="8"/>
  <c r="F63" i="8"/>
  <c r="E63" i="8"/>
  <c r="F62" i="8"/>
  <c r="E62" i="8"/>
  <c r="F61" i="8"/>
  <c r="E61" i="8"/>
  <c r="F60" i="8"/>
  <c r="E60" i="8"/>
  <c r="F59" i="8"/>
  <c r="E59" i="8"/>
  <c r="F58" i="8"/>
  <c r="E58" i="8"/>
  <c r="F57" i="8"/>
  <c r="E57" i="8"/>
  <c r="F56" i="8"/>
  <c r="E56" i="8"/>
  <c r="F55" i="8"/>
  <c r="E55" i="8"/>
  <c r="F54" i="8"/>
  <c r="E54" i="8"/>
  <c r="F53" i="8"/>
  <c r="E53" i="8"/>
  <c r="F52" i="8"/>
  <c r="E52" i="8"/>
  <c r="F51" i="8"/>
  <c r="E51" i="8"/>
  <c r="F50" i="8"/>
  <c r="E50" i="8"/>
  <c r="F49" i="8"/>
  <c r="E49" i="8"/>
  <c r="F48" i="8"/>
  <c r="E48" i="8"/>
  <c r="F47" i="8"/>
  <c r="E47" i="8"/>
  <c r="F46" i="8"/>
  <c r="E46" i="8"/>
  <c r="F45" i="8"/>
  <c r="E45" i="8"/>
  <c r="F44" i="8"/>
  <c r="E44" i="8"/>
  <c r="F43" i="8"/>
  <c r="E43" i="8"/>
  <c r="F42" i="8"/>
  <c r="E42" i="8"/>
  <c r="F41" i="8"/>
  <c r="E41" i="8"/>
  <c r="F40" i="8"/>
  <c r="E40" i="8"/>
  <c r="F39" i="8"/>
  <c r="E39" i="8"/>
  <c r="F38" i="8"/>
  <c r="E38" i="8"/>
  <c r="F37" i="8"/>
  <c r="E37" i="8"/>
  <c r="F36" i="8"/>
  <c r="E36" i="8"/>
  <c r="F35" i="8"/>
  <c r="E35" i="8"/>
  <c r="F34" i="8"/>
  <c r="E34" i="8"/>
  <c r="F33" i="8"/>
  <c r="F32" i="8"/>
  <c r="E32" i="8"/>
  <c r="F31" i="8"/>
  <c r="E31" i="8"/>
  <c r="F30" i="8"/>
  <c r="E30" i="8"/>
  <c r="F29" i="8"/>
  <c r="E29" i="8"/>
  <c r="F28" i="8"/>
  <c r="E28" i="8"/>
  <c r="F27" i="8"/>
  <c r="E27" i="8"/>
  <c r="F26" i="8"/>
  <c r="E26" i="8"/>
  <c r="F25" i="8"/>
  <c r="E25" i="8"/>
  <c r="F24" i="8"/>
  <c r="E24" i="8"/>
  <c r="U24" i="8" s="1"/>
  <c r="F23" i="8"/>
  <c r="E23" i="8"/>
  <c r="F22" i="8"/>
  <c r="E22" i="8"/>
  <c r="F21" i="8"/>
  <c r="E21" i="8"/>
  <c r="F20" i="8"/>
  <c r="E20" i="8"/>
  <c r="F19" i="8"/>
  <c r="E19" i="8"/>
  <c r="F18" i="8"/>
  <c r="E18" i="8"/>
  <c r="F17" i="8"/>
  <c r="E17" i="8"/>
  <c r="F16" i="8"/>
  <c r="E16" i="8"/>
  <c r="U16" i="8" s="1"/>
  <c r="F15" i="8"/>
  <c r="E15" i="8"/>
  <c r="F14" i="8"/>
  <c r="E14" i="8"/>
  <c r="F13" i="8"/>
  <c r="E13" i="8"/>
  <c r="F12" i="8"/>
  <c r="E12" i="8"/>
  <c r="F11" i="8"/>
  <c r="E11" i="8"/>
  <c r="F10" i="8"/>
  <c r="E10" i="8"/>
  <c r="F9" i="8"/>
  <c r="E9" i="8"/>
  <c r="F8" i="8"/>
  <c r="E8" i="8"/>
  <c r="U8" i="8" s="1"/>
  <c r="F7" i="8"/>
  <c r="E7" i="8"/>
  <c r="F6" i="8"/>
  <c r="E6" i="8"/>
  <c r="F5" i="8"/>
  <c r="E5" i="8"/>
  <c r="F4" i="8"/>
  <c r="E4" i="8"/>
  <c r="F3" i="8"/>
  <c r="E3" i="8"/>
  <c r="T3" i="8" s="1"/>
  <c r="F2" i="8"/>
  <c r="A3" i="3"/>
  <c r="A4" i="3"/>
  <c r="A5" i="3"/>
  <c r="A6" i="3"/>
  <c r="A7" i="3"/>
  <c r="A8" i="3"/>
  <c r="A10" i="3"/>
  <c r="A11" i="3"/>
  <c r="A12" i="3"/>
  <c r="A13" i="3"/>
  <c r="A14" i="3"/>
  <c r="A15" i="3"/>
  <c r="A18" i="3"/>
  <c r="A19" i="3"/>
  <c r="A20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6" i="3"/>
  <c r="A47" i="3"/>
  <c r="A48" i="3"/>
  <c r="A49" i="3"/>
  <c r="A50" i="3"/>
  <c r="A51" i="3"/>
  <c r="A52" i="3"/>
  <c r="A53" i="3"/>
  <c r="A54" i="3"/>
  <c r="A55" i="3"/>
  <c r="A56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2" i="3"/>
  <c r="K39" i="3"/>
  <c r="K65" i="3"/>
  <c r="R29" i="3"/>
  <c r="K29" i="3"/>
  <c r="R32" i="3"/>
  <c r="K32" i="3"/>
  <c r="R37" i="3"/>
  <c r="K13" i="3"/>
  <c r="U11" i="3"/>
  <c r="AD76" i="7"/>
  <c r="AD107" i="7"/>
  <c r="AD108" i="7"/>
  <c r="AD110" i="7"/>
  <c r="AD113" i="7"/>
  <c r="AD115" i="7"/>
  <c r="AD116" i="7"/>
  <c r="AD140" i="7"/>
  <c r="AD55" i="7"/>
  <c r="AD27" i="7"/>
  <c r="AD23" i="7"/>
  <c r="AD19" i="7"/>
  <c r="AD11" i="7"/>
  <c r="AD10" i="7"/>
  <c r="AD71" i="7"/>
  <c r="AD18" i="7"/>
  <c r="F3" i="3"/>
  <c r="F4" i="3"/>
  <c r="F5" i="3"/>
  <c r="F6" i="3"/>
  <c r="F7" i="3"/>
  <c r="F8" i="3"/>
  <c r="F10" i="3"/>
  <c r="F11" i="3"/>
  <c r="F12" i="3"/>
  <c r="F13" i="3"/>
  <c r="F14" i="3"/>
  <c r="F15" i="3"/>
  <c r="F18" i="3"/>
  <c r="F19" i="3"/>
  <c r="F20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6" i="3"/>
  <c r="F47" i="3"/>
  <c r="F48" i="3"/>
  <c r="F49" i="3"/>
  <c r="F50" i="3"/>
  <c r="F51" i="3"/>
  <c r="F52" i="3"/>
  <c r="F53" i="3"/>
  <c r="F54" i="3"/>
  <c r="F55" i="3"/>
  <c r="F56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2" i="3"/>
  <c r="U3" i="3"/>
  <c r="U4" i="3"/>
  <c r="U5" i="3"/>
  <c r="U6" i="3"/>
  <c r="U7" i="3"/>
  <c r="U8" i="3"/>
  <c r="U10" i="3"/>
  <c r="U12" i="3"/>
  <c r="U13" i="3"/>
  <c r="U14" i="3"/>
  <c r="U15" i="3"/>
  <c r="U18" i="3"/>
  <c r="U19" i="3"/>
  <c r="U20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6" i="3"/>
  <c r="U47" i="3"/>
  <c r="U48" i="3"/>
  <c r="U49" i="3"/>
  <c r="U50" i="3"/>
  <c r="U51" i="3"/>
  <c r="U52" i="3"/>
  <c r="U53" i="3"/>
  <c r="U54" i="3"/>
  <c r="U55" i="3"/>
  <c r="U56" i="3"/>
  <c r="U59" i="3"/>
  <c r="X59" i="3" s="1"/>
  <c r="U60" i="3"/>
  <c r="U61" i="3"/>
  <c r="U62" i="3"/>
  <c r="U63" i="3"/>
  <c r="U64" i="3"/>
  <c r="U65" i="3"/>
  <c r="U66" i="3"/>
  <c r="U67" i="3"/>
  <c r="U68" i="3"/>
  <c r="U69" i="3"/>
  <c r="U70" i="3"/>
  <c r="U71" i="3"/>
  <c r="U72" i="3"/>
  <c r="U73" i="3"/>
  <c r="U74" i="3"/>
  <c r="U75" i="3"/>
  <c r="U76" i="3"/>
  <c r="R3" i="3"/>
  <c r="R4" i="3"/>
  <c r="R5" i="3"/>
  <c r="R6" i="3"/>
  <c r="R7" i="3"/>
  <c r="R8" i="3"/>
  <c r="R10" i="3"/>
  <c r="R12" i="3"/>
  <c r="R13" i="3"/>
  <c r="R14" i="3"/>
  <c r="R18" i="3"/>
  <c r="R19" i="3"/>
  <c r="R20" i="3"/>
  <c r="R24" i="3"/>
  <c r="R25" i="3"/>
  <c r="R26" i="3"/>
  <c r="R27" i="3"/>
  <c r="R28" i="3"/>
  <c r="R30" i="3"/>
  <c r="R31" i="3"/>
  <c r="R33" i="3"/>
  <c r="R34" i="3"/>
  <c r="R35" i="3"/>
  <c r="R36" i="3"/>
  <c r="R38" i="3"/>
  <c r="R39" i="3"/>
  <c r="R40" i="3"/>
  <c r="R41" i="3"/>
  <c r="R42" i="3"/>
  <c r="R43" i="3"/>
  <c r="R46" i="3"/>
  <c r="R47" i="3"/>
  <c r="R48" i="3"/>
  <c r="R49" i="3"/>
  <c r="R50" i="3"/>
  <c r="R51" i="3"/>
  <c r="R52" i="3"/>
  <c r="R53" i="3"/>
  <c r="R54" i="3"/>
  <c r="R55" i="3"/>
  <c r="R56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N3" i="3"/>
  <c r="N4" i="3"/>
  <c r="N5" i="3"/>
  <c r="N6" i="3"/>
  <c r="N7" i="3"/>
  <c r="N8" i="3"/>
  <c r="N10" i="3"/>
  <c r="N11" i="3"/>
  <c r="N12" i="3"/>
  <c r="N13" i="3"/>
  <c r="N14" i="3"/>
  <c r="N15" i="3"/>
  <c r="N18" i="3"/>
  <c r="N19" i="3"/>
  <c r="N20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6" i="3"/>
  <c r="N47" i="3"/>
  <c r="N48" i="3"/>
  <c r="N49" i="3"/>
  <c r="N50" i="3"/>
  <c r="N51" i="3"/>
  <c r="N52" i="3"/>
  <c r="N53" i="3"/>
  <c r="N54" i="3"/>
  <c r="N55" i="3"/>
  <c r="N56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K3" i="3"/>
  <c r="K4" i="3"/>
  <c r="K5" i="3"/>
  <c r="K6" i="3"/>
  <c r="K7" i="3"/>
  <c r="K8" i="3"/>
  <c r="K10" i="3"/>
  <c r="K12" i="3"/>
  <c r="K14" i="3"/>
  <c r="K15" i="3"/>
  <c r="K18" i="3"/>
  <c r="K19" i="3"/>
  <c r="K24" i="3"/>
  <c r="K25" i="3"/>
  <c r="K26" i="3"/>
  <c r="K27" i="3"/>
  <c r="K28" i="3"/>
  <c r="K30" i="3"/>
  <c r="K31" i="3"/>
  <c r="K33" i="3"/>
  <c r="K34" i="3"/>
  <c r="K35" i="3"/>
  <c r="K36" i="3"/>
  <c r="K37" i="3"/>
  <c r="K38" i="3"/>
  <c r="K40" i="3"/>
  <c r="K41" i="3"/>
  <c r="K42" i="3"/>
  <c r="K43" i="3"/>
  <c r="K46" i="3"/>
  <c r="K47" i="3"/>
  <c r="K48" i="3"/>
  <c r="K49" i="3"/>
  <c r="K50" i="3"/>
  <c r="K51" i="3"/>
  <c r="K53" i="3"/>
  <c r="K54" i="3"/>
  <c r="K55" i="3"/>
  <c r="K56" i="3"/>
  <c r="K60" i="3"/>
  <c r="K61" i="3"/>
  <c r="K62" i="3"/>
  <c r="K63" i="3"/>
  <c r="K64" i="3"/>
  <c r="K68" i="3"/>
  <c r="K69" i="3"/>
  <c r="K70" i="3"/>
  <c r="K71" i="3"/>
  <c r="K72" i="3"/>
  <c r="K73" i="3"/>
  <c r="K74" i="3"/>
  <c r="E3" i="3"/>
  <c r="E4" i="3"/>
  <c r="E5" i="3"/>
  <c r="E6" i="3"/>
  <c r="E7" i="3"/>
  <c r="E8" i="3"/>
  <c r="E10" i="3"/>
  <c r="E11" i="3"/>
  <c r="E12" i="3"/>
  <c r="E13" i="3"/>
  <c r="E14" i="3"/>
  <c r="E15" i="3"/>
  <c r="AG15" i="3" s="1"/>
  <c r="E18" i="3"/>
  <c r="E19" i="3"/>
  <c r="E20" i="3"/>
  <c r="AE20" i="3" s="1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6" i="3"/>
  <c r="E47" i="3"/>
  <c r="E48" i="3"/>
  <c r="E49" i="3"/>
  <c r="E50" i="3"/>
  <c r="E51" i="3"/>
  <c r="E52" i="3"/>
  <c r="AE52" i="3" s="1"/>
  <c r="E53" i="3"/>
  <c r="E54" i="3"/>
  <c r="E55" i="3"/>
  <c r="E56" i="3"/>
  <c r="E59" i="3"/>
  <c r="E60" i="3"/>
  <c r="E61" i="3"/>
  <c r="E62" i="3"/>
  <c r="E63" i="3"/>
  <c r="E64" i="3"/>
  <c r="E65" i="3"/>
  <c r="E66" i="3"/>
  <c r="AE66" i="3" s="1"/>
  <c r="E67" i="3"/>
  <c r="AE67" i="3" s="1"/>
  <c r="E68" i="3"/>
  <c r="E69" i="3"/>
  <c r="E70" i="3"/>
  <c r="E71" i="3"/>
  <c r="E72" i="3"/>
  <c r="E73" i="3"/>
  <c r="E74" i="3"/>
  <c r="E75" i="3"/>
  <c r="E76" i="3"/>
  <c r="AG76" i="3" s="1"/>
  <c r="U2" i="3"/>
  <c r="AH2" i="3" s="1"/>
  <c r="R2" i="3"/>
  <c r="AG2" i="3" s="1"/>
  <c r="K2" i="3"/>
  <c r="AE2" i="3" s="1"/>
  <c r="N2" i="3"/>
  <c r="AF2" i="3" s="1"/>
  <c r="F4" i="7" l="1"/>
  <c r="N4" i="7" s="1"/>
  <c r="F103" i="7"/>
  <c r="F47" i="7"/>
  <c r="AH65" i="3"/>
  <c r="AH55" i="3"/>
  <c r="AH18" i="3"/>
  <c r="AG69" i="3"/>
  <c r="AG61" i="3"/>
  <c r="AG50" i="3"/>
  <c r="AG40" i="3"/>
  <c r="AG30" i="3"/>
  <c r="AE35" i="3"/>
  <c r="F3" i="7"/>
  <c r="D3" i="7" s="1"/>
  <c r="F12" i="7"/>
  <c r="F20" i="7"/>
  <c r="F28" i="7"/>
  <c r="F36" i="7"/>
  <c r="F44" i="7"/>
  <c r="F53" i="7"/>
  <c r="B53" i="7" s="1"/>
  <c r="F61" i="7"/>
  <c r="B61" i="7" s="1"/>
  <c r="F69" i="7"/>
  <c r="B69" i="7" s="1"/>
  <c r="F77" i="7"/>
  <c r="B77" i="7" s="1"/>
  <c r="F85" i="7"/>
  <c r="B85" i="7" s="1"/>
  <c r="F93" i="7"/>
  <c r="B93" i="7" s="1"/>
  <c r="F101" i="7"/>
  <c r="B101" i="7" s="1"/>
  <c r="F110" i="7"/>
  <c r="B110" i="7" s="1"/>
  <c r="F118" i="7"/>
  <c r="B118" i="7" s="1"/>
  <c r="F126" i="7"/>
  <c r="B126" i="7" s="1"/>
  <c r="F134" i="7"/>
  <c r="B134" i="7" s="1"/>
  <c r="F142" i="7"/>
  <c r="B142" i="7" s="1"/>
  <c r="F150" i="7"/>
  <c r="B150" i="7" s="1"/>
  <c r="F158" i="7"/>
  <c r="B158" i="7" s="1"/>
  <c r="F34" i="7"/>
  <c r="F140" i="7"/>
  <c r="B140" i="7" s="1"/>
  <c r="F19" i="7"/>
  <c r="F60" i="7"/>
  <c r="B60" i="7" s="1"/>
  <c r="F76" i="7"/>
  <c r="B76" i="7" s="1"/>
  <c r="F100" i="7"/>
  <c r="B100" i="7" s="1"/>
  <c r="F141" i="7"/>
  <c r="B141" i="7" s="1"/>
  <c r="F5" i="7"/>
  <c r="B5" i="7" s="1"/>
  <c r="F13" i="7"/>
  <c r="F21" i="7"/>
  <c r="F29" i="7"/>
  <c r="F37" i="7"/>
  <c r="F45" i="7"/>
  <c r="F54" i="7"/>
  <c r="B54" i="7" s="1"/>
  <c r="F62" i="7"/>
  <c r="B62" i="7" s="1"/>
  <c r="F70" i="7"/>
  <c r="B70" i="7" s="1"/>
  <c r="F78" i="7"/>
  <c r="B78" i="7" s="1"/>
  <c r="F86" i="7"/>
  <c r="B86" i="7" s="1"/>
  <c r="F94" i="7"/>
  <c r="B94" i="7" s="1"/>
  <c r="F102" i="7"/>
  <c r="B102" i="7" s="1"/>
  <c r="F111" i="7"/>
  <c r="B111" i="7" s="1"/>
  <c r="F119" i="7"/>
  <c r="B119" i="7" s="1"/>
  <c r="F127" i="7"/>
  <c r="B127" i="7" s="1"/>
  <c r="F135" i="7"/>
  <c r="B135" i="7" s="1"/>
  <c r="F143" i="7"/>
  <c r="B143" i="7" s="1"/>
  <c r="F151" i="7"/>
  <c r="B151" i="7" s="1"/>
  <c r="F159" i="7"/>
  <c r="B159" i="7" s="1"/>
  <c r="F42" i="7"/>
  <c r="F84" i="7"/>
  <c r="B84" i="7" s="1"/>
  <c r="F6" i="7"/>
  <c r="F14" i="7"/>
  <c r="F22" i="7"/>
  <c r="F30" i="7"/>
  <c r="F38" i="7"/>
  <c r="F46" i="7"/>
  <c r="F55" i="7"/>
  <c r="B55" i="7" s="1"/>
  <c r="F63" i="7"/>
  <c r="B63" i="7" s="1"/>
  <c r="F71" i="7"/>
  <c r="B71" i="7" s="1"/>
  <c r="F79" i="7"/>
  <c r="B79" i="7" s="1"/>
  <c r="F87" i="7"/>
  <c r="B87" i="7" s="1"/>
  <c r="F95" i="7"/>
  <c r="B95" i="7" s="1"/>
  <c r="F104" i="7"/>
  <c r="B104" i="7" s="1"/>
  <c r="F112" i="7"/>
  <c r="B112" i="7" s="1"/>
  <c r="F120" i="7"/>
  <c r="B120" i="7" s="1"/>
  <c r="F128" i="7"/>
  <c r="B128" i="7" s="1"/>
  <c r="F136" i="7"/>
  <c r="B136" i="7" s="1"/>
  <c r="F144" i="7"/>
  <c r="B144" i="7" s="1"/>
  <c r="F152" i="7"/>
  <c r="B152" i="7" s="1"/>
  <c r="F160" i="7"/>
  <c r="B160" i="7" s="1"/>
  <c r="F83" i="7"/>
  <c r="B83" i="7" s="1"/>
  <c r="F11" i="7"/>
  <c r="F52" i="7"/>
  <c r="B52" i="7" s="1"/>
  <c r="F68" i="7"/>
  <c r="B68" i="7" s="1"/>
  <c r="F92" i="7"/>
  <c r="B92" i="7" s="1"/>
  <c r="F133" i="7"/>
  <c r="B133" i="7" s="1"/>
  <c r="F2" i="7"/>
  <c r="N2" i="7" s="1"/>
  <c r="F7" i="7"/>
  <c r="F15" i="7"/>
  <c r="F23" i="7"/>
  <c r="F31" i="7"/>
  <c r="F39" i="7"/>
  <c r="F48" i="7"/>
  <c r="B48" i="7" s="1"/>
  <c r="F56" i="7"/>
  <c r="B56" i="7" s="1"/>
  <c r="F64" i="7"/>
  <c r="B64" i="7" s="1"/>
  <c r="F72" i="7"/>
  <c r="B72" i="7" s="1"/>
  <c r="F80" i="7"/>
  <c r="B80" i="7" s="1"/>
  <c r="F88" i="7"/>
  <c r="B88" i="7" s="1"/>
  <c r="F96" i="7"/>
  <c r="B96" i="7" s="1"/>
  <c r="F105" i="7"/>
  <c r="B105" i="7" s="1"/>
  <c r="F113" i="7"/>
  <c r="B113" i="7" s="1"/>
  <c r="F121" i="7"/>
  <c r="B121" i="7" s="1"/>
  <c r="F129" i="7"/>
  <c r="B129" i="7" s="1"/>
  <c r="F137" i="7"/>
  <c r="B137" i="7" s="1"/>
  <c r="F145" i="7"/>
  <c r="B145" i="7" s="1"/>
  <c r="F153" i="7"/>
  <c r="B153" i="7" s="1"/>
  <c r="F161" i="7"/>
  <c r="B161" i="7" s="1"/>
  <c r="F26" i="7"/>
  <c r="F148" i="7"/>
  <c r="B148" i="7" s="1"/>
  <c r="F27" i="7"/>
  <c r="F125" i="7"/>
  <c r="B125" i="7" s="1"/>
  <c r="F8" i="7"/>
  <c r="F16" i="7"/>
  <c r="F24" i="7"/>
  <c r="F32" i="7"/>
  <c r="F40" i="7"/>
  <c r="F49" i="7"/>
  <c r="B49" i="7" s="1"/>
  <c r="F57" i="7"/>
  <c r="B57" i="7" s="1"/>
  <c r="F65" i="7"/>
  <c r="B65" i="7" s="1"/>
  <c r="F73" i="7"/>
  <c r="B73" i="7" s="1"/>
  <c r="F81" i="7"/>
  <c r="B81" i="7" s="1"/>
  <c r="F89" i="7"/>
  <c r="B89" i="7" s="1"/>
  <c r="F97" i="7"/>
  <c r="B97" i="7" s="1"/>
  <c r="F106" i="7"/>
  <c r="B106" i="7" s="1"/>
  <c r="F114" i="7"/>
  <c r="B114" i="7" s="1"/>
  <c r="F122" i="7"/>
  <c r="B122" i="7" s="1"/>
  <c r="F130" i="7"/>
  <c r="B130" i="7" s="1"/>
  <c r="F138" i="7"/>
  <c r="B138" i="7" s="1"/>
  <c r="F146" i="7"/>
  <c r="B146" i="7" s="1"/>
  <c r="F154" i="7"/>
  <c r="B154" i="7" s="1"/>
  <c r="F162" i="7"/>
  <c r="B162" i="7" s="1"/>
  <c r="F18" i="7"/>
  <c r="F51" i="7"/>
  <c r="B51" i="7" s="1"/>
  <c r="F67" i="7"/>
  <c r="B67" i="7" s="1"/>
  <c r="F91" i="7"/>
  <c r="B91" i="7" s="1"/>
  <c r="F108" i="7"/>
  <c r="B108" i="7" s="1"/>
  <c r="F124" i="7"/>
  <c r="B124" i="7" s="1"/>
  <c r="F156" i="7"/>
  <c r="B156" i="7" s="1"/>
  <c r="F43" i="7"/>
  <c r="F109" i="7"/>
  <c r="B109" i="7" s="1"/>
  <c r="F149" i="7"/>
  <c r="B149" i="7" s="1"/>
  <c r="F9" i="7"/>
  <c r="F17" i="7"/>
  <c r="F25" i="7"/>
  <c r="F33" i="7"/>
  <c r="F41" i="7"/>
  <c r="F50" i="7"/>
  <c r="B50" i="7" s="1"/>
  <c r="F58" i="7"/>
  <c r="B58" i="7" s="1"/>
  <c r="F66" i="7"/>
  <c r="B66" i="7" s="1"/>
  <c r="F74" i="7"/>
  <c r="B74" i="7" s="1"/>
  <c r="F82" i="7"/>
  <c r="B82" i="7" s="1"/>
  <c r="F90" i="7"/>
  <c r="B90" i="7" s="1"/>
  <c r="F98" i="7"/>
  <c r="B98" i="7" s="1"/>
  <c r="F107" i="7"/>
  <c r="B107" i="7" s="1"/>
  <c r="F115" i="7"/>
  <c r="B115" i="7" s="1"/>
  <c r="F123" i="7"/>
  <c r="B123" i="7" s="1"/>
  <c r="F131" i="7"/>
  <c r="B131" i="7" s="1"/>
  <c r="F139" i="7"/>
  <c r="B139" i="7" s="1"/>
  <c r="F147" i="7"/>
  <c r="B147" i="7" s="1"/>
  <c r="F155" i="7"/>
  <c r="B155" i="7" s="1"/>
  <c r="F163" i="7"/>
  <c r="B163" i="7" s="1"/>
  <c r="F10" i="7"/>
  <c r="F59" i="7"/>
  <c r="B59" i="7" s="1"/>
  <c r="F75" i="7"/>
  <c r="B75" i="7" s="1"/>
  <c r="F99" i="7"/>
  <c r="B99" i="7" s="1"/>
  <c r="F116" i="7"/>
  <c r="B116" i="7" s="1"/>
  <c r="F132" i="7"/>
  <c r="B132" i="7" s="1"/>
  <c r="F164" i="7"/>
  <c r="B164" i="7" s="1"/>
  <c r="F35" i="7"/>
  <c r="F117" i="7"/>
  <c r="B117" i="7" s="1"/>
  <c r="F157" i="7"/>
  <c r="B157" i="7" s="1"/>
  <c r="T101" i="8"/>
  <c r="T93" i="8"/>
  <c r="T76" i="8"/>
  <c r="T68" i="8"/>
  <c r="T59" i="8"/>
  <c r="T27" i="8"/>
  <c r="T19" i="8"/>
  <c r="U86" i="8"/>
  <c r="U78" i="8"/>
  <c r="U7" i="8"/>
  <c r="U15" i="8"/>
  <c r="U23" i="8"/>
  <c r="T100" i="8"/>
  <c r="T92" i="8"/>
  <c r="T83" i="8"/>
  <c r="T75" i="8"/>
  <c r="T67" i="8"/>
  <c r="U101" i="8"/>
  <c r="U93" i="8"/>
  <c r="U77" i="8"/>
  <c r="U69" i="8"/>
  <c r="U61" i="8"/>
  <c r="U53" i="8"/>
  <c r="U29" i="8"/>
  <c r="U21" i="8"/>
  <c r="U13" i="8"/>
  <c r="U5" i="8"/>
  <c r="T57" i="8"/>
  <c r="T49" i="8"/>
  <c r="T25" i="8"/>
  <c r="T17" i="8"/>
  <c r="T9" i="8"/>
  <c r="U76" i="8"/>
  <c r="U68" i="8"/>
  <c r="U60" i="8"/>
  <c r="U12" i="8"/>
  <c r="T28" i="8"/>
  <c r="T81" i="8"/>
  <c r="T73" i="8"/>
  <c r="T64" i="8"/>
  <c r="T56" i="8"/>
  <c r="T48" i="8"/>
  <c r="T40" i="8"/>
  <c r="T32" i="8"/>
  <c r="U99" i="8"/>
  <c r="U91" i="8"/>
  <c r="U27" i="8"/>
  <c r="U19" i="8"/>
  <c r="T97" i="8"/>
  <c r="T89" i="8"/>
  <c r="T80" i="8"/>
  <c r="T72" i="8"/>
  <c r="T63" i="8"/>
  <c r="T55" i="8"/>
  <c r="T47" i="8"/>
  <c r="T39" i="8"/>
  <c r="T31" i="8"/>
  <c r="T23" i="8"/>
  <c r="T15" i="8"/>
  <c r="T7" i="8"/>
  <c r="U82" i="8"/>
  <c r="U74" i="8"/>
  <c r="U66" i="8"/>
  <c r="U58" i="8"/>
  <c r="T36" i="8"/>
  <c r="O2" i="8"/>
  <c r="P2" i="8" s="1"/>
  <c r="Q2" i="8" s="1"/>
  <c r="T96" i="8"/>
  <c r="T87" i="8"/>
  <c r="T79" i="8"/>
  <c r="T71" i="8"/>
  <c r="T62" i="8"/>
  <c r="T54" i="8"/>
  <c r="U97" i="8"/>
  <c r="U89" i="8"/>
  <c r="U81" i="8"/>
  <c r="U73" i="8"/>
  <c r="U65" i="8"/>
  <c r="U57" i="8"/>
  <c r="U25" i="8"/>
  <c r="U17" i="8"/>
  <c r="U9" i="8"/>
  <c r="T95" i="8"/>
  <c r="T86" i="8"/>
  <c r="T78" i="8"/>
  <c r="T61" i="8"/>
  <c r="T53" i="8"/>
  <c r="T29" i="8"/>
  <c r="T21" i="8"/>
  <c r="T13" i="8"/>
  <c r="T5" i="8"/>
  <c r="U80" i="8"/>
  <c r="U72" i="8"/>
  <c r="U64" i="8"/>
  <c r="U56" i="8"/>
  <c r="AE74" i="3"/>
  <c r="AE63" i="3"/>
  <c r="AE53" i="3"/>
  <c r="AE42" i="3"/>
  <c r="AE33" i="3"/>
  <c r="AH63" i="3"/>
  <c r="AH7" i="3"/>
  <c r="AG47" i="3"/>
  <c r="AH14" i="3"/>
  <c r="AG35" i="3"/>
  <c r="AG25" i="3"/>
  <c r="AG10" i="3"/>
  <c r="AG3" i="3"/>
  <c r="AH61" i="3"/>
  <c r="AH5" i="3"/>
  <c r="AF15" i="3"/>
  <c r="AF8" i="3"/>
  <c r="AG53" i="3"/>
  <c r="AG43" i="3"/>
  <c r="AG34" i="3"/>
  <c r="AG37" i="3"/>
  <c r="AE70" i="3"/>
  <c r="AE4" i="3"/>
  <c r="AF70" i="3"/>
  <c r="AF62" i="3"/>
  <c r="AF42" i="3"/>
  <c r="AF34" i="3"/>
  <c r="AF26" i="3"/>
  <c r="AG33" i="3"/>
  <c r="AH10" i="3"/>
  <c r="AH3" i="3"/>
  <c r="AE69" i="3"/>
  <c r="AE56" i="3"/>
  <c r="AE47" i="3"/>
  <c r="AE26" i="3"/>
  <c r="AE10" i="3"/>
  <c r="AE3" i="3"/>
  <c r="AG51" i="3"/>
  <c r="AG41" i="3"/>
  <c r="AG8" i="3"/>
  <c r="AH66" i="3"/>
  <c r="AH56" i="3"/>
  <c r="AH48" i="3"/>
  <c r="AH38" i="3"/>
  <c r="AH30" i="3"/>
  <c r="AH20" i="3"/>
  <c r="AE72" i="3"/>
  <c r="AG49" i="3"/>
  <c r="AE28" i="3"/>
  <c r="O39" i="3"/>
  <c r="W39" i="3" s="1"/>
  <c r="AG39" i="3"/>
  <c r="AG59" i="3"/>
  <c r="AH59" i="3"/>
  <c r="AE75" i="3"/>
  <c r="AG75" i="3"/>
  <c r="AH67" i="3"/>
  <c r="AH24" i="3"/>
  <c r="AH12" i="3"/>
  <c r="W67" i="3"/>
  <c r="AF67" i="3"/>
  <c r="AF5" i="3"/>
  <c r="AE76" i="3"/>
  <c r="AE73" i="3"/>
  <c r="AE62" i="3"/>
  <c r="AE51" i="3"/>
  <c r="AE41" i="3"/>
  <c r="AE19" i="3"/>
  <c r="AE8" i="3"/>
  <c r="AF74" i="3"/>
  <c r="W66" i="3"/>
  <c r="AF66" i="3"/>
  <c r="AF56" i="3"/>
  <c r="AF48" i="3"/>
  <c r="AF38" i="3"/>
  <c r="AF30" i="3"/>
  <c r="W23" i="3"/>
  <c r="AF23" i="3"/>
  <c r="W11" i="3"/>
  <c r="AF11" i="3"/>
  <c r="AF4" i="3"/>
  <c r="AG68" i="3"/>
  <c r="AG60" i="3"/>
  <c r="AG28" i="3"/>
  <c r="AG18" i="3"/>
  <c r="AG7" i="3"/>
  <c r="AH73" i="3"/>
  <c r="AH47" i="3"/>
  <c r="AH37" i="3"/>
  <c r="AH29" i="3"/>
  <c r="AE32" i="3"/>
  <c r="T58" i="8"/>
  <c r="T51" i="8"/>
  <c r="T43" i="8"/>
  <c r="T35" i="8"/>
  <c r="T11" i="8"/>
  <c r="U94" i="8"/>
  <c r="U70" i="8"/>
  <c r="U62" i="8"/>
  <c r="U54" i="8"/>
  <c r="U47" i="8"/>
  <c r="U39" i="8"/>
  <c r="AE24" i="3"/>
  <c r="AF59" i="3"/>
  <c r="AF24" i="3"/>
  <c r="AH74" i="3"/>
  <c r="X23" i="3"/>
  <c r="AH23" i="3"/>
  <c r="AE61" i="3"/>
  <c r="AE50" i="3"/>
  <c r="AE40" i="3"/>
  <c r="AE30" i="3"/>
  <c r="AE18" i="3"/>
  <c r="AE7" i="3"/>
  <c r="AF73" i="3"/>
  <c r="AF65" i="3"/>
  <c r="AF55" i="3"/>
  <c r="AF47" i="3"/>
  <c r="AF37" i="3"/>
  <c r="AF29" i="3"/>
  <c r="W20" i="3"/>
  <c r="AF20" i="3"/>
  <c r="AF10" i="3"/>
  <c r="AF3" i="3"/>
  <c r="AG67" i="3"/>
  <c r="AG56" i="3"/>
  <c r="AG48" i="3"/>
  <c r="AG38" i="3"/>
  <c r="AG27" i="3"/>
  <c r="AG14" i="3"/>
  <c r="AG6" i="3"/>
  <c r="AH72" i="3"/>
  <c r="AH64" i="3"/>
  <c r="AH54" i="3"/>
  <c r="AH46" i="3"/>
  <c r="AH36" i="3"/>
  <c r="AH28" i="3"/>
  <c r="AH19" i="3"/>
  <c r="AG32" i="3"/>
  <c r="T74" i="8"/>
  <c r="T66" i="8"/>
  <c r="T50" i="8"/>
  <c r="T42" i="8"/>
  <c r="T34" i="8"/>
  <c r="T26" i="8"/>
  <c r="T18" i="8"/>
  <c r="T10" i="8"/>
  <c r="U85" i="8"/>
  <c r="U46" i="8"/>
  <c r="U38" i="8"/>
  <c r="U30" i="8"/>
  <c r="U22" i="8"/>
  <c r="U14" i="8"/>
  <c r="U6" i="8"/>
  <c r="W75" i="3"/>
  <c r="AF75" i="3"/>
  <c r="AF39" i="3"/>
  <c r="AF12" i="3"/>
  <c r="AG19" i="3"/>
  <c r="AE71" i="3"/>
  <c r="AE60" i="3"/>
  <c r="AE49" i="3"/>
  <c r="AE38" i="3"/>
  <c r="AE15" i="3"/>
  <c r="AE6" i="3"/>
  <c r="AF72" i="3"/>
  <c r="AF64" i="3"/>
  <c r="AF54" i="3"/>
  <c r="AF46" i="3"/>
  <c r="AF36" i="3"/>
  <c r="AF28" i="3"/>
  <c r="AF19" i="3"/>
  <c r="AG74" i="3"/>
  <c r="AG66" i="3"/>
  <c r="AG55" i="3"/>
  <c r="AG36" i="3"/>
  <c r="AG26" i="3"/>
  <c r="AG13" i="3"/>
  <c r="AG5" i="3"/>
  <c r="AH71" i="3"/>
  <c r="AH53" i="3"/>
  <c r="AH43" i="3"/>
  <c r="AH35" i="3"/>
  <c r="AH27" i="3"/>
  <c r="AH8" i="3"/>
  <c r="AE29" i="3"/>
  <c r="T98" i="8"/>
  <c r="T90" i="8"/>
  <c r="T41" i="8"/>
  <c r="U45" i="8"/>
  <c r="U37" i="8"/>
  <c r="AF49" i="3"/>
  <c r="AE59" i="3"/>
  <c r="AE48" i="3"/>
  <c r="AE37" i="3"/>
  <c r="AE27" i="3"/>
  <c r="AE14" i="3"/>
  <c r="AE5" i="3"/>
  <c r="AF71" i="3"/>
  <c r="AF63" i="3"/>
  <c r="AF53" i="3"/>
  <c r="AF43" i="3"/>
  <c r="AF35" i="3"/>
  <c r="AF27" i="3"/>
  <c r="AF18" i="3"/>
  <c r="AG73" i="3"/>
  <c r="AG65" i="3"/>
  <c r="AG54" i="3"/>
  <c r="AG46" i="3"/>
  <c r="AG12" i="3"/>
  <c r="AG4" i="3"/>
  <c r="AH70" i="3"/>
  <c r="AH62" i="3"/>
  <c r="AH52" i="3"/>
  <c r="AH42" i="3"/>
  <c r="AH34" i="3"/>
  <c r="AH26" i="3"/>
  <c r="X15" i="3"/>
  <c r="AH15" i="3"/>
  <c r="AG29" i="3"/>
  <c r="AG72" i="3"/>
  <c r="AG64" i="3"/>
  <c r="AH69" i="3"/>
  <c r="AH51" i="3"/>
  <c r="AH41" i="3"/>
  <c r="AH33" i="3"/>
  <c r="AH6" i="3"/>
  <c r="AE65" i="3"/>
  <c r="U98" i="8"/>
  <c r="U90" i="8"/>
  <c r="U51" i="8"/>
  <c r="U43" i="8"/>
  <c r="U35" i="8"/>
  <c r="U11" i="8"/>
  <c r="U3" i="8"/>
  <c r="AE36" i="3"/>
  <c r="AE12" i="3"/>
  <c r="AE23" i="3"/>
  <c r="AG23" i="3"/>
  <c r="AE11" i="3"/>
  <c r="AG11" i="3"/>
  <c r="AE68" i="3"/>
  <c r="AE55" i="3"/>
  <c r="AE46" i="3"/>
  <c r="AF69" i="3"/>
  <c r="AF61" i="3"/>
  <c r="AF51" i="3"/>
  <c r="AF41" i="3"/>
  <c r="AF33" i="3"/>
  <c r="AF14" i="3"/>
  <c r="AF7" i="3"/>
  <c r="AG71" i="3"/>
  <c r="AG63" i="3"/>
  <c r="AG52" i="3"/>
  <c r="AG42" i="3"/>
  <c r="AG24" i="3"/>
  <c r="AH76" i="3"/>
  <c r="AH68" i="3"/>
  <c r="AH60" i="3"/>
  <c r="AH50" i="3"/>
  <c r="AH40" i="3"/>
  <c r="AH32" i="3"/>
  <c r="AH25" i="3"/>
  <c r="AH13" i="3"/>
  <c r="X11" i="3"/>
  <c r="AH11" i="3"/>
  <c r="AE39" i="3"/>
  <c r="T2" i="8"/>
  <c r="T70" i="8"/>
  <c r="T46" i="8"/>
  <c r="T38" i="8"/>
  <c r="T30" i="8"/>
  <c r="T14" i="8"/>
  <c r="T6" i="8"/>
  <c r="U50" i="8"/>
  <c r="U42" i="8"/>
  <c r="U34" i="8"/>
  <c r="U26" i="8"/>
  <c r="U18" i="8"/>
  <c r="U10" i="8"/>
  <c r="W52" i="3"/>
  <c r="AF52" i="3"/>
  <c r="AE64" i="3"/>
  <c r="AE54" i="3"/>
  <c r="AE43" i="3"/>
  <c r="AE34" i="3"/>
  <c r="AE25" i="3"/>
  <c r="W76" i="3"/>
  <c r="AF76" i="3"/>
  <c r="AF68" i="3"/>
  <c r="AF60" i="3"/>
  <c r="AF50" i="3"/>
  <c r="AF40" i="3"/>
  <c r="AF32" i="3"/>
  <c r="AF25" i="3"/>
  <c r="AF13" i="3"/>
  <c r="AF6" i="3"/>
  <c r="AG70" i="3"/>
  <c r="AG62" i="3"/>
  <c r="AG20" i="3"/>
  <c r="X75" i="3"/>
  <c r="AH75" i="3"/>
  <c r="AH49" i="3"/>
  <c r="AH39" i="3"/>
  <c r="AH4" i="3"/>
  <c r="AE13" i="3"/>
  <c r="X76" i="3"/>
  <c r="U2" i="8"/>
  <c r="T94" i="8"/>
  <c r="T85" i="8"/>
  <c r="T45" i="8"/>
  <c r="T37" i="8"/>
  <c r="U49" i="8"/>
  <c r="U41" i="8"/>
  <c r="U33" i="8"/>
  <c r="O22" i="8"/>
  <c r="P22" i="8" s="1"/>
  <c r="Q22" i="8" s="1"/>
  <c r="P65" i="8"/>
  <c r="T84" i="8"/>
  <c r="T4" i="8"/>
  <c r="T22" i="8"/>
  <c r="O81" i="8"/>
  <c r="P81" i="8" s="1"/>
  <c r="Q81" i="8" s="1"/>
  <c r="U84" i="8"/>
  <c r="O36" i="8"/>
  <c r="P36" i="8" s="1"/>
  <c r="Q36" i="8" s="1"/>
  <c r="O20" i="8"/>
  <c r="P20" i="8" s="1"/>
  <c r="Q20" i="8" s="1"/>
  <c r="U4" i="8"/>
  <c r="U20" i="8"/>
  <c r="AH31" i="3"/>
  <c r="AF31" i="3"/>
  <c r="AE31" i="3"/>
  <c r="AG31" i="3"/>
  <c r="O101" i="8"/>
  <c r="P101" i="8" s="1"/>
  <c r="Q101" i="8" s="1"/>
  <c r="O100" i="8"/>
  <c r="P100" i="8" s="1"/>
  <c r="Q100" i="8" s="1"/>
  <c r="O99" i="8"/>
  <c r="P99" i="8" s="1"/>
  <c r="Q99" i="8" s="1"/>
  <c r="O98" i="8"/>
  <c r="P98" i="8" s="1"/>
  <c r="Q98" i="8" s="1"/>
  <c r="O97" i="8"/>
  <c r="P97" i="8" s="1"/>
  <c r="Q97" i="8" s="1"/>
  <c r="O94" i="8"/>
  <c r="P94" i="8" s="1"/>
  <c r="Q94" i="8" s="1"/>
  <c r="O93" i="8"/>
  <c r="P93" i="8" s="1"/>
  <c r="Q93" i="8" s="1"/>
  <c r="O96" i="8"/>
  <c r="P96" i="8" s="1"/>
  <c r="Q96" i="8" s="1"/>
  <c r="O95" i="8"/>
  <c r="P95" i="8" s="1"/>
  <c r="Q95" i="8" s="1"/>
  <c r="O92" i="8"/>
  <c r="P92" i="8" s="1"/>
  <c r="Q92" i="8" s="1"/>
  <c r="O91" i="8"/>
  <c r="P91" i="8" s="1"/>
  <c r="Q91" i="8" s="1"/>
  <c r="O90" i="8"/>
  <c r="P90" i="8" s="1"/>
  <c r="Q90" i="8" s="1"/>
  <c r="O89" i="8"/>
  <c r="P89" i="8" s="1"/>
  <c r="Q89" i="8" s="1"/>
  <c r="O88" i="8"/>
  <c r="P88" i="8" s="1"/>
  <c r="Q88" i="8" s="1"/>
  <c r="O87" i="8"/>
  <c r="P87" i="8" s="1"/>
  <c r="Q87" i="8" s="1"/>
  <c r="O86" i="8"/>
  <c r="P86" i="8" s="1"/>
  <c r="Q86" i="8" s="1"/>
  <c r="O85" i="8"/>
  <c r="P85" i="8" s="1"/>
  <c r="Q85" i="8" s="1"/>
  <c r="O84" i="8"/>
  <c r="P84" i="8" s="1"/>
  <c r="Q84" i="8" s="1"/>
  <c r="O83" i="8"/>
  <c r="P83" i="8" s="1"/>
  <c r="Q83" i="8" s="1"/>
  <c r="O82" i="8"/>
  <c r="P82" i="8" s="1"/>
  <c r="Q82" i="8" s="1"/>
  <c r="O80" i="8"/>
  <c r="P80" i="8" s="1"/>
  <c r="Q80" i="8" s="1"/>
  <c r="O79" i="8"/>
  <c r="P79" i="8" s="1"/>
  <c r="Q79" i="8" s="1"/>
  <c r="O78" i="8"/>
  <c r="P78" i="8" s="1"/>
  <c r="Q78" i="8" s="1"/>
  <c r="O77" i="8"/>
  <c r="P77" i="8" s="1"/>
  <c r="Q77" i="8" s="1"/>
  <c r="O76" i="8"/>
  <c r="P76" i="8" s="1"/>
  <c r="Q76" i="8" s="1"/>
  <c r="O75" i="8"/>
  <c r="P75" i="8" s="1"/>
  <c r="Q75" i="8" s="1"/>
  <c r="O74" i="8"/>
  <c r="P74" i="8" s="1"/>
  <c r="Q74" i="8" s="1"/>
  <c r="O73" i="8"/>
  <c r="P73" i="8" s="1"/>
  <c r="Q73" i="8" s="1"/>
  <c r="O72" i="8"/>
  <c r="P72" i="8" s="1"/>
  <c r="Q72" i="8" s="1"/>
  <c r="O71" i="8"/>
  <c r="P71" i="8" s="1"/>
  <c r="Q71" i="8" s="1"/>
  <c r="O70" i="8"/>
  <c r="P70" i="8" s="1"/>
  <c r="Q70" i="8" s="1"/>
  <c r="O69" i="8"/>
  <c r="P69" i="8" s="1"/>
  <c r="Q69" i="8" s="1"/>
  <c r="O68" i="8"/>
  <c r="P68" i="8" s="1"/>
  <c r="Q68" i="8" s="1"/>
  <c r="O67" i="8"/>
  <c r="P67" i="8" s="1"/>
  <c r="Q67" i="8" s="1"/>
  <c r="O66" i="8"/>
  <c r="P66" i="8" s="1"/>
  <c r="Q66" i="8" s="1"/>
  <c r="Q65" i="8"/>
  <c r="O64" i="8"/>
  <c r="P64" i="8" s="1"/>
  <c r="Q64" i="8" s="1"/>
  <c r="O61" i="8"/>
  <c r="P61" i="8" s="1"/>
  <c r="Q61" i="8" s="1"/>
  <c r="O59" i="8"/>
  <c r="P59" i="8" s="1"/>
  <c r="Q59" i="8" s="1"/>
  <c r="O58" i="8"/>
  <c r="P58" i="8" s="1"/>
  <c r="Q58" i="8" s="1"/>
  <c r="O57" i="8"/>
  <c r="P57" i="8" s="1"/>
  <c r="Q57" i="8" s="1"/>
  <c r="O63" i="8"/>
  <c r="P63" i="8" s="1"/>
  <c r="Q63" i="8" s="1"/>
  <c r="O60" i="8"/>
  <c r="P60" i="8" s="1"/>
  <c r="Q60" i="8" s="1"/>
  <c r="O56" i="8"/>
  <c r="P56" i="8" s="1"/>
  <c r="Q56" i="8" s="1"/>
  <c r="O62" i="8"/>
  <c r="P62" i="8" s="1"/>
  <c r="Q62" i="8" s="1"/>
  <c r="O55" i="8"/>
  <c r="P55" i="8" s="1"/>
  <c r="Q55" i="8" s="1"/>
  <c r="O54" i="8"/>
  <c r="P54" i="8" s="1"/>
  <c r="Q54" i="8" s="1"/>
  <c r="O53" i="8"/>
  <c r="P53" i="8" s="1"/>
  <c r="Q53" i="8" s="1"/>
  <c r="O52" i="8"/>
  <c r="P52" i="8" s="1"/>
  <c r="Q52" i="8" s="1"/>
  <c r="O51" i="8"/>
  <c r="P51" i="8" s="1"/>
  <c r="Q51" i="8" s="1"/>
  <c r="O50" i="8"/>
  <c r="P50" i="8" s="1"/>
  <c r="Q50" i="8" s="1"/>
  <c r="O49" i="8"/>
  <c r="P49" i="8" s="1"/>
  <c r="Q49" i="8" s="1"/>
  <c r="O48" i="8"/>
  <c r="P48" i="8" s="1"/>
  <c r="Q48" i="8" s="1"/>
  <c r="O47" i="8"/>
  <c r="P47" i="8" s="1"/>
  <c r="Q47" i="8" s="1"/>
  <c r="O46" i="8"/>
  <c r="P46" i="8" s="1"/>
  <c r="Q46" i="8" s="1"/>
  <c r="O45" i="8"/>
  <c r="P45" i="8" s="1"/>
  <c r="Q45" i="8" s="1"/>
  <c r="O44" i="8"/>
  <c r="P44" i="8" s="1"/>
  <c r="Q44" i="8" s="1"/>
  <c r="O43" i="8"/>
  <c r="P43" i="8" s="1"/>
  <c r="Q43" i="8" s="1"/>
  <c r="O42" i="8"/>
  <c r="P42" i="8" s="1"/>
  <c r="Q42" i="8" s="1"/>
  <c r="O41" i="8"/>
  <c r="P41" i="8" s="1"/>
  <c r="Q41" i="8" s="1"/>
  <c r="O40" i="8"/>
  <c r="P40" i="8" s="1"/>
  <c r="Q40" i="8" s="1"/>
  <c r="O39" i="8"/>
  <c r="P39" i="8" s="1"/>
  <c r="Q39" i="8" s="1"/>
  <c r="O38" i="8"/>
  <c r="P38" i="8" s="1"/>
  <c r="Q38" i="8" s="1"/>
  <c r="O37" i="8"/>
  <c r="P37" i="8" s="1"/>
  <c r="Q37" i="8" s="1"/>
  <c r="O35" i="8"/>
  <c r="P35" i="8" s="1"/>
  <c r="Q35" i="8" s="1"/>
  <c r="O34" i="8"/>
  <c r="P34" i="8" s="1"/>
  <c r="Q34" i="8" s="1"/>
  <c r="O33" i="8"/>
  <c r="O32" i="8"/>
  <c r="P32" i="8" s="1"/>
  <c r="Q32" i="8" s="1"/>
  <c r="O31" i="8"/>
  <c r="P31" i="8" s="1"/>
  <c r="Q31" i="8" s="1"/>
  <c r="O30" i="8"/>
  <c r="P30" i="8" s="1"/>
  <c r="Q30" i="8" s="1"/>
  <c r="O29" i="8"/>
  <c r="P29" i="8" s="1"/>
  <c r="Q29" i="8" s="1"/>
  <c r="O28" i="8"/>
  <c r="P28" i="8" s="1"/>
  <c r="Q28" i="8" s="1"/>
  <c r="O27" i="8"/>
  <c r="P27" i="8" s="1"/>
  <c r="Q27" i="8" s="1"/>
  <c r="O26" i="8"/>
  <c r="P26" i="8" s="1"/>
  <c r="Q26" i="8" s="1"/>
  <c r="O25" i="8"/>
  <c r="P25" i="8" s="1"/>
  <c r="Q25" i="8" s="1"/>
  <c r="O24" i="8"/>
  <c r="P24" i="8" s="1"/>
  <c r="Q24" i="8" s="1"/>
  <c r="O23" i="8"/>
  <c r="P23" i="8" s="1"/>
  <c r="Q23" i="8" s="1"/>
  <c r="O21" i="8"/>
  <c r="P21" i="8" s="1"/>
  <c r="Q21" i="8" s="1"/>
  <c r="O19" i="8"/>
  <c r="P19" i="8" s="1"/>
  <c r="Q19" i="8" s="1"/>
  <c r="O18" i="8"/>
  <c r="P18" i="8" s="1"/>
  <c r="Q18" i="8" s="1"/>
  <c r="O17" i="8"/>
  <c r="P17" i="8" s="1"/>
  <c r="Q17" i="8" s="1"/>
  <c r="O16" i="8"/>
  <c r="P16" i="8" s="1"/>
  <c r="Q16" i="8" s="1"/>
  <c r="O15" i="8"/>
  <c r="P15" i="8" s="1"/>
  <c r="Q15" i="8" s="1"/>
  <c r="O14" i="8"/>
  <c r="P14" i="8" s="1"/>
  <c r="Q14" i="8" s="1"/>
  <c r="O13" i="8"/>
  <c r="P13" i="8" s="1"/>
  <c r="Q13" i="8" s="1"/>
  <c r="O12" i="8"/>
  <c r="P12" i="8" s="1"/>
  <c r="Q12" i="8" s="1"/>
  <c r="O11" i="8"/>
  <c r="P11" i="8" s="1"/>
  <c r="Q11" i="8" s="1"/>
  <c r="O10" i="8"/>
  <c r="P10" i="8" s="1"/>
  <c r="Q10" i="8" s="1"/>
  <c r="O9" i="8"/>
  <c r="P9" i="8" s="1"/>
  <c r="Q9" i="8" s="1"/>
  <c r="O8" i="8"/>
  <c r="P8" i="8" s="1"/>
  <c r="Q8" i="8" s="1"/>
  <c r="O7" i="8"/>
  <c r="P7" i="8" s="1"/>
  <c r="Q7" i="8" s="1"/>
  <c r="O6" i="8"/>
  <c r="P6" i="8" s="1"/>
  <c r="Q6" i="8" s="1"/>
  <c r="O5" i="8"/>
  <c r="P5" i="8" s="1"/>
  <c r="Q5" i="8" s="1"/>
  <c r="O4" i="8"/>
  <c r="P4" i="8" s="1"/>
  <c r="Q4" i="8" s="1"/>
  <c r="O3" i="8"/>
  <c r="P3" i="8" s="1"/>
  <c r="Q3" i="8" s="1"/>
  <c r="V63" i="3"/>
  <c r="X63" i="3" s="1"/>
  <c r="V54" i="3"/>
  <c r="X54" i="3" s="1"/>
  <c r="V52" i="3"/>
  <c r="X52" i="3" s="1"/>
  <c r="AD150" i="7"/>
  <c r="AD162" i="7"/>
  <c r="AD164" i="7"/>
  <c r="AD163" i="7"/>
  <c r="AD151" i="7"/>
  <c r="AD148" i="7"/>
  <c r="V43" i="3"/>
  <c r="X43" i="3" s="1"/>
  <c r="V33" i="3"/>
  <c r="X33" i="3" s="1"/>
  <c r="V29" i="3"/>
  <c r="X29" i="3" s="1"/>
  <c r="V26" i="3"/>
  <c r="X26" i="3" s="1"/>
  <c r="V18" i="3"/>
  <c r="X18" i="3" s="1"/>
  <c r="V13" i="3"/>
  <c r="X13" i="3" s="1"/>
  <c r="V8" i="3"/>
  <c r="X8" i="3" s="1"/>
  <c r="V5" i="3"/>
  <c r="X5" i="3" s="1"/>
  <c r="V37" i="3"/>
  <c r="X37" i="3" s="1"/>
  <c r="V48" i="3"/>
  <c r="X48" i="3" s="1"/>
  <c r="V35" i="3"/>
  <c r="X35" i="3" s="1"/>
  <c r="V24" i="3"/>
  <c r="X24" i="3" s="1"/>
  <c r="V47" i="3"/>
  <c r="X47" i="3" s="1"/>
  <c r="V40" i="3"/>
  <c r="X40" i="3" s="1"/>
  <c r="V34" i="3"/>
  <c r="X34" i="3" s="1"/>
  <c r="V27" i="3"/>
  <c r="X27" i="3" s="1"/>
  <c r="V14" i="3"/>
  <c r="X14" i="3" s="1"/>
  <c r="V3" i="3"/>
  <c r="X3" i="3" s="1"/>
  <c r="V50" i="3"/>
  <c r="X50" i="3" s="1"/>
  <c r="V41" i="3"/>
  <c r="X41" i="3" s="1"/>
  <c r="V39" i="3"/>
  <c r="X39" i="3" s="1"/>
  <c r="V31" i="3"/>
  <c r="X31" i="3" s="1"/>
  <c r="V19" i="3"/>
  <c r="X19" i="3" s="1"/>
  <c r="V7" i="3"/>
  <c r="X7" i="3" s="1"/>
  <c r="V62" i="3"/>
  <c r="X62" i="3" s="1"/>
  <c r="V51" i="3"/>
  <c r="X51" i="3" s="1"/>
  <c r="V46" i="3"/>
  <c r="X46" i="3" s="1"/>
  <c r="V38" i="3"/>
  <c r="X38" i="3" s="1"/>
  <c r="V30" i="3"/>
  <c r="X30" i="3" s="1"/>
  <c r="V10" i="3"/>
  <c r="X10" i="3" s="1"/>
  <c r="V6" i="3"/>
  <c r="X6" i="3" s="1"/>
  <c r="O70" i="3"/>
  <c r="W70" i="3" s="1"/>
  <c r="O72" i="3"/>
  <c r="W72" i="3" s="1"/>
  <c r="O61" i="3"/>
  <c r="W61" i="3" s="1"/>
  <c r="O56" i="3"/>
  <c r="W56" i="3" s="1"/>
  <c r="O73" i="3"/>
  <c r="W73" i="3" s="1"/>
  <c r="O59" i="3"/>
  <c r="W59" i="3" s="1"/>
  <c r="O74" i="3"/>
  <c r="W74" i="3" s="1"/>
  <c r="O60" i="3"/>
  <c r="W60" i="3" s="1"/>
  <c r="O55" i="3"/>
  <c r="W55" i="3" s="1"/>
  <c r="O49" i="3"/>
  <c r="W49" i="3" s="1"/>
  <c r="V68" i="3"/>
  <c r="X68" i="3" s="1"/>
  <c r="V64" i="3"/>
  <c r="X64" i="3" s="1"/>
  <c r="V53" i="3"/>
  <c r="X53" i="3" s="1"/>
  <c r="V42" i="3"/>
  <c r="X42" i="3" s="1"/>
  <c r="V32" i="3"/>
  <c r="X32" i="3" s="1"/>
  <c r="V28" i="3"/>
  <c r="X28" i="3" s="1"/>
  <c r="V20" i="3"/>
  <c r="X20" i="3" s="1"/>
  <c r="V12" i="3"/>
  <c r="X12" i="3" s="1"/>
  <c r="O69" i="3"/>
  <c r="W69" i="3" s="1"/>
  <c r="O71" i="3"/>
  <c r="W71" i="3" s="1"/>
  <c r="O65" i="3"/>
  <c r="W65" i="3" s="1"/>
  <c r="O68" i="3"/>
  <c r="O64" i="3"/>
  <c r="W64" i="3" s="1"/>
  <c r="O53" i="3"/>
  <c r="O42" i="3"/>
  <c r="W42" i="3" s="1"/>
  <c r="O32" i="3"/>
  <c r="W32" i="3" s="1"/>
  <c r="O28" i="3"/>
  <c r="O12" i="3"/>
  <c r="V61" i="3"/>
  <c r="X61" i="3" s="1"/>
  <c r="V56" i="3"/>
  <c r="O63" i="3"/>
  <c r="O41" i="3"/>
  <c r="O31" i="3"/>
  <c r="O19" i="3"/>
  <c r="O7" i="3"/>
  <c r="V74" i="3"/>
  <c r="V60" i="3"/>
  <c r="X60" i="3" s="1"/>
  <c r="V55" i="3"/>
  <c r="X55" i="3" s="1"/>
  <c r="V36" i="3"/>
  <c r="X36" i="3" s="1"/>
  <c r="V25" i="3"/>
  <c r="X25" i="3" s="1"/>
  <c r="V4" i="3"/>
  <c r="X4" i="3" s="1"/>
  <c r="O62" i="3"/>
  <c r="O51" i="3"/>
  <c r="O46" i="3"/>
  <c r="O38" i="3"/>
  <c r="O30" i="3"/>
  <c r="O10" i="3"/>
  <c r="O6" i="3"/>
  <c r="V73" i="3"/>
  <c r="V67" i="3"/>
  <c r="O50" i="3"/>
  <c r="O37" i="3"/>
  <c r="O5" i="3"/>
  <c r="V72" i="3"/>
  <c r="V70" i="3"/>
  <c r="V66" i="3"/>
  <c r="O36" i="3"/>
  <c r="W36" i="3" s="1"/>
  <c r="O25" i="3"/>
  <c r="W25" i="3" s="1"/>
  <c r="O4" i="3"/>
  <c r="W4" i="3" s="1"/>
  <c r="V71" i="3"/>
  <c r="V69" i="3"/>
  <c r="V65" i="3"/>
  <c r="V49" i="3"/>
  <c r="O54" i="3"/>
  <c r="O48" i="3"/>
  <c r="O35" i="3"/>
  <c r="O24" i="3"/>
  <c r="O15" i="3"/>
  <c r="O47" i="3"/>
  <c r="O40" i="3"/>
  <c r="O34" i="3"/>
  <c r="O27" i="3"/>
  <c r="O14" i="3"/>
  <c r="O3" i="3"/>
  <c r="O43" i="3"/>
  <c r="O33" i="3"/>
  <c r="O29" i="3"/>
  <c r="O26" i="3"/>
  <c r="O18" i="3"/>
  <c r="O13" i="3"/>
  <c r="O8" i="3"/>
  <c r="V2" i="3"/>
  <c r="X2" i="3" s="1"/>
  <c r="O2" i="3"/>
  <c r="W2" i="3" s="1"/>
  <c r="AC3" i="1"/>
  <c r="C1" i="2"/>
  <c r="AE546" i="1"/>
  <c r="AC546" i="1"/>
  <c r="H546" i="1"/>
  <c r="AE543" i="1"/>
  <c r="AC543" i="1"/>
  <c r="H543" i="1"/>
  <c r="AE549" i="1"/>
  <c r="AC549" i="1"/>
  <c r="H549" i="1"/>
  <c r="AE545" i="1"/>
  <c r="AC545" i="1"/>
  <c r="H545" i="1"/>
  <c r="AE548" i="1"/>
  <c r="AC548" i="1"/>
  <c r="H548" i="1"/>
  <c r="AE547" i="1"/>
  <c r="AC547" i="1"/>
  <c r="H547" i="1"/>
  <c r="AE544" i="1"/>
  <c r="AC544" i="1"/>
  <c r="H544" i="1"/>
  <c r="AE542" i="1"/>
  <c r="AC542" i="1"/>
  <c r="H542" i="1"/>
  <c r="AE557" i="1"/>
  <c r="AC557" i="1"/>
  <c r="H557" i="1"/>
  <c r="AE556" i="1"/>
  <c r="AC556" i="1"/>
  <c r="H556" i="1"/>
  <c r="AE552" i="1"/>
  <c r="AC552" i="1"/>
  <c r="H552" i="1"/>
  <c r="AE551" i="1"/>
  <c r="AC551" i="1"/>
  <c r="H551" i="1"/>
  <c r="AE554" i="1"/>
  <c r="AC554" i="1"/>
  <c r="H554" i="1"/>
  <c r="AE553" i="1"/>
  <c r="AC553" i="1"/>
  <c r="H553" i="1"/>
  <c r="AE550" i="1"/>
  <c r="AC550" i="1"/>
  <c r="H550" i="1"/>
  <c r="AE532" i="1"/>
  <c r="AC532" i="1"/>
  <c r="H532" i="1"/>
  <c r="AE531" i="1"/>
  <c r="AC531" i="1"/>
  <c r="H531" i="1"/>
  <c r="AE539" i="1"/>
  <c r="AC539" i="1"/>
  <c r="H539" i="1"/>
  <c r="AE540" i="1"/>
  <c r="AC540" i="1"/>
  <c r="H540" i="1"/>
  <c r="AE541" i="1"/>
  <c r="AC541" i="1"/>
  <c r="H541" i="1"/>
  <c r="AE536" i="1"/>
  <c r="AC536" i="1"/>
  <c r="H536" i="1"/>
  <c r="AE535" i="1"/>
  <c r="AC535" i="1"/>
  <c r="H535" i="1"/>
  <c r="AE538" i="1"/>
  <c r="AC538" i="1"/>
  <c r="H538" i="1"/>
  <c r="AE534" i="1"/>
  <c r="AC534" i="1"/>
  <c r="H534" i="1"/>
  <c r="AE537" i="1"/>
  <c r="AC537" i="1"/>
  <c r="H537" i="1"/>
  <c r="AE533" i="1"/>
  <c r="AC533" i="1"/>
  <c r="H533" i="1"/>
  <c r="AE523" i="1"/>
  <c r="AC523" i="1"/>
  <c r="H523" i="1"/>
  <c r="AE530" i="1"/>
  <c r="AC530" i="1"/>
  <c r="H530" i="1"/>
  <c r="AE524" i="1"/>
  <c r="AC524" i="1"/>
  <c r="H524" i="1"/>
  <c r="AE522" i="1"/>
  <c r="AC522" i="1"/>
  <c r="H522" i="1"/>
  <c r="AE521" i="1"/>
  <c r="AC521" i="1"/>
  <c r="H521" i="1"/>
  <c r="AE518" i="1"/>
  <c r="AC518" i="1"/>
  <c r="H518" i="1"/>
  <c r="AE520" i="1"/>
  <c r="AC520" i="1"/>
  <c r="H520" i="1"/>
  <c r="AE519" i="1"/>
  <c r="AC519" i="1"/>
  <c r="H519" i="1"/>
  <c r="AE517" i="1"/>
  <c r="AC517" i="1"/>
  <c r="H517" i="1"/>
  <c r="AE516" i="1"/>
  <c r="AC516" i="1"/>
  <c r="H516" i="1"/>
  <c r="AE508" i="1"/>
  <c r="AC508" i="1"/>
  <c r="H508" i="1"/>
  <c r="AE502" i="1"/>
  <c r="AC502" i="1"/>
  <c r="H502" i="1"/>
  <c r="AE506" i="1"/>
  <c r="AC506" i="1"/>
  <c r="H506" i="1"/>
  <c r="AE501" i="1"/>
  <c r="AC501" i="1"/>
  <c r="H501" i="1"/>
  <c r="AE510" i="1"/>
  <c r="AC510" i="1"/>
  <c r="H510" i="1"/>
  <c r="AE509" i="1"/>
  <c r="AC509" i="1"/>
  <c r="H509" i="1"/>
  <c r="AE504" i="1"/>
  <c r="AC504" i="1"/>
  <c r="H504" i="1"/>
  <c r="AE499" i="1"/>
  <c r="AC499" i="1"/>
  <c r="H499" i="1"/>
  <c r="AE515" i="1"/>
  <c r="AC515" i="1"/>
  <c r="H515" i="1"/>
  <c r="AE513" i="1"/>
  <c r="AC513" i="1"/>
  <c r="H513" i="1"/>
  <c r="AE514" i="1"/>
  <c r="AC514" i="1"/>
  <c r="H514" i="1"/>
  <c r="AE511" i="1"/>
  <c r="AC511" i="1"/>
  <c r="H511" i="1"/>
  <c r="AE500" i="1"/>
  <c r="AC500" i="1"/>
  <c r="H500" i="1"/>
  <c r="AE512" i="1"/>
  <c r="AC512" i="1"/>
  <c r="H512" i="1"/>
  <c r="AE507" i="1"/>
  <c r="AC507" i="1"/>
  <c r="H507" i="1"/>
  <c r="AE503" i="1"/>
  <c r="AC503" i="1"/>
  <c r="H503" i="1"/>
  <c r="AE490" i="1"/>
  <c r="AC490" i="1"/>
  <c r="H490" i="1"/>
  <c r="AE489" i="1"/>
  <c r="AC489" i="1"/>
  <c r="H489" i="1"/>
  <c r="AE495" i="1"/>
  <c r="AC495" i="1"/>
  <c r="H495" i="1"/>
  <c r="AE35" i="1"/>
  <c r="AC35" i="1"/>
  <c r="H35" i="1"/>
  <c r="AE497" i="1"/>
  <c r="AC497" i="1"/>
  <c r="H497" i="1"/>
  <c r="AE493" i="1"/>
  <c r="AC493" i="1"/>
  <c r="H493" i="1"/>
  <c r="AE496" i="1"/>
  <c r="AC496" i="1"/>
  <c r="H496" i="1"/>
  <c r="AE494" i="1"/>
  <c r="AC494" i="1"/>
  <c r="H494" i="1"/>
  <c r="AE492" i="1"/>
  <c r="AC492" i="1"/>
  <c r="H492" i="1"/>
  <c r="AE491" i="1"/>
  <c r="AC491" i="1"/>
  <c r="H491" i="1"/>
  <c r="AE488" i="1"/>
  <c r="AC488" i="1"/>
  <c r="H488" i="1"/>
  <c r="AE485" i="1"/>
  <c r="AC485" i="1"/>
  <c r="H485" i="1"/>
  <c r="AE481" i="1"/>
  <c r="AC481" i="1"/>
  <c r="H481" i="1"/>
  <c r="AE487" i="1"/>
  <c r="AC487" i="1"/>
  <c r="H487" i="1"/>
  <c r="AE484" i="1"/>
  <c r="AC484" i="1"/>
  <c r="H484" i="1"/>
  <c r="AE480" i="1"/>
  <c r="AC480" i="1"/>
  <c r="H480" i="1"/>
  <c r="AE486" i="1"/>
  <c r="AC486" i="1"/>
  <c r="H486" i="1"/>
  <c r="AE483" i="1"/>
  <c r="AC483" i="1"/>
  <c r="H483" i="1"/>
  <c r="AE482" i="1"/>
  <c r="AC482" i="1"/>
  <c r="H482" i="1"/>
  <c r="AE479" i="1"/>
  <c r="AC479" i="1"/>
  <c r="H479" i="1"/>
  <c r="AE478" i="1"/>
  <c r="AC478" i="1"/>
  <c r="H478" i="1"/>
  <c r="AE477" i="1"/>
  <c r="AC477" i="1"/>
  <c r="H477" i="1"/>
  <c r="AE498" i="1"/>
  <c r="AC498" i="1"/>
  <c r="H498" i="1"/>
  <c r="AE476" i="1"/>
  <c r="AC476" i="1"/>
  <c r="H476" i="1"/>
  <c r="AE471" i="1"/>
  <c r="AC471" i="1"/>
  <c r="H471" i="1"/>
  <c r="AE475" i="1"/>
  <c r="AC475" i="1"/>
  <c r="H475" i="1"/>
  <c r="AE473" i="1"/>
  <c r="AC473" i="1"/>
  <c r="H473" i="1"/>
  <c r="AE469" i="1"/>
  <c r="AC469" i="1"/>
  <c r="H469" i="1"/>
  <c r="AE474" i="1"/>
  <c r="AC474" i="1"/>
  <c r="H474" i="1"/>
  <c r="AE472" i="1"/>
  <c r="AC472" i="1"/>
  <c r="H472" i="1"/>
  <c r="AE470" i="1"/>
  <c r="AC470" i="1"/>
  <c r="H470" i="1"/>
  <c r="AE468" i="1"/>
  <c r="AC468" i="1"/>
  <c r="H468" i="1"/>
  <c r="AE467" i="1"/>
  <c r="AC467" i="1"/>
  <c r="H467" i="1"/>
  <c r="AE466" i="1"/>
  <c r="AC466" i="1"/>
  <c r="H466" i="1"/>
  <c r="AE464" i="1"/>
  <c r="AC464" i="1"/>
  <c r="H464" i="1"/>
  <c r="AE462" i="1"/>
  <c r="AC462" i="1"/>
  <c r="H462" i="1"/>
  <c r="AE463" i="1"/>
  <c r="AC463" i="1"/>
  <c r="H463" i="1"/>
  <c r="AE461" i="1"/>
  <c r="AC461" i="1"/>
  <c r="H461" i="1"/>
  <c r="AE465" i="1"/>
  <c r="AC465" i="1"/>
  <c r="H465" i="1"/>
  <c r="AE458" i="1"/>
  <c r="AC458" i="1"/>
  <c r="H458" i="1"/>
  <c r="AE447" i="1"/>
  <c r="AC447" i="1"/>
  <c r="H447" i="1"/>
  <c r="AE452" i="1"/>
  <c r="AC452" i="1"/>
  <c r="H452" i="1"/>
  <c r="AE460" i="1"/>
  <c r="AC460" i="1"/>
  <c r="H460" i="1"/>
  <c r="AE451" i="1"/>
  <c r="AC451" i="1"/>
  <c r="H451" i="1"/>
  <c r="AE459" i="1"/>
  <c r="AC459" i="1"/>
  <c r="H459" i="1"/>
  <c r="AE450" i="1"/>
  <c r="AC450" i="1"/>
  <c r="H450" i="1"/>
  <c r="AE438" i="1"/>
  <c r="AC438" i="1"/>
  <c r="H438" i="1"/>
  <c r="AE436" i="1"/>
  <c r="AC436" i="1"/>
  <c r="H436" i="1"/>
  <c r="AE437" i="1"/>
  <c r="AC437" i="1"/>
  <c r="H437" i="1"/>
  <c r="AE449" i="1"/>
  <c r="AC449" i="1"/>
  <c r="H449" i="1"/>
  <c r="AE448" i="1"/>
  <c r="AC448" i="1"/>
  <c r="H448" i="1"/>
  <c r="AE443" i="1"/>
  <c r="AC443" i="1"/>
  <c r="H443" i="1"/>
  <c r="AE446" i="1"/>
  <c r="AC446" i="1"/>
  <c r="H446" i="1"/>
  <c r="AE442" i="1"/>
  <c r="AC442" i="1"/>
  <c r="H442" i="1"/>
  <c r="AE445" i="1"/>
  <c r="AC445" i="1"/>
  <c r="H445" i="1"/>
  <c r="AE444" i="1"/>
  <c r="AC444" i="1"/>
  <c r="H444" i="1"/>
  <c r="AE441" i="1"/>
  <c r="AC441" i="1"/>
  <c r="H441" i="1"/>
  <c r="AE440" i="1"/>
  <c r="AC440" i="1"/>
  <c r="H440" i="1"/>
  <c r="AE439" i="1"/>
  <c r="AC439" i="1"/>
  <c r="H439" i="1"/>
  <c r="AE435" i="1"/>
  <c r="AC435" i="1"/>
  <c r="H435" i="1"/>
  <c r="AE434" i="1"/>
  <c r="AC434" i="1"/>
  <c r="H434" i="1"/>
  <c r="AE433" i="1"/>
  <c r="AC433" i="1"/>
  <c r="H433" i="1"/>
  <c r="AE428" i="1"/>
  <c r="AC428" i="1"/>
  <c r="H428" i="1"/>
  <c r="AE427" i="1"/>
  <c r="AC427" i="1"/>
  <c r="H427" i="1"/>
  <c r="AE426" i="1"/>
  <c r="AC426" i="1"/>
  <c r="H426" i="1"/>
  <c r="AE432" i="1"/>
  <c r="AC432" i="1"/>
  <c r="H432" i="1"/>
  <c r="AE429" i="1"/>
  <c r="AC429" i="1"/>
  <c r="H429" i="1"/>
  <c r="AE425" i="1"/>
  <c r="AC425" i="1"/>
  <c r="H425" i="1"/>
  <c r="AE414" i="1"/>
  <c r="AC414" i="1"/>
  <c r="H414" i="1"/>
  <c r="AE424" i="1"/>
  <c r="AC424" i="1"/>
  <c r="H424" i="1"/>
  <c r="AE421" i="1"/>
  <c r="AC421" i="1"/>
  <c r="H421" i="1"/>
  <c r="AE423" i="1"/>
  <c r="AC423" i="1"/>
  <c r="H423" i="1"/>
  <c r="AE422" i="1"/>
  <c r="AC422" i="1"/>
  <c r="H422" i="1"/>
  <c r="AE417" i="1"/>
  <c r="AC417" i="1"/>
  <c r="H417" i="1"/>
  <c r="AE415" i="1"/>
  <c r="AC415" i="1"/>
  <c r="H415" i="1"/>
  <c r="AE418" i="1"/>
  <c r="AC418" i="1"/>
  <c r="H418" i="1"/>
  <c r="AE416" i="1"/>
  <c r="AC416" i="1"/>
  <c r="H416" i="1"/>
  <c r="AE420" i="1"/>
  <c r="AC420" i="1"/>
  <c r="H420" i="1"/>
  <c r="AE419" i="1"/>
  <c r="AC419" i="1"/>
  <c r="H419" i="1"/>
  <c r="AE391" i="1"/>
  <c r="AC391" i="1"/>
  <c r="H391" i="1"/>
  <c r="AE385" i="1"/>
  <c r="AC385" i="1"/>
  <c r="H385" i="1"/>
  <c r="AE383" i="1"/>
  <c r="AC383" i="1"/>
  <c r="H383" i="1"/>
  <c r="AE390" i="1"/>
  <c r="AC390" i="1"/>
  <c r="H390" i="1"/>
  <c r="AE384" i="1"/>
  <c r="AC384" i="1"/>
  <c r="H384" i="1"/>
  <c r="AE394" i="1"/>
  <c r="AC394" i="1"/>
  <c r="H394" i="1"/>
  <c r="AE396" i="1"/>
  <c r="AC396" i="1"/>
  <c r="H396" i="1"/>
  <c r="AE382" i="1"/>
  <c r="AC382" i="1"/>
  <c r="H382" i="1"/>
  <c r="AE387" i="1"/>
  <c r="AC387" i="1"/>
  <c r="H387" i="1"/>
  <c r="AE402" i="1"/>
  <c r="AC402" i="1"/>
  <c r="H402" i="1"/>
  <c r="AE410" i="1"/>
  <c r="AC410" i="1"/>
  <c r="H410" i="1"/>
  <c r="AE401" i="1"/>
  <c r="AC401" i="1"/>
  <c r="H401" i="1"/>
  <c r="AE386" i="1"/>
  <c r="AC386" i="1"/>
  <c r="H386" i="1"/>
  <c r="AE412" i="1"/>
  <c r="AC412" i="1"/>
  <c r="H412" i="1"/>
  <c r="AE393" i="1"/>
  <c r="AC393" i="1"/>
  <c r="H393" i="1"/>
  <c r="AE381" i="1"/>
  <c r="AC381" i="1"/>
  <c r="H381" i="1"/>
  <c r="AE403" i="1"/>
  <c r="AC403" i="1"/>
  <c r="H403" i="1"/>
  <c r="AE389" i="1"/>
  <c r="AC389" i="1"/>
  <c r="H389" i="1"/>
  <c r="AE407" i="1"/>
  <c r="AC407" i="1"/>
  <c r="H407" i="1"/>
  <c r="AE395" i="1"/>
  <c r="AC395" i="1"/>
  <c r="H395" i="1"/>
  <c r="AE413" i="1"/>
  <c r="AC413" i="1"/>
  <c r="H413" i="1"/>
  <c r="AE388" i="1"/>
  <c r="AC388" i="1"/>
  <c r="H388" i="1"/>
  <c r="AE411" i="1"/>
  <c r="AC411" i="1"/>
  <c r="H411" i="1"/>
  <c r="AE400" i="1"/>
  <c r="AC400" i="1"/>
  <c r="H400" i="1"/>
  <c r="AE406" i="1"/>
  <c r="AC406" i="1"/>
  <c r="H406" i="1"/>
  <c r="AE399" i="1"/>
  <c r="AC399" i="1"/>
  <c r="H399" i="1"/>
  <c r="AE409" i="1"/>
  <c r="AC409" i="1"/>
  <c r="H409" i="1"/>
  <c r="AE405" i="1"/>
  <c r="AC405" i="1"/>
  <c r="H405" i="1"/>
  <c r="AE398" i="1"/>
  <c r="AC398" i="1"/>
  <c r="H398" i="1"/>
  <c r="AE408" i="1"/>
  <c r="AC408" i="1"/>
  <c r="H408" i="1"/>
  <c r="AE404" i="1"/>
  <c r="AC404" i="1"/>
  <c r="H404" i="1"/>
  <c r="AE397" i="1"/>
  <c r="AC397" i="1"/>
  <c r="H397" i="1"/>
  <c r="AE392" i="1"/>
  <c r="AC392" i="1"/>
  <c r="H392" i="1"/>
  <c r="AE380" i="1"/>
  <c r="AC380" i="1"/>
  <c r="H380" i="1"/>
  <c r="AE375" i="1"/>
  <c r="AC375" i="1"/>
  <c r="H375" i="1"/>
  <c r="AE379" i="1"/>
  <c r="AC379" i="1"/>
  <c r="H379" i="1"/>
  <c r="AE377" i="1"/>
  <c r="AC377" i="1"/>
  <c r="H377" i="1"/>
  <c r="AE376" i="1"/>
  <c r="AC376" i="1"/>
  <c r="H376" i="1"/>
  <c r="AE374" i="1"/>
  <c r="AC374" i="1"/>
  <c r="H374" i="1"/>
  <c r="AE373" i="1"/>
  <c r="AC373" i="1"/>
  <c r="H373" i="1"/>
  <c r="AE378" i="1"/>
  <c r="AC378" i="1"/>
  <c r="H378" i="1"/>
  <c r="AE361" i="1"/>
  <c r="AC361" i="1"/>
  <c r="H361" i="1"/>
  <c r="AE371" i="1"/>
  <c r="AC371" i="1"/>
  <c r="H371" i="1"/>
  <c r="AE370" i="1"/>
  <c r="AC370" i="1"/>
  <c r="H370" i="1"/>
  <c r="AE368" i="1"/>
  <c r="AC368" i="1"/>
  <c r="H368" i="1"/>
  <c r="AE367" i="1"/>
  <c r="AC367" i="1"/>
  <c r="H367" i="1"/>
  <c r="AE366" i="1"/>
  <c r="AC366" i="1"/>
  <c r="H366" i="1"/>
  <c r="AE365" i="1"/>
  <c r="AC365" i="1"/>
  <c r="H365" i="1"/>
  <c r="AE358" i="1"/>
  <c r="AC358" i="1"/>
  <c r="H358" i="1"/>
  <c r="AE355" i="1"/>
  <c r="AC355" i="1"/>
  <c r="H355" i="1"/>
  <c r="AE364" i="1"/>
  <c r="AC364" i="1"/>
  <c r="H364" i="1"/>
  <c r="AE360" i="1"/>
  <c r="AC360" i="1"/>
  <c r="H360" i="1"/>
  <c r="AE357" i="1"/>
  <c r="AC357" i="1"/>
  <c r="H357" i="1"/>
  <c r="AE354" i="1"/>
  <c r="AC354" i="1"/>
  <c r="H354" i="1"/>
  <c r="AE363" i="1"/>
  <c r="AC363" i="1"/>
  <c r="H363" i="1"/>
  <c r="AE362" i="1"/>
  <c r="AC362" i="1"/>
  <c r="H362" i="1"/>
  <c r="AE359" i="1"/>
  <c r="AC359" i="1"/>
  <c r="H359" i="1"/>
  <c r="AE356" i="1"/>
  <c r="AC356" i="1"/>
  <c r="H356" i="1"/>
  <c r="AE353" i="1"/>
  <c r="AC353" i="1"/>
  <c r="H353" i="1"/>
  <c r="AE351" i="1"/>
  <c r="AC351" i="1"/>
  <c r="H351" i="1"/>
  <c r="AE341" i="1"/>
  <c r="AC341" i="1"/>
  <c r="H341" i="1"/>
  <c r="AE347" i="1"/>
  <c r="AC347" i="1"/>
  <c r="H347" i="1"/>
  <c r="AE334" i="1"/>
  <c r="AC334" i="1"/>
  <c r="H334" i="1"/>
  <c r="AE327" i="1"/>
  <c r="AC327" i="1"/>
  <c r="H327" i="1"/>
  <c r="AE323" i="1"/>
  <c r="AC323" i="1"/>
  <c r="H323" i="1"/>
  <c r="AE346" i="1"/>
  <c r="AC346" i="1"/>
  <c r="H346" i="1"/>
  <c r="AE337" i="1"/>
  <c r="AC337" i="1"/>
  <c r="H337" i="1"/>
  <c r="AE333" i="1"/>
  <c r="AC333" i="1"/>
  <c r="H333" i="1"/>
  <c r="AE326" i="1"/>
  <c r="AC326" i="1"/>
  <c r="H326" i="1"/>
  <c r="AE322" i="1"/>
  <c r="AC322" i="1"/>
  <c r="H322" i="1"/>
  <c r="AE319" i="1"/>
  <c r="AC319" i="1"/>
  <c r="H319" i="1"/>
  <c r="AE345" i="1"/>
  <c r="AC345" i="1"/>
  <c r="H345" i="1"/>
  <c r="AE342" i="1"/>
  <c r="AC342" i="1"/>
  <c r="H342" i="1"/>
  <c r="AE336" i="1"/>
  <c r="AC336" i="1"/>
  <c r="H336" i="1"/>
  <c r="AE332" i="1"/>
  <c r="AC332" i="1"/>
  <c r="H332" i="1"/>
  <c r="AE325" i="1"/>
  <c r="AC325" i="1"/>
  <c r="H325" i="1"/>
  <c r="AE321" i="1"/>
  <c r="AC321" i="1"/>
  <c r="H321" i="1"/>
  <c r="AE318" i="1"/>
  <c r="AC318" i="1"/>
  <c r="H318" i="1"/>
  <c r="AE344" i="1"/>
  <c r="AC344" i="1"/>
  <c r="H344" i="1"/>
  <c r="AE352" i="1"/>
  <c r="AC352" i="1"/>
  <c r="H352" i="1"/>
  <c r="AE343" i="1"/>
  <c r="AC343" i="1"/>
  <c r="H343" i="1"/>
  <c r="AE338" i="1"/>
  <c r="AC338" i="1"/>
  <c r="H338" i="1"/>
  <c r="AE335" i="1"/>
  <c r="AC335" i="1"/>
  <c r="H335" i="1"/>
  <c r="AE331" i="1"/>
  <c r="AC331" i="1"/>
  <c r="H331" i="1"/>
  <c r="AE324" i="1"/>
  <c r="AC324" i="1"/>
  <c r="H324" i="1"/>
  <c r="AE320" i="1"/>
  <c r="AC320" i="1"/>
  <c r="H320" i="1"/>
  <c r="AE340" i="1"/>
  <c r="AC340" i="1"/>
  <c r="H340" i="1"/>
  <c r="AE339" i="1"/>
  <c r="AC339" i="1"/>
  <c r="H339" i="1"/>
  <c r="AE317" i="1"/>
  <c r="AC317" i="1"/>
  <c r="H317" i="1"/>
  <c r="AE305" i="1"/>
  <c r="AC305" i="1"/>
  <c r="H305" i="1"/>
  <c r="AE309" i="1"/>
  <c r="AC309" i="1"/>
  <c r="H309" i="1"/>
  <c r="AE306" i="1"/>
  <c r="AC306" i="1"/>
  <c r="H306" i="1"/>
  <c r="AE311" i="1"/>
  <c r="AC311" i="1"/>
  <c r="H311" i="1"/>
  <c r="AE307" i="1"/>
  <c r="AC307" i="1"/>
  <c r="H307" i="1"/>
  <c r="AE315" i="1"/>
  <c r="AC315" i="1"/>
  <c r="H315" i="1"/>
  <c r="AE310" i="1"/>
  <c r="AC310" i="1"/>
  <c r="H310" i="1"/>
  <c r="AE312" i="1"/>
  <c r="AC312" i="1"/>
  <c r="H312" i="1"/>
  <c r="AE314" i="1"/>
  <c r="AC314" i="1"/>
  <c r="H314" i="1"/>
  <c r="AE316" i="1"/>
  <c r="AC316" i="1"/>
  <c r="H316" i="1"/>
  <c r="AE313" i="1"/>
  <c r="AC313" i="1"/>
  <c r="H313" i="1"/>
  <c r="AE308" i="1"/>
  <c r="AC308" i="1"/>
  <c r="H308" i="1"/>
  <c r="AE303" i="1"/>
  <c r="AC303" i="1"/>
  <c r="H303" i="1"/>
  <c r="AE302" i="1"/>
  <c r="AC302" i="1"/>
  <c r="H302" i="1"/>
  <c r="AE296" i="1"/>
  <c r="AC296" i="1"/>
  <c r="H296" i="1"/>
  <c r="AE297" i="1"/>
  <c r="AC297" i="1"/>
  <c r="H297" i="1"/>
  <c r="AE295" i="1"/>
  <c r="AC295" i="1"/>
  <c r="H295" i="1"/>
  <c r="AE298" i="1"/>
  <c r="AC298" i="1"/>
  <c r="H298" i="1"/>
  <c r="AE299" i="1"/>
  <c r="AC299" i="1"/>
  <c r="H299" i="1"/>
  <c r="AE300" i="1"/>
  <c r="AC300" i="1"/>
  <c r="H300" i="1"/>
  <c r="AE301" i="1"/>
  <c r="AC301" i="1"/>
  <c r="H301" i="1"/>
  <c r="AE304" i="1"/>
  <c r="AC304" i="1"/>
  <c r="H304" i="1"/>
  <c r="AE291" i="1"/>
  <c r="AC291" i="1"/>
  <c r="H291" i="1"/>
  <c r="AE290" i="1"/>
  <c r="AC290" i="1"/>
  <c r="H290" i="1"/>
  <c r="AE270" i="1"/>
  <c r="AC270" i="1"/>
  <c r="H270" i="1"/>
  <c r="AE284" i="1"/>
  <c r="AC284" i="1"/>
  <c r="H284" i="1"/>
  <c r="AE259" i="1"/>
  <c r="AC259" i="1"/>
  <c r="H259" i="1"/>
  <c r="AE258" i="1"/>
  <c r="AC258" i="1"/>
  <c r="H258" i="1"/>
  <c r="AE256" i="1"/>
  <c r="AC256" i="1"/>
  <c r="H256" i="1"/>
  <c r="AE260" i="1"/>
  <c r="AC260" i="1"/>
  <c r="H260" i="1"/>
  <c r="AE278" i="1"/>
  <c r="AC278" i="1"/>
  <c r="H278" i="1"/>
  <c r="AE289" i="1"/>
  <c r="AC289" i="1"/>
  <c r="H289" i="1"/>
  <c r="AE283" i="1"/>
  <c r="AC283" i="1"/>
  <c r="H283" i="1"/>
  <c r="AE275" i="1"/>
  <c r="AC275" i="1"/>
  <c r="H275" i="1"/>
  <c r="AE288" i="1"/>
  <c r="AC288" i="1"/>
  <c r="H288" i="1"/>
  <c r="AE266" i="1"/>
  <c r="AC266" i="1"/>
  <c r="H266" i="1"/>
  <c r="AE277" i="1"/>
  <c r="AC277" i="1"/>
  <c r="H277" i="1"/>
  <c r="AE274" i="1"/>
  <c r="AC274" i="1"/>
  <c r="H274" i="1"/>
  <c r="AE272" i="1"/>
  <c r="AC272" i="1"/>
  <c r="H272" i="1"/>
  <c r="AE265" i="1"/>
  <c r="AC265" i="1"/>
  <c r="H265" i="1"/>
  <c r="AE281" i="1"/>
  <c r="AC281" i="1"/>
  <c r="H281" i="1"/>
  <c r="AE280" i="1"/>
  <c r="AC280" i="1"/>
  <c r="H280" i="1"/>
  <c r="AE279" i="1"/>
  <c r="AC279" i="1"/>
  <c r="H279" i="1"/>
  <c r="AE276" i="1"/>
  <c r="AC276" i="1"/>
  <c r="H276" i="1"/>
  <c r="AE273" i="1"/>
  <c r="AC273" i="1"/>
  <c r="H273" i="1"/>
  <c r="AE271" i="1"/>
  <c r="AC271" i="1"/>
  <c r="H271" i="1"/>
  <c r="AE269" i="1"/>
  <c r="AC269" i="1"/>
  <c r="H269" i="1"/>
  <c r="AE267" i="1"/>
  <c r="AC267" i="1"/>
  <c r="H267" i="1"/>
  <c r="AE264" i="1"/>
  <c r="AC264" i="1"/>
  <c r="H264" i="1"/>
  <c r="AE261" i="1"/>
  <c r="AC261" i="1"/>
  <c r="H261" i="1"/>
  <c r="AE282" i="1"/>
  <c r="AC282" i="1"/>
  <c r="H282" i="1"/>
  <c r="AE257" i="1"/>
  <c r="AC257" i="1"/>
  <c r="H257" i="1"/>
  <c r="AE286" i="1"/>
  <c r="AC286" i="1"/>
  <c r="H286" i="1"/>
  <c r="AE285" i="1"/>
  <c r="AC285" i="1"/>
  <c r="H285" i="1"/>
  <c r="AE268" i="1"/>
  <c r="AC268" i="1"/>
  <c r="H268" i="1"/>
  <c r="AE263" i="1"/>
  <c r="AC263" i="1"/>
  <c r="H263" i="1"/>
  <c r="AE262" i="1"/>
  <c r="AC262" i="1"/>
  <c r="H262" i="1"/>
  <c r="AE255" i="1"/>
  <c r="AC255" i="1"/>
  <c r="H255" i="1"/>
  <c r="AE252" i="1"/>
  <c r="AC252" i="1"/>
  <c r="H252" i="1"/>
  <c r="AE253" i="1"/>
  <c r="AC253" i="1"/>
  <c r="H253" i="1"/>
  <c r="AE247" i="1"/>
  <c r="AC247" i="1"/>
  <c r="H247" i="1"/>
  <c r="AE248" i="1"/>
  <c r="AC248" i="1"/>
  <c r="H248" i="1"/>
  <c r="AE254" i="1"/>
  <c r="AC254" i="1"/>
  <c r="H254" i="1"/>
  <c r="AE251" i="1"/>
  <c r="AC251" i="1"/>
  <c r="H251" i="1"/>
  <c r="AE250" i="1"/>
  <c r="AC250" i="1"/>
  <c r="H250" i="1"/>
  <c r="AE249" i="1"/>
  <c r="AC249" i="1"/>
  <c r="H249" i="1"/>
  <c r="AE246" i="1"/>
  <c r="AC246" i="1"/>
  <c r="H246" i="1"/>
  <c r="AE242" i="1"/>
  <c r="AC242" i="1"/>
  <c r="H242" i="1"/>
  <c r="AE239" i="1"/>
  <c r="AC239" i="1"/>
  <c r="H239" i="1"/>
  <c r="AE241" i="1"/>
  <c r="AC241" i="1"/>
  <c r="H241" i="1"/>
  <c r="AE240" i="1"/>
  <c r="AC240" i="1"/>
  <c r="H240" i="1"/>
  <c r="AE238" i="1"/>
  <c r="AC238" i="1"/>
  <c r="H238" i="1"/>
  <c r="AE237" i="1"/>
  <c r="AC237" i="1"/>
  <c r="H237" i="1"/>
  <c r="AE243" i="1"/>
  <c r="AC243" i="1"/>
  <c r="H243" i="1"/>
  <c r="AE209" i="1"/>
  <c r="AC209" i="1"/>
  <c r="H209" i="1"/>
  <c r="AE227" i="1"/>
  <c r="AC227" i="1"/>
  <c r="H227" i="1"/>
  <c r="AE226" i="1"/>
  <c r="AC226" i="1"/>
  <c r="H226" i="1"/>
  <c r="AE225" i="1"/>
  <c r="AC225" i="1"/>
  <c r="H225" i="1"/>
  <c r="AE224" i="1"/>
  <c r="AC224" i="1"/>
  <c r="H224" i="1"/>
  <c r="AE223" i="1"/>
  <c r="AC223" i="1"/>
  <c r="H223" i="1"/>
  <c r="AE222" i="1"/>
  <c r="AC222" i="1"/>
  <c r="H222" i="1"/>
  <c r="AE221" i="1"/>
  <c r="AC221" i="1"/>
  <c r="H221" i="1"/>
  <c r="AE220" i="1"/>
  <c r="AC220" i="1"/>
  <c r="H220" i="1"/>
  <c r="AE219" i="1"/>
  <c r="AC219" i="1"/>
  <c r="H219" i="1"/>
  <c r="AE208" i="1"/>
  <c r="AC208" i="1"/>
  <c r="H208" i="1"/>
  <c r="AE236" i="1"/>
  <c r="AC236" i="1"/>
  <c r="H236" i="1"/>
  <c r="AE235" i="1"/>
  <c r="AC235" i="1"/>
  <c r="H235" i="1"/>
  <c r="AE234" i="1"/>
  <c r="AC234" i="1"/>
  <c r="H234" i="1"/>
  <c r="AE233" i="1"/>
  <c r="AC233" i="1"/>
  <c r="H233" i="1"/>
  <c r="AE232" i="1"/>
  <c r="AC232" i="1"/>
  <c r="H232" i="1"/>
  <c r="AE231" i="1"/>
  <c r="AC231" i="1"/>
  <c r="H231" i="1"/>
  <c r="AE230" i="1"/>
  <c r="AC230" i="1"/>
  <c r="H230" i="1"/>
  <c r="AE229" i="1"/>
  <c r="AC229" i="1"/>
  <c r="H229" i="1"/>
  <c r="AE228" i="1"/>
  <c r="AC228" i="1"/>
  <c r="H228" i="1"/>
  <c r="AE218" i="1"/>
  <c r="AC218" i="1"/>
  <c r="H218" i="1"/>
  <c r="AE217" i="1"/>
  <c r="AC217" i="1"/>
  <c r="H217" i="1"/>
  <c r="AE216" i="1"/>
  <c r="AC216" i="1"/>
  <c r="H216" i="1"/>
  <c r="AE215" i="1"/>
  <c r="AC215" i="1"/>
  <c r="H215" i="1"/>
  <c r="AE214" i="1"/>
  <c r="AC214" i="1"/>
  <c r="H214" i="1"/>
  <c r="AE213" i="1"/>
  <c r="AC213" i="1"/>
  <c r="H213" i="1"/>
  <c r="AE212" i="1"/>
  <c r="AC212" i="1"/>
  <c r="H212" i="1"/>
  <c r="AE211" i="1"/>
  <c r="AC211" i="1"/>
  <c r="H211" i="1"/>
  <c r="AE207" i="1"/>
  <c r="AC207" i="1"/>
  <c r="H207" i="1"/>
  <c r="AE210" i="1"/>
  <c r="AC210" i="1"/>
  <c r="H210" i="1"/>
  <c r="AE206" i="1"/>
  <c r="AC206" i="1"/>
  <c r="H206" i="1"/>
  <c r="AE195" i="1"/>
  <c r="AC195" i="1"/>
  <c r="H195" i="1"/>
  <c r="AE202" i="1"/>
  <c r="AC202" i="1"/>
  <c r="H202" i="1"/>
  <c r="AE205" i="1"/>
  <c r="AC205" i="1"/>
  <c r="H205" i="1"/>
  <c r="AE201" i="1"/>
  <c r="AC201" i="1"/>
  <c r="H201" i="1"/>
  <c r="AE194" i="1"/>
  <c r="AC194" i="1"/>
  <c r="H194" i="1"/>
  <c r="AE200" i="1"/>
  <c r="AC200" i="1"/>
  <c r="H200" i="1"/>
  <c r="AE199" i="1"/>
  <c r="AC199" i="1"/>
  <c r="H199" i="1"/>
  <c r="AE198" i="1"/>
  <c r="AC198" i="1"/>
  <c r="H198" i="1"/>
  <c r="AE197" i="1"/>
  <c r="AC197" i="1"/>
  <c r="H197" i="1"/>
  <c r="AE196" i="1"/>
  <c r="AC196" i="1"/>
  <c r="H196" i="1"/>
  <c r="AE193" i="1"/>
  <c r="AC193" i="1"/>
  <c r="H193" i="1"/>
  <c r="AE187" i="1"/>
  <c r="AC187" i="1"/>
  <c r="H187" i="1"/>
  <c r="AE188" i="1"/>
  <c r="AC188" i="1"/>
  <c r="H188" i="1"/>
  <c r="AE192" i="1"/>
  <c r="AC192" i="1"/>
  <c r="H192" i="1"/>
  <c r="AE191" i="1"/>
  <c r="AC191" i="1"/>
  <c r="H191" i="1"/>
  <c r="AE176" i="1"/>
  <c r="AC176" i="1"/>
  <c r="H176" i="1"/>
  <c r="AE177" i="1"/>
  <c r="AC177" i="1"/>
  <c r="H177" i="1"/>
  <c r="AE185" i="1"/>
  <c r="AC185" i="1"/>
  <c r="H185" i="1"/>
  <c r="AE184" i="1"/>
  <c r="AC184" i="1"/>
  <c r="H184" i="1"/>
  <c r="AE183" i="1"/>
  <c r="AC183" i="1"/>
  <c r="H183" i="1"/>
  <c r="AE179" i="1"/>
  <c r="AC179" i="1"/>
  <c r="H179" i="1"/>
  <c r="AE180" i="1"/>
  <c r="AC180" i="1"/>
  <c r="H180" i="1"/>
  <c r="AE182" i="1"/>
  <c r="AC182" i="1"/>
  <c r="H182" i="1"/>
  <c r="AE186" i="1"/>
  <c r="AC186" i="1"/>
  <c r="H186" i="1"/>
  <c r="AE181" i="1"/>
  <c r="AC181" i="1"/>
  <c r="H181" i="1"/>
  <c r="AE178" i="1"/>
  <c r="AC178" i="1"/>
  <c r="H178" i="1"/>
  <c r="AE175" i="1"/>
  <c r="AC175" i="1"/>
  <c r="H175" i="1"/>
  <c r="AE174" i="1"/>
  <c r="AC174" i="1"/>
  <c r="H174" i="1"/>
  <c r="AE168" i="1"/>
  <c r="AC168" i="1"/>
  <c r="H168" i="1"/>
  <c r="AE169" i="1"/>
  <c r="AC169" i="1"/>
  <c r="H169" i="1"/>
  <c r="AE167" i="1"/>
  <c r="AC167" i="1"/>
  <c r="H167" i="1"/>
  <c r="AE166" i="1"/>
  <c r="AC166" i="1"/>
  <c r="H166" i="1"/>
  <c r="AE170" i="1"/>
  <c r="AC170" i="1"/>
  <c r="H170" i="1"/>
  <c r="AE173" i="1"/>
  <c r="AC173" i="1"/>
  <c r="H173" i="1"/>
  <c r="AE172" i="1"/>
  <c r="AC172" i="1"/>
  <c r="H172" i="1"/>
  <c r="AE171" i="1"/>
  <c r="AC171" i="1"/>
  <c r="H171" i="1"/>
  <c r="AE161" i="1"/>
  <c r="AC161" i="1"/>
  <c r="H161" i="1"/>
  <c r="AE165" i="1"/>
  <c r="AC165" i="1"/>
  <c r="H165" i="1"/>
  <c r="AE163" i="1"/>
  <c r="AC163" i="1"/>
  <c r="H163" i="1"/>
  <c r="AE162" i="1"/>
  <c r="AC162" i="1"/>
  <c r="H162" i="1"/>
  <c r="AE152" i="1"/>
  <c r="AC152" i="1"/>
  <c r="H152" i="1"/>
  <c r="AE158" i="1"/>
  <c r="AC158" i="1"/>
  <c r="H158" i="1"/>
  <c r="AE157" i="1"/>
  <c r="AC157" i="1"/>
  <c r="H157" i="1"/>
  <c r="AE156" i="1"/>
  <c r="AC156" i="1"/>
  <c r="H156" i="1"/>
  <c r="AE155" i="1"/>
  <c r="AC155" i="1"/>
  <c r="H155" i="1"/>
  <c r="AE160" i="1"/>
  <c r="AC160" i="1"/>
  <c r="H160" i="1"/>
  <c r="AE154" i="1"/>
  <c r="AC154" i="1"/>
  <c r="H154" i="1"/>
  <c r="AE159" i="1"/>
  <c r="AC159" i="1"/>
  <c r="H159" i="1"/>
  <c r="AE153" i="1"/>
  <c r="AC153" i="1"/>
  <c r="H153" i="1"/>
  <c r="AE150" i="1"/>
  <c r="AC150" i="1"/>
  <c r="H150" i="1"/>
  <c r="AE149" i="1"/>
  <c r="AC149" i="1"/>
  <c r="H149" i="1"/>
  <c r="AE151" i="1"/>
  <c r="AC151" i="1"/>
  <c r="H151" i="1"/>
  <c r="AE141" i="1"/>
  <c r="AC141" i="1"/>
  <c r="H141" i="1"/>
  <c r="AE136" i="1"/>
  <c r="AC136" i="1"/>
  <c r="H136" i="1"/>
  <c r="AE142" i="1"/>
  <c r="AC142" i="1"/>
  <c r="H142" i="1"/>
  <c r="AE137" i="1"/>
  <c r="AC137" i="1"/>
  <c r="H137" i="1"/>
  <c r="AE140" i="1"/>
  <c r="AC140" i="1"/>
  <c r="H140" i="1"/>
  <c r="AE145" i="1"/>
  <c r="AC145" i="1"/>
  <c r="H145" i="1"/>
  <c r="AE144" i="1"/>
  <c r="AC144" i="1"/>
  <c r="H144" i="1"/>
  <c r="AE143" i="1"/>
  <c r="AC143" i="1"/>
  <c r="H143" i="1"/>
  <c r="AE147" i="1"/>
  <c r="AC147" i="1"/>
  <c r="H147" i="1"/>
  <c r="AE146" i="1"/>
  <c r="AC146" i="1"/>
  <c r="H146" i="1"/>
  <c r="AE131" i="1"/>
  <c r="AC131" i="1"/>
  <c r="H131" i="1"/>
  <c r="AE126" i="1"/>
  <c r="AC126" i="1"/>
  <c r="H126" i="1"/>
  <c r="AE124" i="1"/>
  <c r="AC124" i="1"/>
  <c r="H124" i="1"/>
  <c r="AE125" i="1"/>
  <c r="AC125" i="1"/>
  <c r="H125" i="1"/>
  <c r="AE127" i="1"/>
  <c r="AC127" i="1"/>
  <c r="H127" i="1"/>
  <c r="AE132" i="1"/>
  <c r="AC132" i="1"/>
  <c r="H132" i="1"/>
  <c r="AE135" i="1"/>
  <c r="AC135" i="1"/>
  <c r="H135" i="1"/>
  <c r="AE134" i="1"/>
  <c r="AC134" i="1"/>
  <c r="H134" i="1"/>
  <c r="AE133" i="1"/>
  <c r="AC133" i="1"/>
  <c r="H133" i="1"/>
  <c r="AE128" i="1"/>
  <c r="AC128" i="1"/>
  <c r="H128" i="1"/>
  <c r="AE123" i="1"/>
  <c r="AC123" i="1"/>
  <c r="H123" i="1"/>
  <c r="AE122" i="1"/>
  <c r="AC122" i="1"/>
  <c r="H122" i="1"/>
  <c r="AE118" i="1"/>
  <c r="AC118" i="1"/>
  <c r="H118" i="1"/>
  <c r="AE117" i="1"/>
  <c r="AC117" i="1"/>
  <c r="H117" i="1"/>
  <c r="AE121" i="1"/>
  <c r="AC121" i="1"/>
  <c r="H121" i="1"/>
  <c r="AE120" i="1"/>
  <c r="AC120" i="1"/>
  <c r="H120" i="1"/>
  <c r="AE115" i="1"/>
  <c r="AC115" i="1"/>
  <c r="H115" i="1"/>
  <c r="AE116" i="1"/>
  <c r="AC116" i="1"/>
  <c r="H116" i="1"/>
  <c r="AE109" i="1"/>
  <c r="AC109" i="1"/>
  <c r="H109" i="1"/>
  <c r="AE107" i="1"/>
  <c r="AC107" i="1"/>
  <c r="H107" i="1"/>
  <c r="AE106" i="1"/>
  <c r="AC106" i="1"/>
  <c r="H106" i="1"/>
  <c r="AE93" i="1"/>
  <c r="AC93" i="1"/>
  <c r="H93" i="1"/>
  <c r="AE103" i="1"/>
  <c r="AC103" i="1"/>
  <c r="H103" i="1"/>
  <c r="AE92" i="1"/>
  <c r="AC92" i="1"/>
  <c r="H92" i="1"/>
  <c r="AE105" i="1"/>
  <c r="AC105" i="1"/>
  <c r="H105" i="1"/>
  <c r="AE102" i="1"/>
  <c r="AC102" i="1"/>
  <c r="H102" i="1"/>
  <c r="AE99" i="1"/>
  <c r="AC99" i="1"/>
  <c r="H99" i="1"/>
  <c r="AE98" i="1"/>
  <c r="AC98" i="1"/>
  <c r="H98" i="1"/>
  <c r="AE91" i="1"/>
  <c r="AC91" i="1"/>
  <c r="H91" i="1"/>
  <c r="AE114" i="1"/>
  <c r="AC114" i="1"/>
  <c r="H114" i="1"/>
  <c r="AE113" i="1"/>
  <c r="AC113" i="1"/>
  <c r="H113" i="1"/>
  <c r="AE112" i="1"/>
  <c r="AC112" i="1"/>
  <c r="H112" i="1"/>
  <c r="AE108" i="1"/>
  <c r="AC108" i="1"/>
  <c r="H108" i="1"/>
  <c r="AE96" i="1"/>
  <c r="AC96" i="1"/>
  <c r="H96" i="1"/>
  <c r="AE95" i="1"/>
  <c r="AC95" i="1"/>
  <c r="H95" i="1"/>
  <c r="AE104" i="1"/>
  <c r="AC104" i="1"/>
  <c r="H104" i="1"/>
  <c r="AE94" i="1"/>
  <c r="AC94" i="1"/>
  <c r="H94" i="1"/>
  <c r="AE97" i="1"/>
  <c r="AC97" i="1"/>
  <c r="H97" i="1"/>
  <c r="AE81" i="1"/>
  <c r="AC81" i="1"/>
  <c r="H81" i="1"/>
  <c r="AE90" i="1"/>
  <c r="AC90" i="1"/>
  <c r="H90" i="1"/>
  <c r="AE80" i="1"/>
  <c r="AC80" i="1"/>
  <c r="H80" i="1"/>
  <c r="AE82" i="1"/>
  <c r="AC82" i="1"/>
  <c r="H82" i="1"/>
  <c r="AE83" i="1"/>
  <c r="AC83" i="1"/>
  <c r="H83" i="1"/>
  <c r="AE89" i="1"/>
  <c r="AC89" i="1"/>
  <c r="H89" i="1"/>
  <c r="AE88" i="1"/>
  <c r="AC88" i="1"/>
  <c r="H88" i="1"/>
  <c r="AE84" i="1"/>
  <c r="AC84" i="1"/>
  <c r="H84" i="1"/>
  <c r="AE87" i="1"/>
  <c r="AC87" i="1"/>
  <c r="H87" i="1"/>
  <c r="AE86" i="1"/>
  <c r="AC86" i="1"/>
  <c r="H86" i="1"/>
  <c r="AE85" i="1"/>
  <c r="AC85" i="1"/>
  <c r="H85" i="1"/>
  <c r="AE69" i="1"/>
  <c r="AC69" i="1"/>
  <c r="H69" i="1"/>
  <c r="AE76" i="1"/>
  <c r="AC76" i="1"/>
  <c r="H76" i="1"/>
  <c r="AE72" i="1"/>
  <c r="AC72" i="1"/>
  <c r="H72" i="1"/>
  <c r="AE71" i="1"/>
  <c r="AC71" i="1"/>
  <c r="H71" i="1"/>
  <c r="AE78" i="1"/>
  <c r="AC78" i="1"/>
  <c r="H78" i="1"/>
  <c r="AE79" i="1"/>
  <c r="AC79" i="1"/>
  <c r="H79" i="1"/>
  <c r="AE77" i="1"/>
  <c r="AC77" i="1"/>
  <c r="H77" i="1"/>
  <c r="AE75" i="1"/>
  <c r="AC75" i="1"/>
  <c r="H75" i="1"/>
  <c r="AE74" i="1"/>
  <c r="AC74" i="1"/>
  <c r="H74" i="1"/>
  <c r="AE73" i="1"/>
  <c r="AC73" i="1"/>
  <c r="H73" i="1"/>
  <c r="AE70" i="1"/>
  <c r="AC70" i="1"/>
  <c r="H70" i="1"/>
  <c r="AE60" i="1"/>
  <c r="AC60" i="1"/>
  <c r="H60" i="1"/>
  <c r="AE63" i="1"/>
  <c r="AC63" i="1"/>
  <c r="H63" i="1"/>
  <c r="AE62" i="1"/>
  <c r="AC62" i="1"/>
  <c r="H62" i="1"/>
  <c r="AE61" i="1"/>
  <c r="AC61" i="1"/>
  <c r="H61" i="1"/>
  <c r="AE59" i="1"/>
  <c r="AC59" i="1"/>
  <c r="H59" i="1"/>
  <c r="AE58" i="1"/>
  <c r="AC58" i="1"/>
  <c r="H58" i="1"/>
  <c r="AE57" i="1"/>
  <c r="AC57" i="1"/>
  <c r="H57" i="1"/>
  <c r="AE56" i="1"/>
  <c r="AC56" i="1"/>
  <c r="H56" i="1"/>
  <c r="AE55" i="1"/>
  <c r="AC55" i="1"/>
  <c r="H55" i="1"/>
  <c r="AE54" i="1"/>
  <c r="AC54" i="1"/>
  <c r="H54" i="1"/>
  <c r="AE53" i="1"/>
  <c r="AC53" i="1"/>
  <c r="H53" i="1"/>
  <c r="AE52" i="1"/>
  <c r="AC52" i="1"/>
  <c r="H52" i="1"/>
  <c r="AE51" i="1"/>
  <c r="AC51" i="1"/>
  <c r="H51" i="1"/>
  <c r="AE49" i="1"/>
  <c r="AC49" i="1"/>
  <c r="H49" i="1"/>
  <c r="AE47" i="1"/>
  <c r="AC47" i="1"/>
  <c r="H47" i="1"/>
  <c r="AE46" i="1"/>
  <c r="AC46" i="1"/>
  <c r="H46" i="1"/>
  <c r="AE43" i="1"/>
  <c r="AC43" i="1"/>
  <c r="H43" i="1"/>
  <c r="AE42" i="1"/>
  <c r="AC42" i="1"/>
  <c r="H42" i="1"/>
  <c r="AE41" i="1"/>
  <c r="AC41" i="1"/>
  <c r="H41" i="1"/>
  <c r="AE50" i="1"/>
  <c r="AC50" i="1"/>
  <c r="H50" i="1"/>
  <c r="AE45" i="1"/>
  <c r="AC45" i="1"/>
  <c r="H45" i="1"/>
  <c r="AE40" i="1"/>
  <c r="AC40" i="1"/>
  <c r="H40" i="1"/>
  <c r="AE48" i="1"/>
  <c r="AC48" i="1"/>
  <c r="H48" i="1"/>
  <c r="AE44" i="1"/>
  <c r="AC44" i="1"/>
  <c r="H44" i="1"/>
  <c r="AE39" i="1"/>
  <c r="AC39" i="1"/>
  <c r="H39" i="1"/>
  <c r="AE29" i="1"/>
  <c r="AC29" i="1"/>
  <c r="H29" i="1"/>
  <c r="AE34" i="1"/>
  <c r="AC34" i="1"/>
  <c r="H34" i="1"/>
  <c r="AE33" i="1"/>
  <c r="AC33" i="1"/>
  <c r="H33" i="1"/>
  <c r="AE32" i="1"/>
  <c r="AC32" i="1"/>
  <c r="H32" i="1"/>
  <c r="AE31" i="1"/>
  <c r="AC31" i="1"/>
  <c r="H31" i="1"/>
  <c r="AE30" i="1"/>
  <c r="AC30" i="1"/>
  <c r="H30" i="1"/>
  <c r="AE28" i="1"/>
  <c r="AC28" i="1"/>
  <c r="H28" i="1"/>
  <c r="AE24" i="1"/>
  <c r="AC24" i="1"/>
  <c r="H24" i="1"/>
  <c r="AE26" i="1"/>
  <c r="AC26" i="1"/>
  <c r="H26" i="1"/>
  <c r="AE23" i="1"/>
  <c r="AC23" i="1"/>
  <c r="H23" i="1"/>
  <c r="AE21" i="1"/>
  <c r="AC21" i="1"/>
  <c r="H21" i="1"/>
  <c r="AE18" i="1"/>
  <c r="AC18" i="1"/>
  <c r="H18" i="1"/>
  <c r="AE25" i="1"/>
  <c r="AC25" i="1"/>
  <c r="H25" i="1"/>
  <c r="AE22" i="1"/>
  <c r="AC22" i="1"/>
  <c r="H22" i="1"/>
  <c r="AE20" i="1"/>
  <c r="AC20" i="1"/>
  <c r="H20" i="1"/>
  <c r="AE17" i="1"/>
  <c r="AC17" i="1"/>
  <c r="H17" i="1"/>
  <c r="AE16" i="1"/>
  <c r="AC16" i="1"/>
  <c r="H16" i="1"/>
  <c r="AE27" i="1"/>
  <c r="AC27" i="1"/>
  <c r="H27" i="1"/>
  <c r="AE38" i="1"/>
  <c r="AC38" i="1"/>
  <c r="H38" i="1"/>
  <c r="AE19" i="1"/>
  <c r="AC19" i="1"/>
  <c r="H19" i="1"/>
  <c r="AE7" i="1"/>
  <c r="AC7" i="1"/>
  <c r="H7" i="1"/>
  <c r="AE9" i="1"/>
  <c r="AC9" i="1"/>
  <c r="H9" i="1"/>
  <c r="AE14" i="1"/>
  <c r="AC14" i="1"/>
  <c r="H14" i="1"/>
  <c r="AE12" i="1"/>
  <c r="AC12" i="1"/>
  <c r="H12" i="1"/>
  <c r="AE11" i="1"/>
  <c r="AC11" i="1"/>
  <c r="H11" i="1"/>
  <c r="AE10" i="1"/>
  <c r="AC10" i="1"/>
  <c r="H10" i="1"/>
  <c r="AE8" i="1"/>
  <c r="AC8" i="1"/>
  <c r="H8" i="1"/>
  <c r="AE6" i="1"/>
  <c r="AC6" i="1"/>
  <c r="H6" i="1"/>
  <c r="AE5" i="1"/>
  <c r="AC5" i="1"/>
  <c r="H5" i="1"/>
  <c r="AE3" i="1"/>
  <c r="H3" i="1"/>
  <c r="AE4" i="1"/>
  <c r="AC4" i="1"/>
  <c r="H4" i="1"/>
  <c r="H4" i="7" l="1"/>
  <c r="Q4" i="7"/>
  <c r="U4" i="7"/>
  <c r="Y4" i="7" s="1"/>
  <c r="I4" i="7"/>
  <c r="D4" i="7"/>
  <c r="B4" i="7"/>
  <c r="X4" i="7"/>
  <c r="Z4" i="7" s="1"/>
  <c r="B47" i="7"/>
  <c r="H47" i="7"/>
  <c r="I47" i="7"/>
  <c r="X47" i="7"/>
  <c r="Z47" i="7" s="1"/>
  <c r="U47" i="7"/>
  <c r="Y47" i="7" s="1"/>
  <c r="Q47" i="7"/>
  <c r="N47" i="7"/>
  <c r="D47" i="7"/>
  <c r="D103" i="7"/>
  <c r="U103" i="7"/>
  <c r="Y103" i="7" s="1"/>
  <c r="Q103" i="7"/>
  <c r="I103" i="7"/>
  <c r="X103" i="7"/>
  <c r="Z103" i="7" s="1"/>
  <c r="N103" i="7"/>
  <c r="H103" i="7"/>
  <c r="B103" i="7"/>
  <c r="D1" i="2"/>
  <c r="E1" i="2" s="1"/>
  <c r="F1" i="2" s="1"/>
  <c r="G1" i="2" s="1"/>
  <c r="H1" i="2" s="1"/>
  <c r="I1" i="2" s="1"/>
  <c r="J1" i="2" s="1"/>
  <c r="K1" i="2" s="1"/>
  <c r="L1" i="2" s="1"/>
  <c r="M1" i="2" s="1"/>
  <c r="AG3" i="1"/>
  <c r="D134" i="7"/>
  <c r="D157" i="7"/>
  <c r="D59" i="7"/>
  <c r="D115" i="7"/>
  <c r="D50" i="7"/>
  <c r="D162" i="7"/>
  <c r="D97" i="7"/>
  <c r="D161" i="7"/>
  <c r="D96" i="7"/>
  <c r="D52" i="7"/>
  <c r="D120" i="7"/>
  <c r="D55" i="7"/>
  <c r="D102" i="7"/>
  <c r="D60" i="7"/>
  <c r="D126" i="7"/>
  <c r="D61" i="7"/>
  <c r="D123" i="7"/>
  <c r="D109" i="7"/>
  <c r="D111" i="7"/>
  <c r="D117" i="7"/>
  <c r="D107" i="7"/>
  <c r="D156" i="7"/>
  <c r="D154" i="7"/>
  <c r="D89" i="7"/>
  <c r="D153" i="7"/>
  <c r="D88" i="7"/>
  <c r="D112" i="7"/>
  <c r="D159" i="7"/>
  <c r="D94" i="7"/>
  <c r="D118" i="7"/>
  <c r="D53" i="7"/>
  <c r="D58" i="7"/>
  <c r="D105" i="7"/>
  <c r="D69" i="7"/>
  <c r="D163" i="7"/>
  <c r="D98" i="7"/>
  <c r="D124" i="7"/>
  <c r="D146" i="7"/>
  <c r="D81" i="7"/>
  <c r="D145" i="7"/>
  <c r="D80" i="7"/>
  <c r="D83" i="7"/>
  <c r="D104" i="7"/>
  <c r="D151" i="7"/>
  <c r="D86" i="7"/>
  <c r="D140" i="7"/>
  <c r="D110" i="7"/>
  <c r="D106" i="7"/>
  <c r="D68" i="7"/>
  <c r="D76" i="7"/>
  <c r="D164" i="7"/>
  <c r="D155" i="7"/>
  <c r="D90" i="7"/>
  <c r="D108" i="7"/>
  <c r="D138" i="7"/>
  <c r="D73" i="7"/>
  <c r="D137" i="7"/>
  <c r="D72" i="7"/>
  <c r="D160" i="7"/>
  <c r="D95" i="7"/>
  <c r="D143" i="7"/>
  <c r="D78" i="7"/>
  <c r="D101" i="7"/>
  <c r="D128" i="7"/>
  <c r="D132" i="7"/>
  <c r="D147" i="7"/>
  <c r="D82" i="7"/>
  <c r="D91" i="7"/>
  <c r="D130" i="7"/>
  <c r="D65" i="7"/>
  <c r="D125" i="7"/>
  <c r="D129" i="7"/>
  <c r="D64" i="7"/>
  <c r="D152" i="7"/>
  <c r="D87" i="7"/>
  <c r="D135" i="7"/>
  <c r="D70" i="7"/>
  <c r="D158" i="7"/>
  <c r="D93" i="7"/>
  <c r="D84" i="7"/>
  <c r="D116" i="7"/>
  <c r="D139" i="7"/>
  <c r="D74" i="7"/>
  <c r="D67" i="7"/>
  <c r="D122" i="7"/>
  <c r="D57" i="7"/>
  <c r="D121" i="7"/>
  <c r="D56" i="7"/>
  <c r="D133" i="7"/>
  <c r="D144" i="7"/>
  <c r="D79" i="7"/>
  <c r="D127" i="7"/>
  <c r="D62" i="7"/>
  <c r="D141" i="7"/>
  <c r="D150" i="7"/>
  <c r="D85" i="7"/>
  <c r="D75" i="7"/>
  <c r="D63" i="7"/>
  <c r="D99" i="7"/>
  <c r="D131" i="7"/>
  <c r="D66" i="7"/>
  <c r="D149" i="7"/>
  <c r="D51" i="7"/>
  <c r="D114" i="7"/>
  <c r="D49" i="7"/>
  <c r="D148" i="7"/>
  <c r="D113" i="7"/>
  <c r="D48" i="7"/>
  <c r="D92" i="7"/>
  <c r="D136" i="7"/>
  <c r="D71" i="7"/>
  <c r="D119" i="7"/>
  <c r="D54" i="7"/>
  <c r="D100" i="7"/>
  <c r="D142" i="7"/>
  <c r="D77" i="7"/>
  <c r="R4" i="7"/>
  <c r="AC4" i="7" s="1"/>
  <c r="Y2" i="3"/>
  <c r="Z2" i="3" s="1"/>
  <c r="D5" i="7"/>
  <c r="B2" i="7"/>
  <c r="X2" i="7"/>
  <c r="Z2" i="7" s="1"/>
  <c r="D2" i="7"/>
  <c r="H2" i="7"/>
  <c r="I2" i="7"/>
  <c r="Q2" i="7"/>
  <c r="U2" i="7"/>
  <c r="Y2" i="7" s="1"/>
  <c r="U3" i="7"/>
  <c r="B3" i="7"/>
  <c r="X3" i="7"/>
  <c r="Q3" i="7"/>
  <c r="N3" i="7"/>
  <c r="I3" i="7"/>
  <c r="H3" i="7"/>
  <c r="P33" i="8"/>
  <c r="Q33" i="8" s="1"/>
  <c r="Y25" i="3"/>
  <c r="Z25" i="3" s="1"/>
  <c r="Y42" i="3"/>
  <c r="Z42" i="3" s="1"/>
  <c r="Y64" i="3"/>
  <c r="Z64" i="3" s="1"/>
  <c r="Y55" i="3"/>
  <c r="Z55" i="3" s="1"/>
  <c r="Y61" i="3"/>
  <c r="Z61" i="3" s="1"/>
  <c r="Y60" i="3"/>
  <c r="Z60" i="3" s="1"/>
  <c r="Y36" i="3"/>
  <c r="Z36" i="3" s="1"/>
  <c r="Y4" i="3"/>
  <c r="Z4" i="3" s="1"/>
  <c r="Y20" i="3"/>
  <c r="Z20" i="3" s="1"/>
  <c r="Y32" i="3"/>
  <c r="Z32" i="3" s="1"/>
  <c r="W14" i="3"/>
  <c r="X66" i="3"/>
  <c r="Y66" i="3" s="1"/>
  <c r="Z66" i="3" s="1"/>
  <c r="W34" i="3"/>
  <c r="W35" i="3"/>
  <c r="X69" i="3"/>
  <c r="Y69" i="3" s="1"/>
  <c r="Z69" i="3" s="1"/>
  <c r="X70" i="3"/>
  <c r="Y70" i="3" s="1"/>
  <c r="Z70" i="3" s="1"/>
  <c r="Y59" i="3"/>
  <c r="Z59" i="3" s="1"/>
  <c r="W68" i="3"/>
  <c r="W8" i="3"/>
  <c r="W3" i="3"/>
  <c r="W40" i="3"/>
  <c r="W24" i="3"/>
  <c r="W50" i="3"/>
  <c r="X67" i="3"/>
  <c r="Y67" i="3" s="1"/>
  <c r="Z67" i="3" s="1"/>
  <c r="W62" i="3"/>
  <c r="W12" i="3"/>
  <c r="W28" i="3"/>
  <c r="W53" i="3"/>
  <c r="W18" i="3"/>
  <c r="W15" i="3"/>
  <c r="W26" i="3"/>
  <c r="W54" i="3"/>
  <c r="W46" i="3"/>
  <c r="X74" i="3"/>
  <c r="Y74" i="3" s="1"/>
  <c r="Z74" i="3" s="1"/>
  <c r="W19" i="3"/>
  <c r="W31" i="3"/>
  <c r="W38" i="3"/>
  <c r="W63" i="3"/>
  <c r="W43" i="3"/>
  <c r="W27" i="3"/>
  <c r="X71" i="3"/>
  <c r="Y71" i="3" s="1"/>
  <c r="Z71" i="3" s="1"/>
  <c r="X72" i="3"/>
  <c r="Y72" i="3" s="1"/>
  <c r="Z72" i="3" s="1"/>
  <c r="W10" i="3"/>
  <c r="W51" i="3"/>
  <c r="Y75" i="3"/>
  <c r="Z75" i="3" s="1"/>
  <c r="W41" i="3"/>
  <c r="W33" i="3"/>
  <c r="W6" i="3"/>
  <c r="X49" i="3"/>
  <c r="Y49" i="3" s="1"/>
  <c r="Z49" i="3" s="1"/>
  <c r="W37" i="3"/>
  <c r="W7" i="3"/>
  <c r="X65" i="3"/>
  <c r="Y65" i="3" s="1"/>
  <c r="Z65" i="3" s="1"/>
  <c r="W13" i="3"/>
  <c r="W29" i="3"/>
  <c r="W47" i="3"/>
  <c r="W48" i="3"/>
  <c r="W5" i="3"/>
  <c r="X73" i="3"/>
  <c r="Y73" i="3" s="1"/>
  <c r="Z73" i="3" s="1"/>
  <c r="W30" i="3"/>
  <c r="X56" i="3"/>
  <c r="Y56" i="3" s="1"/>
  <c r="Z56" i="3" s="1"/>
  <c r="Y15" i="1" l="1"/>
  <c r="R103" i="7"/>
  <c r="AC103" i="7" s="1"/>
  <c r="AA4" i="7"/>
  <c r="AB4" i="7" s="1"/>
  <c r="AD4" i="7" s="1"/>
  <c r="AE4" i="7" s="1"/>
  <c r="AF4" i="7" s="1"/>
  <c r="AG4" i="7" s="1"/>
  <c r="AA103" i="7"/>
  <c r="AB103" i="7" s="1"/>
  <c r="AD103" i="7" s="1"/>
  <c r="AA47" i="7"/>
  <c r="AB47" i="7" s="1"/>
  <c r="AD47" i="7" s="1"/>
  <c r="R47" i="7"/>
  <c r="AC47" i="7" s="1"/>
  <c r="AA2" i="7"/>
  <c r="AB2" i="7" s="1"/>
  <c r="AD2" i="7" s="1"/>
  <c r="AN2" i="7"/>
  <c r="R2" i="7"/>
  <c r="AC2" i="7" s="1"/>
  <c r="AL2" i="7"/>
  <c r="AK2" i="7"/>
  <c r="AM2" i="7"/>
  <c r="R3" i="7"/>
  <c r="AC3" i="7" s="1"/>
  <c r="AA3" i="7"/>
  <c r="AK3" i="7"/>
  <c r="AL3" i="7"/>
  <c r="Z3" i="7"/>
  <c r="AN3" i="7"/>
  <c r="U5" i="7"/>
  <c r="X5" i="7"/>
  <c r="Q5" i="7"/>
  <c r="N5" i="7"/>
  <c r="I5" i="7"/>
  <c r="H5" i="7"/>
  <c r="Y3" i="7"/>
  <c r="AM3" i="7"/>
  <c r="Y30" i="3"/>
  <c r="Z30" i="3" s="1"/>
  <c r="Y47" i="3"/>
  <c r="Z47" i="3" s="1"/>
  <c r="Y6" i="3"/>
  <c r="Z6" i="3" s="1"/>
  <c r="Y12" i="3"/>
  <c r="Z12" i="3" s="1"/>
  <c r="Y3" i="3"/>
  <c r="Z3" i="3" s="1"/>
  <c r="Y52" i="3"/>
  <c r="Z52" i="3" s="1"/>
  <c r="Y23" i="3"/>
  <c r="Z23" i="3" s="1"/>
  <c r="Y76" i="3"/>
  <c r="Z76" i="3" s="1"/>
  <c r="Y10" i="3"/>
  <c r="Z10" i="3" s="1"/>
  <c r="Y19" i="3"/>
  <c r="Z19" i="3" s="1"/>
  <c r="Y63" i="3"/>
  <c r="Z63" i="3" s="1"/>
  <c r="Y37" i="3"/>
  <c r="Z37" i="3" s="1"/>
  <c r="Y33" i="3"/>
  <c r="Z33" i="3" s="1"/>
  <c r="Y27" i="3"/>
  <c r="Z27" i="3" s="1"/>
  <c r="Y68" i="3"/>
  <c r="Z68" i="3" s="1"/>
  <c r="Y11" i="3"/>
  <c r="Z11" i="3" s="1"/>
  <c r="Y35" i="3"/>
  <c r="Z35" i="3" s="1"/>
  <c r="Y40" i="3"/>
  <c r="Z40" i="3" s="1"/>
  <c r="Y28" i="3"/>
  <c r="Z28" i="3" s="1"/>
  <c r="Y41" i="3"/>
  <c r="Z41" i="3" s="1"/>
  <c r="Y38" i="3"/>
  <c r="Z38" i="3" s="1"/>
  <c r="Y54" i="3"/>
  <c r="Z54" i="3" s="1"/>
  <c r="Y26" i="3"/>
  <c r="Z26" i="3" s="1"/>
  <c r="Y15" i="3"/>
  <c r="Z15" i="3" s="1"/>
  <c r="Y8" i="3"/>
  <c r="Z8" i="3" s="1"/>
  <c r="Y53" i="3"/>
  <c r="Z53" i="3" s="1"/>
  <c r="Y62" i="3"/>
  <c r="Z62" i="3" s="1"/>
  <c r="Y5" i="3"/>
  <c r="Z5" i="3" s="1"/>
  <c r="Y7" i="3"/>
  <c r="Z7" i="3" s="1"/>
  <c r="Y51" i="3"/>
  <c r="Z51" i="3" s="1"/>
  <c r="Y43" i="3"/>
  <c r="Z43" i="3" s="1"/>
  <c r="Y24" i="3"/>
  <c r="Z24" i="3" s="1"/>
  <c r="Y39" i="3"/>
  <c r="Z39" i="3" s="1"/>
  <c r="Y46" i="3"/>
  <c r="Z46" i="3" s="1"/>
  <c r="Y29" i="3"/>
  <c r="Z29" i="3" s="1"/>
  <c r="Y18" i="3"/>
  <c r="Z18" i="3" s="1"/>
  <c r="Y50" i="3"/>
  <c r="Z50" i="3" s="1"/>
  <c r="Y34" i="3"/>
  <c r="Z34" i="3" s="1"/>
  <c r="Y48" i="3"/>
  <c r="Z48" i="3" s="1"/>
  <c r="Y13" i="3"/>
  <c r="Z13" i="3" s="1"/>
  <c r="Y31" i="3"/>
  <c r="Z31" i="3" s="1"/>
  <c r="Y14" i="3"/>
  <c r="Z14" i="3" s="1"/>
  <c r="AE47" i="7" l="1"/>
  <c r="AF47" i="7" s="1"/>
  <c r="AG47" i="7" s="1"/>
  <c r="AE103" i="7"/>
  <c r="AF103" i="7" s="1"/>
  <c r="AG103" i="7" s="1"/>
  <c r="AE2" i="7"/>
  <c r="AF2" i="7" s="1"/>
  <c r="Y4" i="1" s="1"/>
  <c r="D7" i="7"/>
  <c r="AL5" i="7"/>
  <c r="Y5" i="7"/>
  <c r="AM5" i="7"/>
  <c r="AB3" i="7"/>
  <c r="AD3" i="7" s="1"/>
  <c r="AE3" i="7" s="1"/>
  <c r="AF3" i="7" s="1"/>
  <c r="Y14" i="1" s="1"/>
  <c r="R5" i="7"/>
  <c r="AC5" i="7" s="1"/>
  <c r="AA5" i="7"/>
  <c r="AK5" i="7"/>
  <c r="Z5" i="7"/>
  <c r="AN5" i="7"/>
  <c r="X7" i="7" l="1"/>
  <c r="Z7" i="7" s="1"/>
  <c r="U7" i="7"/>
  <c r="Y7" i="7" s="1"/>
  <c r="H7" i="7"/>
  <c r="B7" i="7"/>
  <c r="I7" i="7"/>
  <c r="N7" i="7"/>
  <c r="Q7" i="7"/>
  <c r="D8" i="7"/>
  <c r="AG2" i="7"/>
  <c r="AG3" i="7"/>
  <c r="AB5" i="7"/>
  <c r="AD5" i="7" s="1"/>
  <c r="AE5" i="7" s="1"/>
  <c r="AF5" i="7" s="1"/>
  <c r="Y38" i="1" s="1"/>
  <c r="R7" i="7" l="1"/>
  <c r="AC7" i="7" s="1"/>
  <c r="AA7" i="7"/>
  <c r="AB7" i="7" s="1"/>
  <c r="AD7" i="7" s="1"/>
  <c r="AL7" i="7"/>
  <c r="AK7" i="7"/>
  <c r="AM7" i="7"/>
  <c r="AN7" i="7"/>
  <c r="D9" i="7"/>
  <c r="B8" i="7"/>
  <c r="U8" i="7"/>
  <c r="Q8" i="7"/>
  <c r="N8" i="7"/>
  <c r="I8" i="7"/>
  <c r="H8" i="7"/>
  <c r="X8" i="7"/>
  <c r="AG5" i="7"/>
  <c r="AE7" i="7" l="1"/>
  <c r="AF7" i="7" s="1"/>
  <c r="AG7" i="7" s="1"/>
  <c r="D10" i="7"/>
  <c r="R8" i="7"/>
  <c r="AC8" i="7" s="1"/>
  <c r="AA8" i="7"/>
  <c r="AK8" i="7"/>
  <c r="AL8" i="7"/>
  <c r="AM8" i="7"/>
  <c r="Y8" i="7"/>
  <c r="Z8" i="7"/>
  <c r="AN8" i="7"/>
  <c r="D11" i="7" l="1"/>
  <c r="AB8" i="7"/>
  <c r="AD8" i="7" s="1"/>
  <c r="AE8" i="7" s="1"/>
  <c r="AF8" i="7" s="1"/>
  <c r="AG8" i="7" s="1"/>
  <c r="D12" i="7" l="1"/>
  <c r="D13" i="7" l="1"/>
  <c r="X9" i="7"/>
  <c r="B9" i="7"/>
  <c r="U9" i="7"/>
  <c r="Q9" i="7"/>
  <c r="N9" i="7"/>
  <c r="I9" i="7"/>
  <c r="H9" i="7"/>
  <c r="D14" i="7" l="1"/>
  <c r="AL9" i="7"/>
  <c r="AM9" i="7"/>
  <c r="AN9" i="7"/>
  <c r="AK9" i="7"/>
  <c r="AA9" i="7"/>
  <c r="Q10" i="7"/>
  <c r="I10" i="7"/>
  <c r="H10" i="7"/>
  <c r="AK10" i="7" s="1"/>
  <c r="B10" i="7"/>
  <c r="Z9" i="7"/>
  <c r="Y9" i="7"/>
  <c r="R9" i="7"/>
  <c r="AC9" i="7" s="1"/>
  <c r="D15" i="7" l="1"/>
  <c r="AL10" i="7"/>
  <c r="AM10" i="7"/>
  <c r="AN10" i="7"/>
  <c r="AB9" i="7"/>
  <c r="AD9" i="7" s="1"/>
  <c r="AE9" i="7" s="1"/>
  <c r="AF9" i="7" s="1"/>
  <c r="B11" i="7"/>
  <c r="Q11" i="7"/>
  <c r="H11" i="7"/>
  <c r="AK11" i="7" s="1"/>
  <c r="I11" i="7"/>
  <c r="AC10" i="7"/>
  <c r="AE10" i="7" s="1"/>
  <c r="AF10" i="7" s="1"/>
  <c r="AG10" i="7" s="1"/>
  <c r="D16" i="7" l="1"/>
  <c r="AL11" i="7"/>
  <c r="AM11" i="7"/>
  <c r="AN11" i="7"/>
  <c r="AG9" i="7"/>
  <c r="AC11" i="7"/>
  <c r="AE11" i="7" s="1"/>
  <c r="AF11" i="7" s="1"/>
  <c r="AG11" i="7" s="1"/>
  <c r="U12" i="7"/>
  <c r="B12" i="7"/>
  <c r="X12" i="7"/>
  <c r="Q12" i="7"/>
  <c r="N12" i="7"/>
  <c r="I12" i="7"/>
  <c r="H12" i="7"/>
  <c r="D17" i="7" l="1"/>
  <c r="AK12" i="7"/>
  <c r="AL12" i="7"/>
  <c r="AM12" i="7"/>
  <c r="AN12" i="7"/>
  <c r="AA12" i="7"/>
  <c r="Z12" i="7"/>
  <c r="X13" i="7"/>
  <c r="N13" i="7"/>
  <c r="I13" i="7"/>
  <c r="H13" i="7"/>
  <c r="Q13" i="7"/>
  <c r="B13" i="7"/>
  <c r="U13" i="7"/>
  <c r="Y12" i="7"/>
  <c r="R12" i="7"/>
  <c r="AC12" i="7" s="1"/>
  <c r="D18" i="7" l="1"/>
  <c r="AM13" i="7"/>
  <c r="AK13" i="7"/>
  <c r="AN13" i="7"/>
  <c r="AL13" i="7"/>
  <c r="R13" i="7"/>
  <c r="AC13" i="7" s="1"/>
  <c r="AB12" i="7"/>
  <c r="AD12" i="7" s="1"/>
  <c r="AE12" i="7" s="1"/>
  <c r="AF12" i="7" s="1"/>
  <c r="AG12" i="7" s="1"/>
  <c r="AA13" i="7"/>
  <c r="Y13" i="7"/>
  <c r="Q14" i="7"/>
  <c r="N14" i="7"/>
  <c r="X14" i="7"/>
  <c r="H14" i="7"/>
  <c r="B14" i="7"/>
  <c r="I14" i="7"/>
  <c r="U14" i="7"/>
  <c r="Z13" i="7"/>
  <c r="D19" i="7" l="1"/>
  <c r="AK14" i="7"/>
  <c r="AM14" i="7"/>
  <c r="AN14" i="7"/>
  <c r="AL14" i="7"/>
  <c r="Z14" i="7"/>
  <c r="AB13" i="7"/>
  <c r="AD13" i="7" s="1"/>
  <c r="AE13" i="7" s="1"/>
  <c r="AF13" i="7" s="1"/>
  <c r="AG13" i="7" s="1"/>
  <c r="R14" i="7"/>
  <c r="AC14" i="7" s="1"/>
  <c r="AA14" i="7"/>
  <c r="Y14" i="7"/>
  <c r="X15" i="7"/>
  <c r="Q15" i="7"/>
  <c r="N15" i="7"/>
  <c r="B15" i="7"/>
  <c r="U15" i="7"/>
  <c r="H15" i="7"/>
  <c r="I15" i="7"/>
  <c r="D20" i="7" l="1"/>
  <c r="AL15" i="7"/>
  <c r="AM15" i="7"/>
  <c r="AN15" i="7"/>
  <c r="AK15" i="7"/>
  <c r="Z15" i="7"/>
  <c r="AB14" i="7"/>
  <c r="AD14" i="7" s="1"/>
  <c r="AE14" i="7" s="1"/>
  <c r="AF14" i="7" s="1"/>
  <c r="AG14" i="7" s="1"/>
  <c r="AA15" i="7"/>
  <c r="R15" i="7"/>
  <c r="AC15" i="7" s="1"/>
  <c r="H16" i="7"/>
  <c r="I16" i="7"/>
  <c r="B16" i="7"/>
  <c r="U16" i="7"/>
  <c r="N16" i="7"/>
  <c r="X16" i="7"/>
  <c r="Q16" i="7"/>
  <c r="Y15" i="7"/>
  <c r="D21" i="7" l="1"/>
  <c r="AK16" i="7"/>
  <c r="AL16" i="7"/>
  <c r="AN16" i="7"/>
  <c r="AM16" i="7"/>
  <c r="R16" i="7"/>
  <c r="AC16" i="7" s="1"/>
  <c r="AB15" i="7"/>
  <c r="AD15" i="7" s="1"/>
  <c r="AE15" i="7" s="1"/>
  <c r="AF15" i="7" s="1"/>
  <c r="AG15" i="7" s="1"/>
  <c r="Y16" i="7"/>
  <c r="Z16" i="7"/>
  <c r="B17" i="7"/>
  <c r="X17" i="7"/>
  <c r="U17" i="7"/>
  <c r="Q17" i="7"/>
  <c r="N17" i="7"/>
  <c r="I17" i="7"/>
  <c r="H17" i="7"/>
  <c r="AA16" i="7"/>
  <c r="D22" i="7" l="1"/>
  <c r="AK17" i="7"/>
  <c r="AL17" i="7"/>
  <c r="AM17" i="7"/>
  <c r="AN17" i="7"/>
  <c r="R17" i="7"/>
  <c r="AC17" i="7" s="1"/>
  <c r="Y17" i="7"/>
  <c r="Z17" i="7"/>
  <c r="B18" i="7"/>
  <c r="H18" i="7"/>
  <c r="AK18" i="7" s="1"/>
  <c r="Q18" i="7"/>
  <c r="I18" i="7"/>
  <c r="AA17" i="7"/>
  <c r="AB16" i="7"/>
  <c r="AD16" i="7" s="1"/>
  <c r="AE16" i="7" s="1"/>
  <c r="AF16" i="7" s="1"/>
  <c r="AG16" i="7" s="1"/>
  <c r="D23" i="7" l="1"/>
  <c r="AL18" i="7"/>
  <c r="AM18" i="7"/>
  <c r="AN18" i="7"/>
  <c r="AB17" i="7"/>
  <c r="AD17" i="7" s="1"/>
  <c r="AE17" i="7" s="1"/>
  <c r="AF17" i="7" s="1"/>
  <c r="AG17" i="7" s="1"/>
  <c r="B19" i="7"/>
  <c r="Q19" i="7"/>
  <c r="I19" i="7"/>
  <c r="H19" i="7"/>
  <c r="AK19" i="7" s="1"/>
  <c r="AC18" i="7"/>
  <c r="AE18" i="7" s="1"/>
  <c r="AF18" i="7" s="1"/>
  <c r="AG18" i="7" s="1"/>
  <c r="D24" i="7" l="1"/>
  <c r="AL19" i="7"/>
  <c r="AM19" i="7"/>
  <c r="AN19" i="7"/>
  <c r="B20" i="7"/>
  <c r="U20" i="7"/>
  <c r="X20" i="7"/>
  <c r="N20" i="7"/>
  <c r="I20" i="7"/>
  <c r="H20" i="7"/>
  <c r="Q20" i="7"/>
  <c r="AC19" i="7"/>
  <c r="D25" i="7" l="1"/>
  <c r="AN20" i="7"/>
  <c r="AM20" i="7"/>
  <c r="AL20" i="7"/>
  <c r="AK20" i="7"/>
  <c r="AA20" i="7"/>
  <c r="R20" i="7"/>
  <c r="AC20" i="7" s="1"/>
  <c r="Z20" i="7"/>
  <c r="AE19" i="7"/>
  <c r="AF19" i="7" s="1"/>
  <c r="AG19" i="7" s="1"/>
  <c r="Y20" i="7"/>
  <c r="X21" i="7"/>
  <c r="B21" i="7"/>
  <c r="Q21" i="7"/>
  <c r="N21" i="7"/>
  <c r="I21" i="7"/>
  <c r="H21" i="7"/>
  <c r="U21" i="7"/>
  <c r="D26" i="7" l="1"/>
  <c r="AK21" i="7"/>
  <c r="AL21" i="7"/>
  <c r="AM21" i="7"/>
  <c r="AN21" i="7"/>
  <c r="AB20" i="7"/>
  <c r="AD20" i="7" s="1"/>
  <c r="AE20" i="7" s="1"/>
  <c r="AF20" i="7" s="1"/>
  <c r="AG20" i="7" s="1"/>
  <c r="R21" i="7"/>
  <c r="AC21" i="7" s="1"/>
  <c r="Q22" i="7"/>
  <c r="B22" i="7"/>
  <c r="U22" i="7"/>
  <c r="N22" i="7"/>
  <c r="X22" i="7"/>
  <c r="I22" i="7"/>
  <c r="H22" i="7"/>
  <c r="Z21" i="7"/>
  <c r="AA21" i="7"/>
  <c r="Y21" i="7"/>
  <c r="D27" i="7" l="1"/>
  <c r="AL22" i="7"/>
  <c r="AN22" i="7"/>
  <c r="AK22" i="7"/>
  <c r="AM22" i="7"/>
  <c r="AA22" i="7"/>
  <c r="R22" i="7"/>
  <c r="AC22" i="7" s="1"/>
  <c r="AB21" i="7"/>
  <c r="AD21" i="7" s="1"/>
  <c r="AE21" i="7" s="1"/>
  <c r="AF21" i="7" s="1"/>
  <c r="AG21" i="7" s="1"/>
  <c r="Z22" i="7"/>
  <c r="Q23" i="7"/>
  <c r="H23" i="7"/>
  <c r="AK23" i="7" s="1"/>
  <c r="B23" i="7"/>
  <c r="I23" i="7"/>
  <c r="Y22" i="7"/>
  <c r="D28" i="7" l="1"/>
  <c r="AM23" i="7"/>
  <c r="AN23" i="7"/>
  <c r="AL23" i="7"/>
  <c r="AB22" i="7"/>
  <c r="AD22" i="7" s="1"/>
  <c r="AE22" i="7" s="1"/>
  <c r="AF22" i="7" s="1"/>
  <c r="AG22" i="7" s="1"/>
  <c r="AC23" i="7"/>
  <c r="AE23" i="7" s="1"/>
  <c r="AF23" i="7" s="1"/>
  <c r="AG23" i="7" s="1"/>
  <c r="X24" i="7"/>
  <c r="N24" i="7"/>
  <c r="Q24" i="7"/>
  <c r="I24" i="7"/>
  <c r="U24" i="7"/>
  <c r="H24" i="7"/>
  <c r="B24" i="7"/>
  <c r="D29" i="7" l="1"/>
  <c r="AN24" i="7"/>
  <c r="AL24" i="7"/>
  <c r="AK24" i="7"/>
  <c r="AM24" i="7"/>
  <c r="Z24" i="7"/>
  <c r="R24" i="7"/>
  <c r="AC24" i="7" s="1"/>
  <c r="Y24" i="7"/>
  <c r="AA24" i="7"/>
  <c r="U25" i="7"/>
  <c r="B25" i="7"/>
  <c r="X25" i="7"/>
  <c r="N25" i="7"/>
  <c r="I25" i="7"/>
  <c r="H25" i="7"/>
  <c r="Q25" i="7"/>
  <c r="D30" i="7" l="1"/>
  <c r="AK25" i="7"/>
  <c r="AL25" i="7"/>
  <c r="AM25" i="7"/>
  <c r="AN25" i="7"/>
  <c r="AB24" i="7"/>
  <c r="AD24" i="7" s="1"/>
  <c r="AE24" i="7" s="1"/>
  <c r="AF24" i="7" s="1"/>
  <c r="AG24" i="7" s="1"/>
  <c r="Z25" i="7"/>
  <c r="B26" i="7"/>
  <c r="Q26" i="7"/>
  <c r="N26" i="7"/>
  <c r="I26" i="7"/>
  <c r="X26" i="7"/>
  <c r="U26" i="7"/>
  <c r="H26" i="7"/>
  <c r="Y25" i="7"/>
  <c r="R25" i="7"/>
  <c r="AC25" i="7" s="1"/>
  <c r="AA25" i="7"/>
  <c r="D31" i="7" l="1"/>
  <c r="AL26" i="7"/>
  <c r="AM26" i="7"/>
  <c r="AN26" i="7"/>
  <c r="AK26" i="7"/>
  <c r="R26" i="7"/>
  <c r="AC26" i="7" s="1"/>
  <c r="Y26" i="7"/>
  <c r="Z26" i="7"/>
  <c r="AA26" i="7"/>
  <c r="B27" i="7"/>
  <c r="Q27" i="7"/>
  <c r="I27" i="7"/>
  <c r="H27" i="7"/>
  <c r="AK27" i="7" s="1"/>
  <c r="AB25" i="7"/>
  <c r="AD25" i="7" s="1"/>
  <c r="AE25" i="7" s="1"/>
  <c r="AF25" i="7" s="1"/>
  <c r="AG25" i="7" s="1"/>
  <c r="D32" i="7" l="1"/>
  <c r="AL27" i="7"/>
  <c r="AM27" i="7"/>
  <c r="AN27" i="7"/>
  <c r="AB26" i="7"/>
  <c r="AD26" i="7" s="1"/>
  <c r="AE26" i="7" s="1"/>
  <c r="AF26" i="7" s="1"/>
  <c r="AG26" i="7" s="1"/>
  <c r="AC27" i="7"/>
  <c r="AE27" i="7" s="1"/>
  <c r="AF27" i="7" s="1"/>
  <c r="AG27" i="7" s="1"/>
  <c r="X28" i="7"/>
  <c r="B28" i="7"/>
  <c r="U28" i="7"/>
  <c r="Q28" i="7"/>
  <c r="N28" i="7"/>
  <c r="I28" i="7"/>
  <c r="H28" i="7"/>
  <c r="D33" i="7" l="1"/>
  <c r="AM28" i="7"/>
  <c r="AN28" i="7"/>
  <c r="AK28" i="7"/>
  <c r="AL28" i="7"/>
  <c r="Y28" i="7"/>
  <c r="Q29" i="7"/>
  <c r="N29" i="7"/>
  <c r="H29" i="7"/>
  <c r="I29" i="7"/>
  <c r="B29" i="7"/>
  <c r="X29" i="7"/>
  <c r="U29" i="7"/>
  <c r="Z28" i="7"/>
  <c r="R28" i="7"/>
  <c r="AC28" i="7" s="1"/>
  <c r="AA28" i="7"/>
  <c r="D34" i="7" l="1"/>
  <c r="AM29" i="7"/>
  <c r="AL29" i="7"/>
  <c r="AK29" i="7"/>
  <c r="AN29" i="7"/>
  <c r="AA29" i="7"/>
  <c r="R29" i="7"/>
  <c r="AC29" i="7" s="1"/>
  <c r="Y29" i="7"/>
  <c r="AB28" i="7"/>
  <c r="AD28" i="7" s="1"/>
  <c r="AE28" i="7" s="1"/>
  <c r="AF28" i="7" s="1"/>
  <c r="AG28" i="7" s="1"/>
  <c r="Z29" i="7"/>
  <c r="I30" i="7"/>
  <c r="U30" i="7"/>
  <c r="H30" i="7"/>
  <c r="Q30" i="7"/>
  <c r="N30" i="7"/>
  <c r="X30" i="7"/>
  <c r="B30" i="7"/>
  <c r="D35" i="7" l="1"/>
  <c r="AN30" i="7"/>
  <c r="AK30" i="7"/>
  <c r="AL30" i="7"/>
  <c r="AM30" i="7"/>
  <c r="AA30" i="7"/>
  <c r="U31" i="7"/>
  <c r="H31" i="7"/>
  <c r="I31" i="7"/>
  <c r="B31" i="7"/>
  <c r="N31" i="7"/>
  <c r="X31" i="7"/>
  <c r="Q31" i="7"/>
  <c r="Y30" i="7"/>
  <c r="R30" i="7"/>
  <c r="AC30" i="7" s="1"/>
  <c r="Z30" i="7"/>
  <c r="AB29" i="7"/>
  <c r="AD29" i="7" s="1"/>
  <c r="AE29" i="7" s="1"/>
  <c r="AF29" i="7" s="1"/>
  <c r="AG29" i="7" s="1"/>
  <c r="D36" i="7" l="1"/>
  <c r="AK31" i="7"/>
  <c r="AM31" i="7"/>
  <c r="AL31" i="7"/>
  <c r="AN31" i="7"/>
  <c r="AB30" i="7"/>
  <c r="AD30" i="7" s="1"/>
  <c r="AE30" i="7" s="1"/>
  <c r="AF30" i="7" s="1"/>
  <c r="AG30" i="7" s="1"/>
  <c r="R31" i="7"/>
  <c r="AC31" i="7" s="1"/>
  <c r="Y31" i="7"/>
  <c r="Z31" i="7"/>
  <c r="B32" i="7"/>
  <c r="H32" i="7"/>
  <c r="Q32" i="7"/>
  <c r="N32" i="7"/>
  <c r="X32" i="7"/>
  <c r="U32" i="7"/>
  <c r="I32" i="7"/>
  <c r="AA31" i="7"/>
  <c r="D37" i="7" l="1"/>
  <c r="AM32" i="7"/>
  <c r="AK32" i="7"/>
  <c r="AN32" i="7"/>
  <c r="AL32" i="7"/>
  <c r="AB31" i="7"/>
  <c r="AD31" i="7" s="1"/>
  <c r="AE31" i="7" s="1"/>
  <c r="AF31" i="7" s="1"/>
  <c r="AG31" i="7" s="1"/>
  <c r="R32" i="7"/>
  <c r="AC32" i="7" s="1"/>
  <c r="Z32" i="7"/>
  <c r="X33" i="7"/>
  <c r="B33" i="7"/>
  <c r="U33" i="7"/>
  <c r="Q33" i="7"/>
  <c r="N33" i="7"/>
  <c r="I33" i="7"/>
  <c r="H33" i="7"/>
  <c r="AA32" i="7"/>
  <c r="Y32" i="7"/>
  <c r="D38" i="7" l="1"/>
  <c r="AN33" i="7"/>
  <c r="AK33" i="7"/>
  <c r="AL33" i="7"/>
  <c r="AM33" i="7"/>
  <c r="AA33" i="7"/>
  <c r="Z33" i="7"/>
  <c r="AB32" i="7"/>
  <c r="AD32" i="7" s="1"/>
  <c r="AE32" i="7" s="1"/>
  <c r="AF32" i="7" s="1"/>
  <c r="AG32" i="7" s="1"/>
  <c r="R33" i="7"/>
  <c r="AC33" i="7" s="1"/>
  <c r="U34" i="7"/>
  <c r="N34" i="7"/>
  <c r="I34" i="7"/>
  <c r="H34" i="7"/>
  <c r="B34" i="7"/>
  <c r="X34" i="7"/>
  <c r="Q34" i="7"/>
  <c r="Y33" i="7"/>
  <c r="D39" i="7" l="1"/>
  <c r="AK34" i="7"/>
  <c r="AN34" i="7"/>
  <c r="AL34" i="7"/>
  <c r="AM34" i="7"/>
  <c r="R34" i="7"/>
  <c r="AC34" i="7" s="1"/>
  <c r="AB33" i="7"/>
  <c r="AD33" i="7" s="1"/>
  <c r="AE33" i="7" s="1"/>
  <c r="AF33" i="7" s="1"/>
  <c r="AG33" i="7" s="1"/>
  <c r="AA34" i="7"/>
  <c r="U35" i="7"/>
  <c r="Q35" i="7"/>
  <c r="X35" i="7"/>
  <c r="B35" i="7"/>
  <c r="N35" i="7"/>
  <c r="I35" i="7"/>
  <c r="H35" i="7"/>
  <c r="Y34" i="7"/>
  <c r="Z34" i="7"/>
  <c r="D40" i="7" l="1"/>
  <c r="AK35" i="7"/>
  <c r="AN35" i="7"/>
  <c r="AL35" i="7"/>
  <c r="AM35" i="7"/>
  <c r="R35" i="7"/>
  <c r="AC35" i="7" s="1"/>
  <c r="AA35" i="7"/>
  <c r="B36" i="7"/>
  <c r="U36" i="7"/>
  <c r="N36" i="7"/>
  <c r="I36" i="7"/>
  <c r="H36" i="7"/>
  <c r="X36" i="7"/>
  <c r="Q36" i="7"/>
  <c r="Z35" i="7"/>
  <c r="Y35" i="7"/>
  <c r="AB34" i="7"/>
  <c r="AD34" i="7" s="1"/>
  <c r="AE34" i="7" s="1"/>
  <c r="AF34" i="7" s="1"/>
  <c r="AG34" i="7" s="1"/>
  <c r="D41" i="7" l="1"/>
  <c r="AK36" i="7"/>
  <c r="AL36" i="7"/>
  <c r="AN36" i="7"/>
  <c r="AM36" i="7"/>
  <c r="R36" i="7"/>
  <c r="AC36" i="7" s="1"/>
  <c r="Z36" i="7"/>
  <c r="AB35" i="7"/>
  <c r="AD35" i="7" s="1"/>
  <c r="AE35" i="7" s="1"/>
  <c r="AF35" i="7" s="1"/>
  <c r="AG35" i="7" s="1"/>
  <c r="AA36" i="7"/>
  <c r="X37" i="7"/>
  <c r="Q37" i="7"/>
  <c r="N37" i="7"/>
  <c r="U37" i="7"/>
  <c r="I37" i="7"/>
  <c r="H37" i="7"/>
  <c r="B37" i="7"/>
  <c r="Y36" i="7"/>
  <c r="D42" i="7" l="1"/>
  <c r="AK37" i="7"/>
  <c r="AM37" i="7"/>
  <c r="AN37" i="7"/>
  <c r="AL37" i="7"/>
  <c r="AA37" i="7"/>
  <c r="Y37" i="7"/>
  <c r="AB36" i="7"/>
  <c r="AD36" i="7" s="1"/>
  <c r="AE36" i="7" s="1"/>
  <c r="AF36" i="7" s="1"/>
  <c r="AG36" i="7" s="1"/>
  <c r="Q38" i="7"/>
  <c r="N38" i="7"/>
  <c r="B38" i="7"/>
  <c r="X38" i="7"/>
  <c r="H38" i="7"/>
  <c r="I38" i="7"/>
  <c r="U38" i="7"/>
  <c r="Z37" i="7"/>
  <c r="R37" i="7"/>
  <c r="AC37" i="7" s="1"/>
  <c r="D43" i="7" l="1"/>
  <c r="AM38" i="7"/>
  <c r="AN38" i="7"/>
  <c r="AK38" i="7"/>
  <c r="AL38" i="7"/>
  <c r="AA38" i="7"/>
  <c r="AB37" i="7"/>
  <c r="AD37" i="7" s="1"/>
  <c r="AE37" i="7" s="1"/>
  <c r="AF37" i="7" s="1"/>
  <c r="AG37" i="7" s="1"/>
  <c r="R38" i="7"/>
  <c r="AC38" i="7" s="1"/>
  <c r="Z38" i="7"/>
  <c r="U39" i="7"/>
  <c r="X39" i="7"/>
  <c r="Q39" i="7"/>
  <c r="B39" i="7"/>
  <c r="H39" i="7"/>
  <c r="I39" i="7"/>
  <c r="N39" i="7"/>
  <c r="Y38" i="7"/>
  <c r="D44" i="7" l="1"/>
  <c r="AK39" i="7"/>
  <c r="AL39" i="7"/>
  <c r="AN39" i="7"/>
  <c r="AM39" i="7"/>
  <c r="Y39" i="7"/>
  <c r="AB38" i="7"/>
  <c r="AD38" i="7" s="1"/>
  <c r="AE38" i="7" s="1"/>
  <c r="AF38" i="7" s="1"/>
  <c r="AG38" i="7" s="1"/>
  <c r="Z39" i="7"/>
  <c r="U40" i="7"/>
  <c r="Q40" i="7"/>
  <c r="H40" i="7"/>
  <c r="N40" i="7"/>
  <c r="B40" i="7"/>
  <c r="X40" i="7"/>
  <c r="I40" i="7"/>
  <c r="AA39" i="7"/>
  <c r="R39" i="7"/>
  <c r="AC39" i="7" s="1"/>
  <c r="D45" i="7" l="1"/>
  <c r="AN40" i="7"/>
  <c r="AL40" i="7"/>
  <c r="AK40" i="7"/>
  <c r="AM40" i="7"/>
  <c r="Y40" i="7"/>
  <c r="AB39" i="7"/>
  <c r="AD39" i="7" s="1"/>
  <c r="AE39" i="7" s="1"/>
  <c r="AF39" i="7" s="1"/>
  <c r="AG39" i="7" s="1"/>
  <c r="R40" i="7"/>
  <c r="AC40" i="7" s="1"/>
  <c r="B41" i="7"/>
  <c r="U41" i="7"/>
  <c r="X41" i="7"/>
  <c r="N41" i="7"/>
  <c r="I41" i="7"/>
  <c r="H41" i="7"/>
  <c r="Q41" i="7"/>
  <c r="AA40" i="7"/>
  <c r="Z40" i="7"/>
  <c r="D46" i="7" l="1"/>
  <c r="AN41" i="7"/>
  <c r="AM41" i="7"/>
  <c r="AL41" i="7"/>
  <c r="AK41" i="7"/>
  <c r="AA41" i="7"/>
  <c r="R41" i="7"/>
  <c r="AC41" i="7" s="1"/>
  <c r="AB40" i="7"/>
  <c r="AD40" i="7" s="1"/>
  <c r="AE40" i="7" s="1"/>
  <c r="AF40" i="7" s="1"/>
  <c r="AG40" i="7" s="1"/>
  <c r="Z41" i="7"/>
  <c r="Y41" i="7"/>
  <c r="U42" i="7"/>
  <c r="X42" i="7"/>
  <c r="Q42" i="7"/>
  <c r="N42" i="7"/>
  <c r="B42" i="7"/>
  <c r="I42" i="7"/>
  <c r="H42" i="7"/>
  <c r="AK42" i="7" l="1"/>
  <c r="AL42" i="7"/>
  <c r="AN42" i="7"/>
  <c r="AM42" i="7"/>
  <c r="AA42" i="7"/>
  <c r="AB41" i="7"/>
  <c r="AD41" i="7" s="1"/>
  <c r="AE41" i="7" s="1"/>
  <c r="AF41" i="7" s="1"/>
  <c r="AG41" i="7" s="1"/>
  <c r="Z42" i="7"/>
  <c r="R42" i="7"/>
  <c r="AC42" i="7" s="1"/>
  <c r="B43" i="7"/>
  <c r="N43" i="7"/>
  <c r="I43" i="7"/>
  <c r="H43" i="7"/>
  <c r="U43" i="7"/>
  <c r="X43" i="7"/>
  <c r="Q43" i="7"/>
  <c r="Y42" i="7"/>
  <c r="AN43" i="7" l="1"/>
  <c r="AK43" i="7"/>
  <c r="AL43" i="7"/>
  <c r="AM43" i="7"/>
  <c r="AA43" i="7"/>
  <c r="AB42" i="7"/>
  <c r="AD42" i="7" s="1"/>
  <c r="AE42" i="7" s="1"/>
  <c r="AF42" i="7" s="1"/>
  <c r="AG42" i="7" s="1"/>
  <c r="R43" i="7"/>
  <c r="AC43" i="7" s="1"/>
  <c r="Z43" i="7"/>
  <c r="Y43" i="7"/>
  <c r="B44" i="7"/>
  <c r="X44" i="7"/>
  <c r="U44" i="7"/>
  <c r="Q44" i="7"/>
  <c r="H44" i="7"/>
  <c r="N44" i="7"/>
  <c r="I44" i="7"/>
  <c r="AL44" i="7" l="1"/>
  <c r="AK44" i="7"/>
  <c r="AM44" i="7"/>
  <c r="AN44" i="7"/>
  <c r="AB43" i="7"/>
  <c r="AD43" i="7" s="1"/>
  <c r="AE43" i="7" s="1"/>
  <c r="AF43" i="7" s="1"/>
  <c r="AG43" i="7" s="1"/>
  <c r="R44" i="7"/>
  <c r="AC44" i="7" s="1"/>
  <c r="X45" i="7"/>
  <c r="B45" i="7"/>
  <c r="N45" i="7"/>
  <c r="I45" i="7"/>
  <c r="H45" i="7"/>
  <c r="Q45" i="7"/>
  <c r="U45" i="7"/>
  <c r="AA44" i="7"/>
  <c r="Z44" i="7"/>
  <c r="Y44" i="7"/>
  <c r="AN45" i="7" l="1"/>
  <c r="AM45" i="7"/>
  <c r="AL45" i="7"/>
  <c r="AK45" i="7"/>
  <c r="AA45" i="7"/>
  <c r="AB44" i="7"/>
  <c r="AD44" i="7" s="1"/>
  <c r="AE44" i="7" s="1"/>
  <c r="AF44" i="7" s="1"/>
  <c r="AG44" i="7" s="1"/>
  <c r="Y45" i="7"/>
  <c r="R45" i="7"/>
  <c r="AC45" i="7" s="1"/>
  <c r="Q46" i="7"/>
  <c r="I46" i="7"/>
  <c r="U46" i="7"/>
  <c r="X46" i="7"/>
  <c r="N46" i="7"/>
  <c r="B46" i="7"/>
  <c r="H46" i="7"/>
  <c r="Z45" i="7"/>
  <c r="AK46" i="7" l="1"/>
  <c r="AN46" i="7"/>
  <c r="AM46" i="7"/>
  <c r="AL46" i="7"/>
  <c r="AA46" i="7"/>
  <c r="AB45" i="7"/>
  <c r="AD45" i="7" s="1"/>
  <c r="AE45" i="7" s="1"/>
  <c r="AF45" i="7" s="1"/>
  <c r="AG45" i="7" s="1"/>
  <c r="R46" i="7"/>
  <c r="AC46" i="7" s="1"/>
  <c r="U48" i="7"/>
  <c r="Q48" i="7"/>
  <c r="H48" i="7"/>
  <c r="I48" i="7"/>
  <c r="X48" i="7"/>
  <c r="N48" i="7"/>
  <c r="Z46" i="7"/>
  <c r="Y46" i="7"/>
  <c r="AL48" i="7" l="1"/>
  <c r="AK48" i="7"/>
  <c r="AN48" i="7"/>
  <c r="AM48" i="7"/>
  <c r="AB46" i="7"/>
  <c r="AD46" i="7" s="1"/>
  <c r="AE46" i="7" s="1"/>
  <c r="AF46" i="7" s="1"/>
  <c r="AG46" i="7" s="1"/>
  <c r="AA48" i="7"/>
  <c r="U49" i="7"/>
  <c r="I49" i="7"/>
  <c r="H49" i="7"/>
  <c r="X49" i="7"/>
  <c r="N49" i="7"/>
  <c r="Q49" i="7"/>
  <c r="Y48" i="7"/>
  <c r="R48" i="7"/>
  <c r="AC48" i="7" s="1"/>
  <c r="Z48" i="7"/>
  <c r="AL49" i="7" l="1"/>
  <c r="AM49" i="7"/>
  <c r="AN49" i="7"/>
  <c r="AK49" i="7"/>
  <c r="Y49" i="7"/>
  <c r="AB48" i="7"/>
  <c r="AD48" i="7" s="1"/>
  <c r="AE48" i="7" s="1"/>
  <c r="AF48" i="7" s="1"/>
  <c r="AG48" i="7" s="1"/>
  <c r="R49" i="7"/>
  <c r="AC49" i="7" s="1"/>
  <c r="Z49" i="7"/>
  <c r="AA49" i="7"/>
  <c r="X50" i="7"/>
  <c r="U50" i="7"/>
  <c r="Q50" i="7"/>
  <c r="N50" i="7"/>
  <c r="I50" i="7"/>
  <c r="H50" i="7"/>
  <c r="AL50" i="7" l="1"/>
  <c r="AM50" i="7"/>
  <c r="AN50" i="7"/>
  <c r="AK50" i="7"/>
  <c r="AA50" i="7"/>
  <c r="AB49" i="7"/>
  <c r="AD49" i="7" s="1"/>
  <c r="AE49" i="7" s="1"/>
  <c r="AF49" i="7" s="1"/>
  <c r="AG49" i="7" s="1"/>
  <c r="R50" i="7"/>
  <c r="AC50" i="7" s="1"/>
  <c r="Y50" i="7"/>
  <c r="X51" i="7"/>
  <c r="U51" i="7"/>
  <c r="N51" i="7"/>
  <c r="I51" i="7"/>
  <c r="H51" i="7"/>
  <c r="Q51" i="7"/>
  <c r="Z50" i="7"/>
  <c r="AL51" i="7" l="1"/>
  <c r="AK51" i="7"/>
  <c r="AM51" i="7"/>
  <c r="AN51" i="7"/>
  <c r="AA51" i="7"/>
  <c r="R51" i="7"/>
  <c r="AC51" i="7" s="1"/>
  <c r="Y51" i="7"/>
  <c r="U52" i="7"/>
  <c r="Q52" i="7"/>
  <c r="N52" i="7"/>
  <c r="I52" i="7"/>
  <c r="H52" i="7"/>
  <c r="X52" i="7"/>
  <c r="Z51" i="7"/>
  <c r="AB50" i="7"/>
  <c r="AD50" i="7" s="1"/>
  <c r="AE50" i="7" s="1"/>
  <c r="AF50" i="7" s="1"/>
  <c r="AG50" i="7" s="1"/>
  <c r="AK52" i="7" l="1"/>
  <c r="AL52" i="7"/>
  <c r="AN52" i="7"/>
  <c r="AM52" i="7"/>
  <c r="R52" i="7"/>
  <c r="AC52" i="7" s="1"/>
  <c r="Y52" i="7"/>
  <c r="X53" i="7"/>
  <c r="N53" i="7"/>
  <c r="I53" i="7"/>
  <c r="U53" i="7"/>
  <c r="H53" i="7"/>
  <c r="Q53" i="7"/>
  <c r="Z52" i="7"/>
  <c r="AA52" i="7"/>
  <c r="AB51" i="7"/>
  <c r="AD51" i="7" s="1"/>
  <c r="AE51" i="7" s="1"/>
  <c r="AF51" i="7" s="1"/>
  <c r="AG51" i="7" s="1"/>
  <c r="AN53" i="7" l="1"/>
  <c r="AM53" i="7"/>
  <c r="AL53" i="7"/>
  <c r="AK53" i="7"/>
  <c r="AA53" i="7"/>
  <c r="U54" i="7"/>
  <c r="Q54" i="7"/>
  <c r="N54" i="7"/>
  <c r="I54" i="7"/>
  <c r="H54" i="7"/>
  <c r="X54" i="7"/>
  <c r="Y53" i="7"/>
  <c r="Z53" i="7"/>
  <c r="AB52" i="7"/>
  <c r="AD52" i="7" s="1"/>
  <c r="AE52" i="7" s="1"/>
  <c r="AF52" i="7" s="1"/>
  <c r="AG52" i="7" s="1"/>
  <c r="R53" i="7"/>
  <c r="AC53" i="7" s="1"/>
  <c r="AL54" i="7" l="1"/>
  <c r="AK54" i="7"/>
  <c r="AM54" i="7"/>
  <c r="AN54" i="7"/>
  <c r="AA54" i="7"/>
  <c r="AB53" i="7"/>
  <c r="AD53" i="7" s="1"/>
  <c r="AE53" i="7" s="1"/>
  <c r="AF53" i="7" s="1"/>
  <c r="AG53" i="7" s="1"/>
  <c r="Z54" i="7"/>
  <c r="R54" i="7"/>
  <c r="AC54" i="7" s="1"/>
  <c r="Q55" i="7"/>
  <c r="H55" i="7"/>
  <c r="AK55" i="7" s="1"/>
  <c r="I55" i="7"/>
  <c r="Y54" i="7"/>
  <c r="AL55" i="7" l="1"/>
  <c r="AM55" i="7"/>
  <c r="AN55" i="7"/>
  <c r="AB54" i="7"/>
  <c r="AD54" i="7" s="1"/>
  <c r="AE54" i="7" s="1"/>
  <c r="AF54" i="7" s="1"/>
  <c r="AG54" i="7" s="1"/>
  <c r="AC55" i="7"/>
  <c r="U56" i="7"/>
  <c r="Q56" i="7"/>
  <c r="X56" i="7"/>
  <c r="I56" i="7"/>
  <c r="H56" i="7"/>
  <c r="N56" i="7"/>
  <c r="AN56" i="7" l="1"/>
  <c r="AL56" i="7"/>
  <c r="AM56" i="7"/>
  <c r="AK56" i="7"/>
  <c r="AA56" i="7"/>
  <c r="X57" i="7"/>
  <c r="N57" i="7"/>
  <c r="U57" i="7"/>
  <c r="I57" i="7"/>
  <c r="H57" i="7"/>
  <c r="Q57" i="7"/>
  <c r="R56" i="7"/>
  <c r="AC56" i="7" s="1"/>
  <c r="Y56" i="7"/>
  <c r="AE55" i="7"/>
  <c r="AF55" i="7" s="1"/>
  <c r="AG55" i="7" s="1"/>
  <c r="Z56" i="7"/>
  <c r="AK57" i="7" l="1"/>
  <c r="AL57" i="7"/>
  <c r="AM57" i="7"/>
  <c r="AN57" i="7"/>
  <c r="Z57" i="7"/>
  <c r="R57" i="7"/>
  <c r="AC57" i="7" s="1"/>
  <c r="AB56" i="7"/>
  <c r="AD56" i="7" s="1"/>
  <c r="AE56" i="7" s="1"/>
  <c r="AF56" i="7" s="1"/>
  <c r="AG56" i="7" s="1"/>
  <c r="AA57" i="7"/>
  <c r="Y57" i="7"/>
  <c r="U58" i="7"/>
  <c r="X58" i="7"/>
  <c r="N58" i="7"/>
  <c r="I58" i="7"/>
  <c r="H58" i="7"/>
  <c r="Q58" i="7"/>
  <c r="AK58" i="7" l="1"/>
  <c r="AN58" i="7"/>
  <c r="AM58" i="7"/>
  <c r="AL58" i="7"/>
  <c r="AA58" i="7"/>
  <c r="U59" i="7"/>
  <c r="X59" i="7"/>
  <c r="Q59" i="7"/>
  <c r="H59" i="7"/>
  <c r="N59" i="7"/>
  <c r="I59" i="7"/>
  <c r="Y58" i="7"/>
  <c r="Z58" i="7"/>
  <c r="AB57" i="7"/>
  <c r="AD57" i="7" s="1"/>
  <c r="AE57" i="7" s="1"/>
  <c r="AF57" i="7" s="1"/>
  <c r="AG57" i="7" s="1"/>
  <c r="R58" i="7"/>
  <c r="AC58" i="7" s="1"/>
  <c r="AN59" i="7" l="1"/>
  <c r="AL59" i="7"/>
  <c r="AM59" i="7"/>
  <c r="AK59" i="7"/>
  <c r="AA59" i="7"/>
  <c r="R59" i="7"/>
  <c r="AC59" i="7" s="1"/>
  <c r="AB58" i="7"/>
  <c r="AD58" i="7" s="1"/>
  <c r="AE58" i="7" s="1"/>
  <c r="AF58" i="7" s="1"/>
  <c r="AG58" i="7" s="1"/>
  <c r="Z59" i="7"/>
  <c r="X60" i="7"/>
  <c r="N60" i="7"/>
  <c r="U60" i="7"/>
  <c r="I60" i="7"/>
  <c r="H60" i="7"/>
  <c r="Q60" i="7"/>
  <c r="Y59" i="7"/>
  <c r="AM60" i="7" l="1"/>
  <c r="AK60" i="7"/>
  <c r="AN60" i="7"/>
  <c r="AL60" i="7"/>
  <c r="AA60" i="7"/>
  <c r="R60" i="7"/>
  <c r="AC60" i="7" s="1"/>
  <c r="U61" i="7"/>
  <c r="X61" i="7"/>
  <c r="Q61" i="7"/>
  <c r="N61" i="7"/>
  <c r="I61" i="7"/>
  <c r="H61" i="7"/>
  <c r="Y60" i="7"/>
  <c r="Z60" i="7"/>
  <c r="AB59" i="7"/>
  <c r="AD59" i="7" s="1"/>
  <c r="AE59" i="7" s="1"/>
  <c r="AF59" i="7" s="1"/>
  <c r="AG59" i="7" s="1"/>
  <c r="AK61" i="7" l="1"/>
  <c r="AL61" i="7"/>
  <c r="AN61" i="7"/>
  <c r="AM61" i="7"/>
  <c r="R61" i="7"/>
  <c r="AC61" i="7" s="1"/>
  <c r="Z61" i="7"/>
  <c r="Y61" i="7"/>
  <c r="AB60" i="7"/>
  <c r="AD60" i="7" s="1"/>
  <c r="AE60" i="7" s="1"/>
  <c r="AF60" i="7" s="1"/>
  <c r="AG60" i="7" s="1"/>
  <c r="Q62" i="7"/>
  <c r="I62" i="7"/>
  <c r="H62" i="7"/>
  <c r="U62" i="7"/>
  <c r="X62" i="7"/>
  <c r="N62" i="7"/>
  <c r="AA61" i="7"/>
  <c r="AN62" i="7" l="1"/>
  <c r="AM62" i="7"/>
  <c r="AK62" i="7"/>
  <c r="AL62" i="7"/>
  <c r="AB61" i="7"/>
  <c r="AD61" i="7" s="1"/>
  <c r="AE61" i="7" s="1"/>
  <c r="AF61" i="7" s="1"/>
  <c r="AG61" i="7" s="1"/>
  <c r="Z62" i="7"/>
  <c r="R62" i="7"/>
  <c r="AC62" i="7" s="1"/>
  <c r="AA62" i="7"/>
  <c r="Y62" i="7"/>
  <c r="X63" i="7"/>
  <c r="N63" i="7"/>
  <c r="U63" i="7"/>
  <c r="H63" i="7"/>
  <c r="I63" i="7"/>
  <c r="Q63" i="7"/>
  <c r="AN63" i="7" l="1"/>
  <c r="AL63" i="7"/>
  <c r="AM63" i="7"/>
  <c r="AK63" i="7"/>
  <c r="Z63" i="7"/>
  <c r="AB62" i="7"/>
  <c r="AD62" i="7" s="1"/>
  <c r="AE62" i="7" s="1"/>
  <c r="AF62" i="7" s="1"/>
  <c r="AG62" i="7" s="1"/>
  <c r="AA63" i="7"/>
  <c r="R63" i="7"/>
  <c r="AC63" i="7" s="1"/>
  <c r="Y63" i="7"/>
  <c r="AB63" i="7" l="1"/>
  <c r="AD63" i="7" s="1"/>
  <c r="AE63" i="7" s="1"/>
  <c r="AF63" i="7" s="1"/>
  <c r="AG63" i="7" s="1"/>
  <c r="X64" i="7"/>
  <c r="U64" i="7"/>
  <c r="N64" i="7"/>
  <c r="I64" i="7"/>
  <c r="H64" i="7"/>
  <c r="Q64" i="7"/>
  <c r="AN64" i="7" l="1"/>
  <c r="AL64" i="7"/>
  <c r="AK64" i="7"/>
  <c r="AM64" i="7"/>
  <c r="Z64" i="7"/>
  <c r="AA64" i="7"/>
  <c r="Y64" i="7"/>
  <c r="R64" i="7"/>
  <c r="AC64" i="7" s="1"/>
  <c r="AB64" i="7" l="1"/>
  <c r="AD64" i="7" s="1"/>
  <c r="AE64" i="7" s="1"/>
  <c r="AF64" i="7" s="1"/>
  <c r="AG64" i="7" s="1"/>
  <c r="U65" i="7" l="1"/>
  <c r="H65" i="7"/>
  <c r="X65" i="7"/>
  <c r="Q65" i="7"/>
  <c r="N65" i="7"/>
  <c r="I65" i="7"/>
  <c r="AL65" i="7" l="1"/>
  <c r="AN65" i="7"/>
  <c r="AK65" i="7"/>
  <c r="AM65" i="7"/>
  <c r="AA65" i="7"/>
  <c r="Z65" i="7"/>
  <c r="R65" i="7"/>
  <c r="AC65" i="7" s="1"/>
  <c r="Y65" i="7"/>
  <c r="AB65" i="7" l="1"/>
  <c r="AD65" i="7" s="1"/>
  <c r="AE65" i="7" s="1"/>
  <c r="AF65" i="7" s="1"/>
  <c r="AG65" i="7" s="1"/>
  <c r="X66" i="7" l="1"/>
  <c r="H66" i="7"/>
  <c r="Q66" i="7"/>
  <c r="U66" i="7"/>
  <c r="N66" i="7"/>
  <c r="I66" i="7"/>
  <c r="AK66" i="7" l="1"/>
  <c r="AM66" i="7"/>
  <c r="AL66" i="7"/>
  <c r="AN66" i="7"/>
  <c r="Z66" i="7"/>
  <c r="R66" i="7"/>
  <c r="AC66" i="7" s="1"/>
  <c r="AA66" i="7"/>
  <c r="Y66" i="7"/>
  <c r="U67" i="7"/>
  <c r="X67" i="7"/>
  <c r="I67" i="7"/>
  <c r="H67" i="7"/>
  <c r="Q67" i="7"/>
  <c r="N67" i="7"/>
  <c r="AM67" i="7" l="1"/>
  <c r="AN67" i="7"/>
  <c r="AK67" i="7"/>
  <c r="AL67" i="7"/>
  <c r="AB66" i="7"/>
  <c r="AD66" i="7" s="1"/>
  <c r="AE66" i="7" s="1"/>
  <c r="AF66" i="7" s="1"/>
  <c r="AG66" i="7" s="1"/>
  <c r="R67" i="7"/>
  <c r="AC67" i="7" s="1"/>
  <c r="Z67" i="7"/>
  <c r="X68" i="7"/>
  <c r="N68" i="7"/>
  <c r="Q68" i="7"/>
  <c r="U68" i="7"/>
  <c r="I68" i="7"/>
  <c r="H68" i="7"/>
  <c r="Y67" i="7"/>
  <c r="AA67" i="7"/>
  <c r="AK68" i="7" l="1"/>
  <c r="AM68" i="7"/>
  <c r="AN68" i="7"/>
  <c r="AL68" i="7"/>
  <c r="AA68" i="7"/>
  <c r="Y68" i="7"/>
  <c r="Z68" i="7"/>
  <c r="I69" i="7"/>
  <c r="H69" i="7"/>
  <c r="X69" i="7"/>
  <c r="U69" i="7"/>
  <c r="Q69" i="7"/>
  <c r="N69" i="7"/>
  <c r="AB67" i="7"/>
  <c r="AD67" i="7" s="1"/>
  <c r="AE67" i="7" s="1"/>
  <c r="AF67" i="7" s="1"/>
  <c r="AG67" i="7" s="1"/>
  <c r="R68" i="7"/>
  <c r="AC68" i="7" s="1"/>
  <c r="AM69" i="7" l="1"/>
  <c r="AK69" i="7"/>
  <c r="AL69" i="7"/>
  <c r="AN69" i="7"/>
  <c r="AA69" i="7"/>
  <c r="U70" i="7"/>
  <c r="Q70" i="7"/>
  <c r="N70" i="7"/>
  <c r="X70" i="7"/>
  <c r="I70" i="7"/>
  <c r="H70" i="7"/>
  <c r="Y69" i="7"/>
  <c r="Z69" i="7"/>
  <c r="R69" i="7"/>
  <c r="AC69" i="7" s="1"/>
  <c r="AB68" i="7"/>
  <c r="AD68" i="7" s="1"/>
  <c r="AE68" i="7" s="1"/>
  <c r="AF68" i="7" s="1"/>
  <c r="AG68" i="7" s="1"/>
  <c r="AM70" i="7" l="1"/>
  <c r="AL70" i="7"/>
  <c r="AK70" i="7"/>
  <c r="AN70" i="7"/>
  <c r="AA70" i="7"/>
  <c r="R70" i="7"/>
  <c r="AC70" i="7" s="1"/>
  <c r="AB69" i="7"/>
  <c r="AD69" i="7" s="1"/>
  <c r="AE69" i="7" s="1"/>
  <c r="AF69" i="7" s="1"/>
  <c r="AG69" i="7" s="1"/>
  <c r="Z70" i="7"/>
  <c r="Q71" i="7"/>
  <c r="I71" i="7"/>
  <c r="H71" i="7"/>
  <c r="AK71" i="7" s="1"/>
  <c r="Y70" i="7"/>
  <c r="AL71" i="7" l="1"/>
  <c r="AM71" i="7"/>
  <c r="AN71" i="7"/>
  <c r="AB70" i="7"/>
  <c r="AD70" i="7" s="1"/>
  <c r="AE70" i="7" s="1"/>
  <c r="AF70" i="7" s="1"/>
  <c r="AG70" i="7" s="1"/>
  <c r="X72" i="7"/>
  <c r="U72" i="7"/>
  <c r="Q72" i="7"/>
  <c r="I72" i="7"/>
  <c r="N72" i="7"/>
  <c r="H72" i="7"/>
  <c r="AC71" i="7"/>
  <c r="AL72" i="7" l="1"/>
  <c r="AN72" i="7"/>
  <c r="AM72" i="7"/>
  <c r="AK72" i="7"/>
  <c r="Z72" i="7"/>
  <c r="AA72" i="7"/>
  <c r="Y72" i="7"/>
  <c r="AE71" i="7"/>
  <c r="AF71" i="7" s="1"/>
  <c r="AG71" i="7" s="1"/>
  <c r="X73" i="7"/>
  <c r="U73" i="7"/>
  <c r="H73" i="7"/>
  <c r="I73" i="7"/>
  <c r="Q73" i="7"/>
  <c r="N73" i="7"/>
  <c r="R72" i="7"/>
  <c r="AC72" i="7" s="1"/>
  <c r="AL73" i="7" l="1"/>
  <c r="AM73" i="7"/>
  <c r="AN73" i="7"/>
  <c r="AK73" i="7"/>
  <c r="AA73" i="7"/>
  <c r="AB72" i="7"/>
  <c r="AD72" i="7" s="1"/>
  <c r="AE72" i="7" s="1"/>
  <c r="AF72" i="7" s="1"/>
  <c r="AG72" i="7" s="1"/>
  <c r="H74" i="7"/>
  <c r="U74" i="7"/>
  <c r="I74" i="7"/>
  <c r="X74" i="7"/>
  <c r="Q74" i="7"/>
  <c r="N74" i="7"/>
  <c r="Z73" i="7"/>
  <c r="R73" i="7"/>
  <c r="AC73" i="7" s="1"/>
  <c r="Y73" i="7"/>
  <c r="AN74" i="7" l="1"/>
  <c r="AL74" i="7"/>
  <c r="AM74" i="7"/>
  <c r="AK74" i="7"/>
  <c r="Z74" i="7"/>
  <c r="AB73" i="7"/>
  <c r="AD73" i="7" s="1"/>
  <c r="AE73" i="7" s="1"/>
  <c r="AF73" i="7" s="1"/>
  <c r="AG73" i="7" s="1"/>
  <c r="X75" i="7"/>
  <c r="U75" i="7"/>
  <c r="I75" i="7"/>
  <c r="Q75" i="7"/>
  <c r="N75" i="7"/>
  <c r="H75" i="7"/>
  <c r="AA74" i="7"/>
  <c r="Y74" i="7"/>
  <c r="R74" i="7"/>
  <c r="AC74" i="7" s="1"/>
  <c r="AL75" i="7" l="1"/>
  <c r="AM75" i="7"/>
  <c r="AK75" i="7"/>
  <c r="AN75" i="7"/>
  <c r="AA75" i="7"/>
  <c r="AB74" i="7"/>
  <c r="AD74" i="7" s="1"/>
  <c r="AE74" i="7" s="1"/>
  <c r="AF74" i="7" s="1"/>
  <c r="AG74" i="7" s="1"/>
  <c r="Q76" i="7"/>
  <c r="I76" i="7"/>
  <c r="H76" i="7"/>
  <c r="AK76" i="7" s="1"/>
  <c r="Y75" i="7"/>
  <c r="Z75" i="7"/>
  <c r="R75" i="7"/>
  <c r="AC75" i="7" s="1"/>
  <c r="AM76" i="7" l="1"/>
  <c r="AN76" i="7"/>
  <c r="AL76" i="7"/>
  <c r="AB75" i="7"/>
  <c r="AD75" i="7" s="1"/>
  <c r="AE75" i="7" s="1"/>
  <c r="AF75" i="7" s="1"/>
  <c r="AG75" i="7" s="1"/>
  <c r="X77" i="7"/>
  <c r="U77" i="7"/>
  <c r="H77" i="7"/>
  <c r="N77" i="7"/>
  <c r="Q77" i="7"/>
  <c r="I77" i="7"/>
  <c r="AC76" i="7"/>
  <c r="AE76" i="7" s="1"/>
  <c r="AF76" i="7" s="1"/>
  <c r="AG76" i="7" s="1"/>
  <c r="AN77" i="7" l="1"/>
  <c r="AM77" i="7"/>
  <c r="AL77" i="7"/>
  <c r="AK77" i="7"/>
  <c r="AA77" i="7"/>
  <c r="R77" i="7"/>
  <c r="AC77" i="7" s="1"/>
  <c r="Y77" i="7"/>
  <c r="Q78" i="7"/>
  <c r="N78" i="7"/>
  <c r="I78" i="7"/>
  <c r="U78" i="7"/>
  <c r="H78" i="7"/>
  <c r="X78" i="7"/>
  <c r="Z77" i="7"/>
  <c r="AM78" i="7" l="1"/>
  <c r="AN78" i="7"/>
  <c r="AK78" i="7"/>
  <c r="AL78" i="7"/>
  <c r="Z78" i="7"/>
  <c r="AB77" i="7"/>
  <c r="AD77" i="7" s="1"/>
  <c r="AE77" i="7" s="1"/>
  <c r="AF77" i="7" s="1"/>
  <c r="AG77" i="7" s="1"/>
  <c r="R78" i="7"/>
  <c r="AC78" i="7" s="1"/>
  <c r="X79" i="7"/>
  <c r="H79" i="7"/>
  <c r="I79" i="7"/>
  <c r="N79" i="7"/>
  <c r="Q79" i="7"/>
  <c r="U79" i="7"/>
  <c r="Y78" i="7"/>
  <c r="AA78" i="7"/>
  <c r="AK79" i="7" l="1"/>
  <c r="AL79" i="7"/>
  <c r="AN79" i="7"/>
  <c r="AM79" i="7"/>
  <c r="Z79" i="7"/>
  <c r="R79" i="7"/>
  <c r="AC79" i="7" s="1"/>
  <c r="I80" i="7"/>
  <c r="N80" i="7"/>
  <c r="X80" i="7"/>
  <c r="H80" i="7"/>
  <c r="U80" i="7"/>
  <c r="Q80" i="7"/>
  <c r="AB78" i="7"/>
  <c r="AD78" i="7" s="1"/>
  <c r="AE78" i="7" s="1"/>
  <c r="AF78" i="7" s="1"/>
  <c r="AG78" i="7" s="1"/>
  <c r="AA79" i="7"/>
  <c r="Y79" i="7"/>
  <c r="AL80" i="7" l="1"/>
  <c r="AM80" i="7"/>
  <c r="AN80" i="7"/>
  <c r="AK80" i="7"/>
  <c r="AB79" i="7"/>
  <c r="AD79" i="7" s="1"/>
  <c r="AE79" i="7" s="1"/>
  <c r="AF79" i="7" s="1"/>
  <c r="AG79" i="7" s="1"/>
  <c r="R80" i="7"/>
  <c r="AC80" i="7" s="1"/>
  <c r="Z80" i="7"/>
  <c r="AA80" i="7"/>
  <c r="X81" i="7"/>
  <c r="H81" i="7"/>
  <c r="U81" i="7"/>
  <c r="N81" i="7"/>
  <c r="Q81" i="7"/>
  <c r="I81" i="7"/>
  <c r="Y80" i="7"/>
  <c r="AL81" i="7" l="1"/>
  <c r="AK81" i="7"/>
  <c r="AM81" i="7"/>
  <c r="AN81" i="7"/>
  <c r="Z81" i="7"/>
  <c r="R81" i="7"/>
  <c r="AC81" i="7" s="1"/>
  <c r="AB80" i="7"/>
  <c r="AD80" i="7" s="1"/>
  <c r="AE80" i="7" s="1"/>
  <c r="AF80" i="7" s="1"/>
  <c r="AG80" i="7" s="1"/>
  <c r="H82" i="7"/>
  <c r="Q82" i="7"/>
  <c r="N82" i="7"/>
  <c r="I82" i="7"/>
  <c r="X82" i="7"/>
  <c r="U82" i="7"/>
  <c r="Y81" i="7"/>
  <c r="AA81" i="7"/>
  <c r="AN82" i="7" l="1"/>
  <c r="AM82" i="7"/>
  <c r="AK82" i="7"/>
  <c r="AL82" i="7"/>
  <c r="R82" i="7"/>
  <c r="AC82" i="7" s="1"/>
  <c r="AB81" i="7"/>
  <c r="AD81" i="7" s="1"/>
  <c r="AE81" i="7" s="1"/>
  <c r="AF81" i="7" s="1"/>
  <c r="AG81" i="7" s="1"/>
  <c r="AA82" i="7"/>
  <c r="Z82" i="7"/>
  <c r="U83" i="7"/>
  <c r="X83" i="7"/>
  <c r="Q83" i="7"/>
  <c r="N83" i="7"/>
  <c r="I83" i="7"/>
  <c r="H83" i="7"/>
  <c r="Y82" i="7"/>
  <c r="AL83" i="7" l="1"/>
  <c r="AK83" i="7"/>
  <c r="AM83" i="7"/>
  <c r="AN83" i="7"/>
  <c r="AA83" i="7"/>
  <c r="AB82" i="7"/>
  <c r="AD82" i="7" s="1"/>
  <c r="AE82" i="7" s="1"/>
  <c r="AF82" i="7" s="1"/>
  <c r="AG82" i="7" s="1"/>
  <c r="Z83" i="7"/>
  <c r="U84" i="7"/>
  <c r="X84" i="7"/>
  <c r="Q84" i="7"/>
  <c r="N84" i="7"/>
  <c r="H84" i="7"/>
  <c r="I84" i="7"/>
  <c r="Y83" i="7"/>
  <c r="R83" i="7"/>
  <c r="AC83" i="7" s="1"/>
  <c r="AK84" i="7" l="1"/>
  <c r="AL84" i="7"/>
  <c r="AM84" i="7"/>
  <c r="AN84" i="7"/>
  <c r="AB83" i="7"/>
  <c r="AD83" i="7" s="1"/>
  <c r="AE83" i="7" s="1"/>
  <c r="AF83" i="7" s="1"/>
  <c r="AG83" i="7" s="1"/>
  <c r="AA84" i="7"/>
  <c r="R84" i="7"/>
  <c r="AC84" i="7" s="1"/>
  <c r="Z84" i="7"/>
  <c r="Y84" i="7"/>
  <c r="X85" i="7"/>
  <c r="U85" i="7"/>
  <c r="I85" i="7"/>
  <c r="Q85" i="7"/>
  <c r="N85" i="7"/>
  <c r="H85" i="7"/>
  <c r="AL85" i="7" l="1"/>
  <c r="AK85" i="7"/>
  <c r="AM85" i="7"/>
  <c r="AN85" i="7"/>
  <c r="AB84" i="7"/>
  <c r="AD84" i="7" s="1"/>
  <c r="AE84" i="7" s="1"/>
  <c r="AF84" i="7" s="1"/>
  <c r="AG84" i="7" s="1"/>
  <c r="AA85" i="7"/>
  <c r="Q86" i="7"/>
  <c r="N86" i="7"/>
  <c r="U86" i="7"/>
  <c r="I86" i="7"/>
  <c r="H86" i="7"/>
  <c r="X86" i="7"/>
  <c r="Z85" i="7"/>
  <c r="Y85" i="7"/>
  <c r="R85" i="7"/>
  <c r="AC85" i="7" s="1"/>
  <c r="AL86" i="7" l="1"/>
  <c r="AN86" i="7"/>
  <c r="AM86" i="7"/>
  <c r="AK86" i="7"/>
  <c r="AB85" i="7"/>
  <c r="AD85" i="7" s="1"/>
  <c r="AE85" i="7" s="1"/>
  <c r="AF85" i="7" s="1"/>
  <c r="AG85" i="7" s="1"/>
  <c r="R86" i="7"/>
  <c r="AC86" i="7" s="1"/>
  <c r="AA86" i="7"/>
  <c r="Z86" i="7"/>
  <c r="Y86" i="7"/>
  <c r="Q87" i="7"/>
  <c r="X87" i="7"/>
  <c r="H87" i="7"/>
  <c r="I87" i="7"/>
  <c r="U87" i="7"/>
  <c r="N87" i="7"/>
  <c r="AL87" i="7" l="1"/>
  <c r="AK87" i="7"/>
  <c r="AN87" i="7"/>
  <c r="AM87" i="7"/>
  <c r="AA87" i="7"/>
  <c r="AB86" i="7"/>
  <c r="AD86" i="7" s="1"/>
  <c r="AE86" i="7" s="1"/>
  <c r="AF86" i="7" s="1"/>
  <c r="AG86" i="7" s="1"/>
  <c r="Y87" i="7"/>
  <c r="R87" i="7"/>
  <c r="AC87" i="7" s="1"/>
  <c r="Z87" i="7"/>
  <c r="N88" i="7" l="1"/>
  <c r="I88" i="7"/>
  <c r="H88" i="7"/>
  <c r="Q88" i="7"/>
  <c r="X88" i="7"/>
  <c r="U88" i="7"/>
  <c r="AB87" i="7"/>
  <c r="AD87" i="7" s="1"/>
  <c r="AE87" i="7" s="1"/>
  <c r="AF87" i="7" s="1"/>
  <c r="AG87" i="7" s="1"/>
  <c r="AK88" i="7" l="1"/>
  <c r="AN88" i="7"/>
  <c r="AL88" i="7"/>
  <c r="AM88" i="7"/>
  <c r="AA88" i="7"/>
  <c r="R88" i="7"/>
  <c r="AC88" i="7" s="1"/>
  <c r="X89" i="7"/>
  <c r="Q89" i="7"/>
  <c r="N89" i="7"/>
  <c r="H89" i="7"/>
  <c r="U89" i="7"/>
  <c r="I89" i="7"/>
  <c r="Y88" i="7"/>
  <c r="Z88" i="7"/>
  <c r="AM89" i="7" l="1"/>
  <c r="AK89" i="7"/>
  <c r="AN89" i="7"/>
  <c r="AL89" i="7"/>
  <c r="Z89" i="7"/>
  <c r="AB88" i="7"/>
  <c r="AD88" i="7" s="1"/>
  <c r="AE88" i="7" s="1"/>
  <c r="AF88" i="7" s="1"/>
  <c r="AG88" i="7" s="1"/>
  <c r="R89" i="7"/>
  <c r="AC89" i="7" s="1"/>
  <c r="AA89" i="7"/>
  <c r="Y89" i="7"/>
  <c r="X90" i="7"/>
  <c r="U90" i="7"/>
  <c r="I90" i="7"/>
  <c r="Q90" i="7"/>
  <c r="N90" i="7"/>
  <c r="H90" i="7"/>
  <c r="AL90" i="7" l="1"/>
  <c r="AM90" i="7"/>
  <c r="AK90" i="7"/>
  <c r="AN90" i="7"/>
  <c r="AA90" i="7"/>
  <c r="AB89" i="7"/>
  <c r="AD89" i="7" s="1"/>
  <c r="AE89" i="7" s="1"/>
  <c r="AF89" i="7" s="1"/>
  <c r="AG89" i="7" s="1"/>
  <c r="Y90" i="7"/>
  <c r="Z90" i="7"/>
  <c r="X91" i="7"/>
  <c r="U91" i="7"/>
  <c r="Q91" i="7"/>
  <c r="N91" i="7"/>
  <c r="I91" i="7"/>
  <c r="H91" i="7"/>
  <c r="R90" i="7"/>
  <c r="AC90" i="7" s="1"/>
  <c r="AK91" i="7" l="1"/>
  <c r="AL91" i="7"/>
  <c r="AM91" i="7"/>
  <c r="AN91" i="7"/>
  <c r="AA91" i="7"/>
  <c r="Y91" i="7"/>
  <c r="U92" i="7"/>
  <c r="X92" i="7"/>
  <c r="Q92" i="7"/>
  <c r="N92" i="7"/>
  <c r="I92" i="7"/>
  <c r="H92" i="7"/>
  <c r="Z91" i="7"/>
  <c r="R91" i="7"/>
  <c r="AC91" i="7" s="1"/>
  <c r="AB90" i="7"/>
  <c r="AD90" i="7" s="1"/>
  <c r="AE90" i="7" s="1"/>
  <c r="AF90" i="7" s="1"/>
  <c r="AG90" i="7" s="1"/>
  <c r="AK92" i="7" l="1"/>
  <c r="AL92" i="7"/>
  <c r="AM92" i="7"/>
  <c r="AN92" i="7"/>
  <c r="AA92" i="7"/>
  <c r="R92" i="7"/>
  <c r="AC92" i="7" s="1"/>
  <c r="Z92" i="7"/>
  <c r="X93" i="7"/>
  <c r="Q93" i="7"/>
  <c r="U93" i="7"/>
  <c r="N93" i="7"/>
  <c r="H93" i="7"/>
  <c r="I93" i="7"/>
  <c r="Y92" i="7"/>
  <c r="AB91" i="7"/>
  <c r="AD91" i="7" s="1"/>
  <c r="AE91" i="7" s="1"/>
  <c r="AF91" i="7" s="1"/>
  <c r="AG91" i="7" s="1"/>
  <c r="AK93" i="7" l="1"/>
  <c r="AN93" i="7"/>
  <c r="AM93" i="7"/>
  <c r="AL93" i="7"/>
  <c r="AB92" i="7"/>
  <c r="AD92" i="7" s="1"/>
  <c r="AE92" i="7" s="1"/>
  <c r="AF92" i="7" s="1"/>
  <c r="AG92" i="7" s="1"/>
  <c r="R93" i="7"/>
  <c r="AC93" i="7" s="1"/>
  <c r="U94" i="7"/>
  <c r="Q94" i="7"/>
  <c r="I94" i="7"/>
  <c r="H94" i="7"/>
  <c r="X94" i="7"/>
  <c r="N94" i="7"/>
  <c r="Z93" i="7"/>
  <c r="Y93" i="7"/>
  <c r="AA93" i="7"/>
  <c r="AK94" i="7" l="1"/>
  <c r="AL94" i="7"/>
  <c r="AM94" i="7"/>
  <c r="AN94" i="7"/>
  <c r="Y94" i="7"/>
  <c r="R94" i="7"/>
  <c r="AC94" i="7" s="1"/>
  <c r="Z94" i="7"/>
  <c r="AA94" i="7"/>
  <c r="U95" i="7"/>
  <c r="I95" i="7"/>
  <c r="H95" i="7"/>
  <c r="Q95" i="7"/>
  <c r="X95" i="7"/>
  <c r="N95" i="7"/>
  <c r="AB93" i="7"/>
  <c r="AD93" i="7" s="1"/>
  <c r="AE93" i="7" s="1"/>
  <c r="AF93" i="7" s="1"/>
  <c r="AG93" i="7" s="1"/>
  <c r="AN95" i="7" l="1"/>
  <c r="AM95" i="7"/>
  <c r="AK95" i="7"/>
  <c r="AL95" i="7"/>
  <c r="Y95" i="7"/>
  <c r="AB94" i="7"/>
  <c r="AD94" i="7" s="1"/>
  <c r="AE94" i="7" s="1"/>
  <c r="AF94" i="7" s="1"/>
  <c r="AG94" i="7" s="1"/>
  <c r="R95" i="7"/>
  <c r="AC95" i="7" s="1"/>
  <c r="U96" i="7"/>
  <c r="N96" i="7"/>
  <c r="H96" i="7"/>
  <c r="Q96" i="7"/>
  <c r="I96" i="7"/>
  <c r="X96" i="7"/>
  <c r="AA95" i="7"/>
  <c r="Z95" i="7"/>
  <c r="AK96" i="7" l="1"/>
  <c r="AN96" i="7"/>
  <c r="AM96" i="7"/>
  <c r="AL96" i="7"/>
  <c r="AB95" i="7"/>
  <c r="AD95" i="7" s="1"/>
  <c r="AE95" i="7" s="1"/>
  <c r="AF95" i="7" s="1"/>
  <c r="AG95" i="7" s="1"/>
  <c r="Z96" i="7"/>
  <c r="AA96" i="7"/>
  <c r="R96" i="7"/>
  <c r="AC96" i="7" s="1"/>
  <c r="X97" i="7"/>
  <c r="H97" i="7"/>
  <c r="I97" i="7"/>
  <c r="Q97" i="7"/>
  <c r="N97" i="7"/>
  <c r="U97" i="7"/>
  <c r="Y96" i="7"/>
  <c r="AK97" i="7" l="1"/>
  <c r="AM97" i="7"/>
  <c r="AL97" i="7"/>
  <c r="AN97" i="7"/>
  <c r="Z97" i="7"/>
  <c r="AB96" i="7"/>
  <c r="AD96" i="7" s="1"/>
  <c r="AE96" i="7" s="1"/>
  <c r="AF96" i="7" s="1"/>
  <c r="AG96" i="7" s="1"/>
  <c r="Y97" i="7"/>
  <c r="U98" i="7"/>
  <c r="I98" i="7"/>
  <c r="X98" i="7"/>
  <c r="H98" i="7"/>
  <c r="Q98" i="7"/>
  <c r="N98" i="7"/>
  <c r="AA97" i="7"/>
  <c r="R97" i="7"/>
  <c r="AC97" i="7" s="1"/>
  <c r="AM98" i="7" l="1"/>
  <c r="AK98" i="7"/>
  <c r="AL98" i="7"/>
  <c r="AN98" i="7"/>
  <c r="AB97" i="7"/>
  <c r="AD97" i="7" s="1"/>
  <c r="AE97" i="7" s="1"/>
  <c r="AF97" i="7" s="1"/>
  <c r="AG97" i="7" s="1"/>
  <c r="AA98" i="7"/>
  <c r="R98" i="7"/>
  <c r="AC98" i="7" s="1"/>
  <c r="Z98" i="7"/>
  <c r="I99" i="7"/>
  <c r="X99" i="7"/>
  <c r="U99" i="7"/>
  <c r="Q99" i="7"/>
  <c r="N99" i="7"/>
  <c r="H99" i="7"/>
  <c r="Y98" i="7"/>
  <c r="AN99" i="7" l="1"/>
  <c r="AK99" i="7"/>
  <c r="AL99" i="7"/>
  <c r="AM99" i="7"/>
  <c r="AB98" i="7"/>
  <c r="AD98" i="7" s="1"/>
  <c r="AE98" i="7" s="1"/>
  <c r="AF98" i="7" s="1"/>
  <c r="AG98" i="7" s="1"/>
  <c r="Y99" i="7"/>
  <c r="I100" i="7"/>
  <c r="H100" i="7"/>
  <c r="X100" i="7"/>
  <c r="Q100" i="7"/>
  <c r="U100" i="7"/>
  <c r="N100" i="7"/>
  <c r="Z99" i="7"/>
  <c r="AA99" i="7"/>
  <c r="R99" i="7"/>
  <c r="AC99" i="7" s="1"/>
  <c r="AM100" i="7" l="1"/>
  <c r="AK100" i="7"/>
  <c r="AL100" i="7"/>
  <c r="AN100" i="7"/>
  <c r="R100" i="7"/>
  <c r="AC100" i="7" s="1"/>
  <c r="Y100" i="7"/>
  <c r="Z100" i="7"/>
  <c r="AA100" i="7"/>
  <c r="I101" i="7"/>
  <c r="U101" i="7"/>
  <c r="Q101" i="7"/>
  <c r="X101" i="7"/>
  <c r="N101" i="7"/>
  <c r="H101" i="7"/>
  <c r="AB99" i="7"/>
  <c r="AD99" i="7" s="1"/>
  <c r="AE99" i="7" s="1"/>
  <c r="AF99" i="7" s="1"/>
  <c r="AG99" i="7" s="1"/>
  <c r="AK101" i="7" l="1"/>
  <c r="AL101" i="7"/>
  <c r="AN101" i="7"/>
  <c r="AM101" i="7"/>
  <c r="AA101" i="7"/>
  <c r="R101" i="7"/>
  <c r="AC101" i="7" s="1"/>
  <c r="Z101" i="7"/>
  <c r="Y101" i="7"/>
  <c r="AB100" i="7"/>
  <c r="AD100" i="7" s="1"/>
  <c r="AE100" i="7" s="1"/>
  <c r="AF100" i="7" s="1"/>
  <c r="AG100" i="7" s="1"/>
  <c r="I102" i="7"/>
  <c r="X102" i="7"/>
  <c r="N102" i="7"/>
  <c r="H102" i="7"/>
  <c r="U102" i="7"/>
  <c r="Q102" i="7"/>
  <c r="AN102" i="7" l="1"/>
  <c r="AK102" i="7"/>
  <c r="AL102" i="7"/>
  <c r="AM102" i="7"/>
  <c r="AB101" i="7"/>
  <c r="AD101" i="7" s="1"/>
  <c r="AE101" i="7" s="1"/>
  <c r="AF101" i="7" s="1"/>
  <c r="AG101" i="7" s="1"/>
  <c r="R102" i="7"/>
  <c r="AC102" i="7" s="1"/>
  <c r="N104" i="7"/>
  <c r="X104" i="7"/>
  <c r="Q104" i="7"/>
  <c r="H104" i="7"/>
  <c r="U104" i="7"/>
  <c r="I104" i="7"/>
  <c r="Z102" i="7"/>
  <c r="AA102" i="7"/>
  <c r="Y102" i="7"/>
  <c r="AN104" i="7" l="1"/>
  <c r="AM104" i="7"/>
  <c r="AK104" i="7"/>
  <c r="AL104" i="7"/>
  <c r="AB102" i="7"/>
  <c r="AD102" i="7" s="1"/>
  <c r="AE102" i="7" s="1"/>
  <c r="AF102" i="7" s="1"/>
  <c r="AG102" i="7" s="1"/>
  <c r="R104" i="7"/>
  <c r="AC104" i="7" s="1"/>
  <c r="Z104" i="7"/>
  <c r="Y104" i="7"/>
  <c r="AA104" i="7"/>
  <c r="AB104" i="7" l="1"/>
  <c r="AD104" i="7" s="1"/>
  <c r="AE104" i="7" s="1"/>
  <c r="AF104" i="7" s="1"/>
  <c r="AG104" i="7" s="1"/>
  <c r="X105" i="7"/>
  <c r="H105" i="7"/>
  <c r="Q105" i="7"/>
  <c r="I105" i="7"/>
  <c r="N105" i="7"/>
  <c r="U105" i="7"/>
  <c r="AM105" i="7" l="1"/>
  <c r="AK105" i="7"/>
  <c r="AL105" i="7"/>
  <c r="AN105" i="7"/>
  <c r="Z105" i="7"/>
  <c r="R105" i="7"/>
  <c r="AC105" i="7" s="1"/>
  <c r="AA105" i="7"/>
  <c r="H106" i="7"/>
  <c r="X106" i="7"/>
  <c r="U106" i="7"/>
  <c r="N106" i="7"/>
  <c r="I106" i="7"/>
  <c r="Q106" i="7"/>
  <c r="Y105" i="7"/>
  <c r="AK106" i="7" l="1"/>
  <c r="AL106" i="7"/>
  <c r="AM106" i="7"/>
  <c r="AN106" i="7"/>
  <c r="R106" i="7"/>
  <c r="AC106" i="7" s="1"/>
  <c r="Z106" i="7"/>
  <c r="AA106" i="7"/>
  <c r="AB105" i="7"/>
  <c r="AD105" i="7" s="1"/>
  <c r="AE105" i="7" s="1"/>
  <c r="AF105" i="7" s="1"/>
  <c r="AG105" i="7" s="1"/>
  <c r="Y106" i="7"/>
  <c r="AB106" i="7" l="1"/>
  <c r="AD106" i="7" s="1"/>
  <c r="AE106" i="7" s="1"/>
  <c r="AF106" i="7" s="1"/>
  <c r="AG106" i="7" s="1"/>
  <c r="H107" i="7"/>
  <c r="AK107" i="7" s="1"/>
  <c r="Q107" i="7"/>
  <c r="I107" i="7"/>
  <c r="AL107" i="7" l="1"/>
  <c r="AM107" i="7"/>
  <c r="AN107" i="7"/>
  <c r="I108" i="7"/>
  <c r="H108" i="7"/>
  <c r="AK108" i="7" s="1"/>
  <c r="Q108" i="7"/>
  <c r="AC107" i="7"/>
  <c r="AL108" i="7" l="1"/>
  <c r="AM108" i="7"/>
  <c r="AN108" i="7"/>
  <c r="AC108" i="7"/>
  <c r="AE107" i="7"/>
  <c r="AF107" i="7" s="1"/>
  <c r="AG107" i="7" s="1"/>
  <c r="Q109" i="7"/>
  <c r="U109" i="7"/>
  <c r="H109" i="7"/>
  <c r="N109" i="7"/>
  <c r="I109" i="7"/>
  <c r="X109" i="7"/>
  <c r="AK109" i="7" l="1"/>
  <c r="AL109" i="7"/>
  <c r="AN109" i="7"/>
  <c r="AM109" i="7"/>
  <c r="AA109" i="7"/>
  <c r="Z109" i="7"/>
  <c r="R109" i="7"/>
  <c r="AC109" i="7" s="1"/>
  <c r="Y109" i="7"/>
  <c r="AE108" i="7"/>
  <c r="AF108" i="7" s="1"/>
  <c r="AG108" i="7" s="1"/>
  <c r="H110" i="7"/>
  <c r="AK110" i="7" s="1"/>
  <c r="Q110" i="7"/>
  <c r="I110" i="7"/>
  <c r="AL110" i="7" l="1"/>
  <c r="AM110" i="7"/>
  <c r="AN110" i="7"/>
  <c r="AB109" i="7"/>
  <c r="AD109" i="7" s="1"/>
  <c r="AE109" i="7" s="1"/>
  <c r="AF109" i="7" s="1"/>
  <c r="U111" i="7"/>
  <c r="N111" i="7"/>
  <c r="Q111" i="7"/>
  <c r="H111" i="7"/>
  <c r="I111" i="7"/>
  <c r="X111" i="7"/>
  <c r="AC110" i="7"/>
  <c r="AE110" i="7" s="1"/>
  <c r="AF110" i="7" s="1"/>
  <c r="AG110" i="7" s="1"/>
  <c r="AL111" i="7" l="1"/>
  <c r="AN111" i="7"/>
  <c r="AK111" i="7"/>
  <c r="AM111" i="7"/>
  <c r="Y111" i="7"/>
  <c r="AG109" i="7"/>
  <c r="Z111" i="7"/>
  <c r="AA111" i="7"/>
  <c r="R111" i="7"/>
  <c r="AC111" i="7" s="1"/>
  <c r="AB111" i="7" l="1"/>
  <c r="AD111" i="7" s="1"/>
  <c r="AE111" i="7" s="1"/>
  <c r="AF111" i="7" s="1"/>
  <c r="AG111" i="7" s="1"/>
  <c r="N112" i="7"/>
  <c r="X112" i="7"/>
  <c r="H112" i="7"/>
  <c r="U112" i="7"/>
  <c r="Q112" i="7"/>
  <c r="I112" i="7"/>
  <c r="AK112" i="7" l="1"/>
  <c r="AL112" i="7"/>
  <c r="AM112" i="7"/>
  <c r="AN112" i="7"/>
  <c r="R112" i="7"/>
  <c r="AC112" i="7" s="1"/>
  <c r="AA112" i="7"/>
  <c r="Y112" i="7"/>
  <c r="Z112" i="7"/>
  <c r="Q113" i="7" l="1"/>
  <c r="I113" i="7"/>
  <c r="H113" i="7"/>
  <c r="AK113" i="7" s="1"/>
  <c r="AB112" i="7"/>
  <c r="AD112" i="7" s="1"/>
  <c r="AE112" i="7" s="1"/>
  <c r="AF112" i="7" s="1"/>
  <c r="AG112" i="7" s="1"/>
  <c r="AL113" i="7" l="1"/>
  <c r="AM113" i="7"/>
  <c r="AN113" i="7"/>
  <c r="U114" i="7"/>
  <c r="Q114" i="7"/>
  <c r="X114" i="7"/>
  <c r="N114" i="7"/>
  <c r="I114" i="7"/>
  <c r="H114" i="7"/>
  <c r="AC113" i="7"/>
  <c r="AK114" i="7" l="1"/>
  <c r="AM114" i="7"/>
  <c r="AN114" i="7"/>
  <c r="AL114" i="7"/>
  <c r="AA114" i="7"/>
  <c r="Z114" i="7"/>
  <c r="AE113" i="7"/>
  <c r="AF113" i="7" s="1"/>
  <c r="AG113" i="7" s="1"/>
  <c r="R114" i="7"/>
  <c r="AC114" i="7" s="1"/>
  <c r="Q115" i="7"/>
  <c r="H115" i="7"/>
  <c r="AK115" i="7" s="1"/>
  <c r="I115" i="7"/>
  <c r="Y114" i="7"/>
  <c r="AL115" i="7" l="1"/>
  <c r="AM115" i="7"/>
  <c r="AN115" i="7"/>
  <c r="AB114" i="7"/>
  <c r="AD114" i="7" s="1"/>
  <c r="AE114" i="7" s="1"/>
  <c r="AF114" i="7" s="1"/>
  <c r="AG114" i="7" s="1"/>
  <c r="AC115" i="7"/>
  <c r="I116" i="7"/>
  <c r="H116" i="7"/>
  <c r="AK116" i="7" s="1"/>
  <c r="Q116" i="7"/>
  <c r="AL116" i="7" l="1"/>
  <c r="AM116" i="7"/>
  <c r="AN116" i="7"/>
  <c r="AE115" i="7"/>
  <c r="AF115" i="7" s="1"/>
  <c r="AG115" i="7" s="1"/>
  <c r="Q117" i="7"/>
  <c r="I117" i="7"/>
  <c r="U117" i="7"/>
  <c r="X117" i="7"/>
  <c r="H117" i="7"/>
  <c r="N117" i="7"/>
  <c r="AC116" i="7"/>
  <c r="AL117" i="7" l="1"/>
  <c r="AK117" i="7"/>
  <c r="AN117" i="7"/>
  <c r="AM117" i="7"/>
  <c r="Z117" i="7"/>
  <c r="Y117" i="7"/>
  <c r="AE116" i="7"/>
  <c r="AF116" i="7" s="1"/>
  <c r="AG116" i="7" s="1"/>
  <c r="AA117" i="7"/>
  <c r="X118" i="7"/>
  <c r="U118" i="7"/>
  <c r="Q118" i="7"/>
  <c r="I118" i="7"/>
  <c r="N118" i="7"/>
  <c r="H118" i="7"/>
  <c r="R117" i="7"/>
  <c r="AC117" i="7" s="1"/>
  <c r="AL118" i="7" l="1"/>
  <c r="AK118" i="7"/>
  <c r="AM118" i="7"/>
  <c r="AN118" i="7"/>
  <c r="Z118" i="7"/>
  <c r="AB117" i="7"/>
  <c r="AD117" i="7" s="1"/>
  <c r="AE117" i="7" s="1"/>
  <c r="AF117" i="7" s="1"/>
  <c r="AG117" i="7" s="1"/>
  <c r="AA118" i="7"/>
  <c r="Q119" i="7"/>
  <c r="H119" i="7"/>
  <c r="N119" i="7"/>
  <c r="X119" i="7"/>
  <c r="U119" i="7"/>
  <c r="I119" i="7"/>
  <c r="R118" i="7"/>
  <c r="AC118" i="7" s="1"/>
  <c r="Y118" i="7"/>
  <c r="AM119" i="7" l="1"/>
  <c r="AN119" i="7"/>
  <c r="AK119" i="7"/>
  <c r="AL119" i="7"/>
  <c r="AB118" i="7"/>
  <c r="AD118" i="7" s="1"/>
  <c r="AE118" i="7" s="1"/>
  <c r="AF118" i="7" s="1"/>
  <c r="AG118" i="7" s="1"/>
  <c r="R119" i="7"/>
  <c r="AC119" i="7" s="1"/>
  <c r="Q120" i="7"/>
  <c r="N120" i="7"/>
  <c r="U120" i="7"/>
  <c r="I120" i="7"/>
  <c r="X120" i="7"/>
  <c r="H120" i="7"/>
  <c r="Y119" i="7"/>
  <c r="Z119" i="7"/>
  <c r="AA119" i="7"/>
  <c r="AL120" i="7" l="1"/>
  <c r="AN120" i="7"/>
  <c r="AK120" i="7"/>
  <c r="AM120" i="7"/>
  <c r="AA120" i="7"/>
  <c r="R120" i="7"/>
  <c r="AC120" i="7" s="1"/>
  <c r="X121" i="7"/>
  <c r="Q121" i="7"/>
  <c r="H121" i="7"/>
  <c r="U121" i="7"/>
  <c r="I121" i="7"/>
  <c r="N121" i="7"/>
  <c r="Z120" i="7"/>
  <c r="Y120" i="7"/>
  <c r="AB119" i="7"/>
  <c r="AD119" i="7" s="1"/>
  <c r="AE119" i="7" s="1"/>
  <c r="AF119" i="7" s="1"/>
  <c r="AG119" i="7" s="1"/>
  <c r="AK121" i="7" l="1"/>
  <c r="AB120" i="7"/>
  <c r="AD120" i="7" s="1"/>
  <c r="AE120" i="7" s="1"/>
  <c r="AF120" i="7" s="1"/>
  <c r="AG120" i="7" s="1"/>
  <c r="AL121" i="7"/>
  <c r="AN121" i="7"/>
  <c r="AM121" i="7"/>
  <c r="AA121" i="7"/>
  <c r="Y121" i="7"/>
  <c r="X122" i="7"/>
  <c r="U122" i="7"/>
  <c r="Q122" i="7"/>
  <c r="N122" i="7"/>
  <c r="I122" i="7"/>
  <c r="H122" i="7"/>
  <c r="R121" i="7"/>
  <c r="AC121" i="7" s="1"/>
  <c r="Z121" i="7"/>
  <c r="AK122" i="7" l="1"/>
  <c r="AL122" i="7"/>
  <c r="AM122" i="7"/>
  <c r="AN122" i="7"/>
  <c r="Q123" i="7"/>
  <c r="U123" i="7"/>
  <c r="X123" i="7"/>
  <c r="N123" i="7"/>
  <c r="H123" i="7"/>
  <c r="I123" i="7"/>
  <c r="Y122" i="7"/>
  <c r="R122" i="7"/>
  <c r="AC122" i="7" s="1"/>
  <c r="AB121" i="7"/>
  <c r="AD121" i="7" s="1"/>
  <c r="AE121" i="7" s="1"/>
  <c r="AF121" i="7" s="1"/>
  <c r="AG121" i="7" s="1"/>
  <c r="Z122" i="7"/>
  <c r="AA122" i="7"/>
  <c r="AL123" i="7" l="1"/>
  <c r="AK123" i="7"/>
  <c r="AM123" i="7"/>
  <c r="AN123" i="7"/>
  <c r="AA123" i="7"/>
  <c r="R123" i="7"/>
  <c r="AC123" i="7" s="1"/>
  <c r="U124" i="7"/>
  <c r="X124" i="7"/>
  <c r="Q124" i="7"/>
  <c r="I124" i="7"/>
  <c r="H124" i="7"/>
  <c r="N124" i="7"/>
  <c r="Z123" i="7"/>
  <c r="Y123" i="7"/>
  <c r="AB122" i="7"/>
  <c r="AD122" i="7" s="1"/>
  <c r="AE122" i="7" s="1"/>
  <c r="AF122" i="7" s="1"/>
  <c r="AG122" i="7" s="1"/>
  <c r="AK124" i="7" l="1"/>
  <c r="AL124" i="7"/>
  <c r="AN124" i="7"/>
  <c r="AM124" i="7"/>
  <c r="AA124" i="7"/>
  <c r="R124" i="7"/>
  <c r="AC124" i="7" s="1"/>
  <c r="X125" i="7"/>
  <c r="U125" i="7"/>
  <c r="N125" i="7"/>
  <c r="I125" i="7"/>
  <c r="H125" i="7"/>
  <c r="Q125" i="7"/>
  <c r="Z124" i="7"/>
  <c r="Y124" i="7"/>
  <c r="AB123" i="7"/>
  <c r="AD123" i="7" s="1"/>
  <c r="AE123" i="7" s="1"/>
  <c r="AF123" i="7" s="1"/>
  <c r="AG123" i="7" s="1"/>
  <c r="AN125" i="7" l="1"/>
  <c r="AL125" i="7"/>
  <c r="AK125" i="7"/>
  <c r="AM125" i="7"/>
  <c r="AB124" i="7"/>
  <c r="AD124" i="7" s="1"/>
  <c r="AE124" i="7" s="1"/>
  <c r="AF124" i="7" s="1"/>
  <c r="AG124" i="7" s="1"/>
  <c r="R125" i="7"/>
  <c r="AC125" i="7" s="1"/>
  <c r="Z125" i="7"/>
  <c r="AA125" i="7"/>
  <c r="Y125" i="7"/>
  <c r="X126" i="7"/>
  <c r="U126" i="7"/>
  <c r="Q126" i="7"/>
  <c r="I126" i="7"/>
  <c r="H126" i="7"/>
  <c r="N126" i="7"/>
  <c r="AL126" i="7" l="1"/>
  <c r="AN126" i="7"/>
  <c r="AM126" i="7"/>
  <c r="AK126" i="7"/>
  <c r="Z126" i="7"/>
  <c r="R126" i="7"/>
  <c r="AC126" i="7" s="1"/>
  <c r="AB125" i="7"/>
  <c r="AD125" i="7" s="1"/>
  <c r="AE125" i="7" s="1"/>
  <c r="AF125" i="7" s="1"/>
  <c r="AG125" i="7" s="1"/>
  <c r="AA126" i="7"/>
  <c r="Y126" i="7"/>
  <c r="AB126" i="7" l="1"/>
  <c r="AD126" i="7" s="1"/>
  <c r="AE126" i="7" s="1"/>
  <c r="AF126" i="7" s="1"/>
  <c r="AG126" i="7" s="1"/>
  <c r="D6" i="7" l="1"/>
  <c r="Q127" i="7" l="1"/>
  <c r="N127" i="7"/>
  <c r="U127" i="7"/>
  <c r="X127" i="7"/>
  <c r="I127" i="7"/>
  <c r="H127" i="7"/>
  <c r="AN127" i="7" l="1"/>
  <c r="AK127" i="7"/>
  <c r="AM127" i="7"/>
  <c r="AL127" i="7"/>
  <c r="AA127" i="7"/>
  <c r="Z127" i="7"/>
  <c r="Y127" i="7"/>
  <c r="R127" i="7"/>
  <c r="AC127" i="7" s="1"/>
  <c r="AB127" i="7" l="1"/>
  <c r="AD127" i="7" s="1"/>
  <c r="AE127" i="7" s="1"/>
  <c r="AF127" i="7" s="1"/>
  <c r="AG127" i="7" s="1"/>
  <c r="X128" i="7" l="1"/>
  <c r="H128" i="7"/>
  <c r="U128" i="7"/>
  <c r="Q128" i="7"/>
  <c r="I128" i="7"/>
  <c r="N128" i="7"/>
  <c r="Q152" i="7" l="1"/>
  <c r="N152" i="7"/>
  <c r="I152" i="7"/>
  <c r="H152" i="7"/>
  <c r="U152" i="7"/>
  <c r="X152" i="7"/>
  <c r="AL128" i="7"/>
  <c r="AK128" i="7"/>
  <c r="AN128" i="7"/>
  <c r="AM128" i="7"/>
  <c r="Z128" i="7"/>
  <c r="R128" i="7"/>
  <c r="AC128" i="7" s="1"/>
  <c r="AA128" i="7"/>
  <c r="Y128" i="7"/>
  <c r="N129" i="7"/>
  <c r="I129" i="7"/>
  <c r="Q129" i="7"/>
  <c r="H129" i="7"/>
  <c r="U129" i="7"/>
  <c r="X129" i="7"/>
  <c r="R152" i="7" l="1"/>
  <c r="AC152" i="7" s="1"/>
  <c r="AN152" i="7"/>
  <c r="Z152" i="7"/>
  <c r="AM152" i="7"/>
  <c r="Y152" i="7"/>
  <c r="AA152" i="7"/>
  <c r="AK152" i="7"/>
  <c r="AL152" i="7"/>
  <c r="AL129" i="7"/>
  <c r="AN129" i="7"/>
  <c r="AM129" i="7"/>
  <c r="AK129" i="7"/>
  <c r="AA129" i="7"/>
  <c r="R129" i="7"/>
  <c r="AC129" i="7" s="1"/>
  <c r="AB128" i="7"/>
  <c r="AD128" i="7" s="1"/>
  <c r="AE128" i="7" s="1"/>
  <c r="AF128" i="7" s="1"/>
  <c r="AG128" i="7" s="1"/>
  <c r="Y129" i="7"/>
  <c r="Q130" i="7"/>
  <c r="N130" i="7"/>
  <c r="I130" i="7"/>
  <c r="X130" i="7"/>
  <c r="U130" i="7"/>
  <c r="H130" i="7"/>
  <c r="Z129" i="7"/>
  <c r="AB152" i="7" l="1"/>
  <c r="AD152" i="7" s="1"/>
  <c r="AE152" i="7" s="1"/>
  <c r="AF152" i="7" s="1"/>
  <c r="AG152" i="7" s="1"/>
  <c r="AL130" i="7"/>
  <c r="AM130" i="7"/>
  <c r="AN130" i="7"/>
  <c r="AK130" i="7"/>
  <c r="X131" i="7"/>
  <c r="N131" i="7"/>
  <c r="I131" i="7"/>
  <c r="U131" i="7"/>
  <c r="H131" i="7"/>
  <c r="Q131" i="7"/>
  <c r="R130" i="7"/>
  <c r="AC130" i="7" s="1"/>
  <c r="Y130" i="7"/>
  <c r="Z130" i="7"/>
  <c r="AB129" i="7"/>
  <c r="AD129" i="7" s="1"/>
  <c r="AE129" i="7" s="1"/>
  <c r="AF129" i="7" s="1"/>
  <c r="AG129" i="7" s="1"/>
  <c r="AA130" i="7"/>
  <c r="AK131" i="7" l="1"/>
  <c r="AL131" i="7"/>
  <c r="AN131" i="7"/>
  <c r="AM131" i="7"/>
  <c r="AA131" i="7"/>
  <c r="R131" i="7"/>
  <c r="AC131" i="7" s="1"/>
  <c r="Y131" i="7"/>
  <c r="X132" i="7"/>
  <c r="Q132" i="7"/>
  <c r="U132" i="7"/>
  <c r="N132" i="7"/>
  <c r="I132" i="7"/>
  <c r="H132" i="7"/>
  <c r="AB130" i="7"/>
  <c r="AD130" i="7" s="1"/>
  <c r="AE130" i="7" s="1"/>
  <c r="AF130" i="7" s="1"/>
  <c r="AG130" i="7" s="1"/>
  <c r="Z131" i="7"/>
  <c r="AL132" i="7" l="1"/>
  <c r="AN132" i="7"/>
  <c r="AK132" i="7"/>
  <c r="AM132" i="7"/>
  <c r="AA132" i="7"/>
  <c r="Y132" i="7"/>
  <c r="Z132" i="7"/>
  <c r="U133" i="7"/>
  <c r="X133" i="7"/>
  <c r="N133" i="7"/>
  <c r="Q133" i="7"/>
  <c r="H133" i="7"/>
  <c r="I133" i="7"/>
  <c r="R132" i="7"/>
  <c r="AC132" i="7" s="1"/>
  <c r="AB131" i="7"/>
  <c r="AD131" i="7" s="1"/>
  <c r="AE131" i="7" s="1"/>
  <c r="AF131" i="7" s="1"/>
  <c r="AG131" i="7" s="1"/>
  <c r="AL133" i="7" l="1"/>
  <c r="AK133" i="7"/>
  <c r="AN133" i="7"/>
  <c r="AM133" i="7"/>
  <c r="Z133" i="7"/>
  <c r="H134" i="7"/>
  <c r="U134" i="7"/>
  <c r="Q134" i="7"/>
  <c r="X134" i="7"/>
  <c r="I134" i="7"/>
  <c r="N134" i="7"/>
  <c r="AA133" i="7"/>
  <c r="R133" i="7"/>
  <c r="AC133" i="7" s="1"/>
  <c r="AB132" i="7"/>
  <c r="AD132" i="7" s="1"/>
  <c r="AE132" i="7" s="1"/>
  <c r="AF132" i="7" s="1"/>
  <c r="AG132" i="7" s="1"/>
  <c r="Y133" i="7"/>
  <c r="AK134" i="7" l="1"/>
  <c r="AL134" i="7"/>
  <c r="AN134" i="7"/>
  <c r="AM134" i="7"/>
  <c r="Y134" i="7"/>
  <c r="AB133" i="7"/>
  <c r="AD133" i="7" s="1"/>
  <c r="AE133" i="7" s="1"/>
  <c r="AF133" i="7" s="1"/>
  <c r="AG133" i="7" s="1"/>
  <c r="AA134" i="7"/>
  <c r="Z134" i="7"/>
  <c r="R134" i="7"/>
  <c r="AC134" i="7" s="1"/>
  <c r="N135" i="7"/>
  <c r="Q135" i="7"/>
  <c r="X135" i="7"/>
  <c r="I135" i="7"/>
  <c r="U135" i="7"/>
  <c r="H135" i="7"/>
  <c r="AL135" i="7" l="1"/>
  <c r="AK135" i="7"/>
  <c r="AN135" i="7"/>
  <c r="AM135" i="7"/>
  <c r="AA135" i="7"/>
  <c r="X136" i="7"/>
  <c r="N136" i="7"/>
  <c r="H136" i="7"/>
  <c r="U136" i="7"/>
  <c r="Q136" i="7"/>
  <c r="I136" i="7"/>
  <c r="R135" i="7"/>
  <c r="AC135" i="7" s="1"/>
  <c r="AB134" i="7"/>
  <c r="AD134" i="7" s="1"/>
  <c r="AE134" i="7" s="1"/>
  <c r="AF134" i="7" s="1"/>
  <c r="AG134" i="7" s="1"/>
  <c r="Y135" i="7"/>
  <c r="Z135" i="7"/>
  <c r="AN136" i="7" l="1"/>
  <c r="AM136" i="7"/>
  <c r="AL136" i="7"/>
  <c r="AK136" i="7"/>
  <c r="Z136" i="7"/>
  <c r="AA136" i="7"/>
  <c r="AB135" i="7"/>
  <c r="AD135" i="7" s="1"/>
  <c r="AE135" i="7" s="1"/>
  <c r="AF135" i="7" s="1"/>
  <c r="AG135" i="7" s="1"/>
  <c r="Y136" i="7"/>
  <c r="R136" i="7"/>
  <c r="AC136" i="7" s="1"/>
  <c r="AB136" i="7" l="1"/>
  <c r="AD136" i="7" s="1"/>
  <c r="AE136" i="7" s="1"/>
  <c r="AF136" i="7" s="1"/>
  <c r="AG136" i="7" s="1"/>
  <c r="U6" i="7" l="1"/>
  <c r="I6" i="7"/>
  <c r="B6" i="7"/>
  <c r="H6" i="7"/>
  <c r="X6" i="7"/>
  <c r="Q6" i="7"/>
  <c r="N6" i="7"/>
  <c r="Y84" i="1" l="1"/>
  <c r="Y88" i="1"/>
  <c r="Y397" i="1"/>
  <c r="Y170" i="1"/>
  <c r="Y172" i="1"/>
  <c r="Y475" i="1"/>
  <c r="Y301" i="1"/>
  <c r="Y114" i="1"/>
  <c r="Y398" i="1"/>
  <c r="Y140" i="1"/>
  <c r="Y205" i="1"/>
  <c r="Y74" i="1"/>
  <c r="Y302" i="1"/>
  <c r="Y116" i="1"/>
  <c r="Y433" i="1"/>
  <c r="Y173" i="1"/>
  <c r="Y87" i="1"/>
  <c r="Y404" i="1"/>
  <c r="Y141" i="1"/>
  <c r="Y121" i="1"/>
  <c r="Y174" i="1"/>
  <c r="Y371" i="1"/>
  <c r="Y407" i="1"/>
  <c r="Y85" i="1"/>
  <c r="Y73" i="1"/>
  <c r="Y142" i="1"/>
  <c r="Y299" i="1"/>
  <c r="Y391" i="1"/>
  <c r="Y69" i="1"/>
  <c r="Y86" i="1"/>
  <c r="Y147" i="1"/>
  <c r="Y311" i="1"/>
  <c r="Y250" i="1"/>
  <c r="Y409" i="1"/>
  <c r="Y236" i="1"/>
  <c r="Y83" i="1"/>
  <c r="Y295" i="1"/>
  <c r="Y297" i="1"/>
  <c r="Y424" i="1"/>
  <c r="Y51" i="1"/>
  <c r="Y183" i="1"/>
  <c r="Y400" i="1"/>
  <c r="Y379" i="1"/>
  <c r="Y151" i="1"/>
  <c r="Y476" i="1"/>
  <c r="Y352" i="1"/>
  <c r="Y393" i="1"/>
  <c r="Y135" i="1"/>
  <c r="Y412" i="1"/>
  <c r="Y289" i="1"/>
  <c r="Y246" i="1"/>
  <c r="Y76" i="1"/>
  <c r="Y351" i="1"/>
  <c r="Y312" i="1"/>
  <c r="Y165" i="1"/>
  <c r="Y169" i="1"/>
  <c r="Y380" i="1"/>
  <c r="Y394" i="1"/>
  <c r="Y144" i="1"/>
  <c r="Y459" i="1"/>
  <c r="Y458" i="1"/>
  <c r="Y79" i="1"/>
  <c r="Y396" i="1"/>
  <c r="Y288" i="1"/>
  <c r="Y145" i="1"/>
  <c r="Y402" i="1"/>
  <c r="Y63" i="1"/>
  <c r="Y372" i="1"/>
  <c r="Y192" i="1"/>
  <c r="Y370" i="1"/>
  <c r="Y251" i="1"/>
  <c r="Y308" i="1"/>
  <c r="Y160" i="1"/>
  <c r="Y298" i="1"/>
  <c r="Y252" i="1"/>
  <c r="Y70" i="1"/>
  <c r="Y304" i="1"/>
  <c r="Y405" i="1"/>
  <c r="Y313" i="1"/>
  <c r="Y410" i="1"/>
  <c r="Y113" i="1"/>
  <c r="Y184" i="1"/>
  <c r="Y131" i="1"/>
  <c r="Y186" i="1"/>
  <c r="Y180" i="1"/>
  <c r="Y72" i="1"/>
  <c r="Y309" i="1"/>
  <c r="Y146" i="1"/>
  <c r="Y406" i="1"/>
  <c r="Y148" i="1"/>
  <c r="Y395" i="1"/>
  <c r="Y253" i="1"/>
  <c r="Y90" i="1"/>
  <c r="Y310" i="1"/>
  <c r="Y132" i="1"/>
  <c r="Y181" i="1"/>
  <c r="Y254" i="1"/>
  <c r="Y249" i="1"/>
  <c r="Y120" i="1"/>
  <c r="Y460" i="1"/>
  <c r="Y71" i="1"/>
  <c r="Y314" i="1"/>
  <c r="Y413" i="1"/>
  <c r="Y185" i="1"/>
  <c r="Y182" i="1"/>
  <c r="Y403" i="1"/>
  <c r="Y133" i="1"/>
  <c r="Y89" i="1"/>
  <c r="Y158" i="1"/>
  <c r="Y315" i="1"/>
  <c r="Y399" i="1"/>
  <c r="Y77" i="1"/>
  <c r="Y134" i="1"/>
  <c r="Y171" i="1"/>
  <c r="Y78" i="1"/>
  <c r="Y296" i="1"/>
  <c r="Y248" i="1"/>
  <c r="Y316" i="1"/>
  <c r="Y300" i="1"/>
  <c r="Y303" i="1"/>
  <c r="Y432" i="1"/>
  <c r="Y62" i="1"/>
  <c r="Y75" i="1"/>
  <c r="Y191" i="1"/>
  <c r="Y408" i="1"/>
  <c r="Y411" i="1"/>
  <c r="Y159" i="1"/>
  <c r="Y392" i="1"/>
  <c r="Y401" i="1"/>
  <c r="Y143" i="1"/>
  <c r="AL6" i="7"/>
  <c r="AN6" i="7"/>
  <c r="AM6" i="7"/>
  <c r="AK6" i="7"/>
  <c r="AA6" i="7"/>
  <c r="Y6" i="7"/>
  <c r="N137" i="7"/>
  <c r="I137" i="7"/>
  <c r="X137" i="7"/>
  <c r="H137" i="7"/>
  <c r="Q137" i="7"/>
  <c r="U137" i="7"/>
  <c r="Z6" i="7"/>
  <c r="R6" i="7"/>
  <c r="AC6" i="7" s="1"/>
  <c r="AK137" i="7" l="1"/>
  <c r="AM137" i="7"/>
  <c r="AL137" i="7"/>
  <c r="AN137" i="7"/>
  <c r="R137" i="7"/>
  <c r="AC137" i="7" s="1"/>
  <c r="AA137" i="7"/>
  <c r="Z137" i="7"/>
  <c r="AB6" i="7"/>
  <c r="AD6" i="7" s="1"/>
  <c r="AE6" i="7" s="1"/>
  <c r="AF6" i="7" s="1"/>
  <c r="Y39" i="1" s="1"/>
  <c r="Q138" i="7"/>
  <c r="I138" i="7"/>
  <c r="H138" i="7"/>
  <c r="U138" i="7"/>
  <c r="N138" i="7"/>
  <c r="X138" i="7"/>
  <c r="Y137" i="7"/>
  <c r="AG6" i="7" l="1"/>
  <c r="AM138" i="7"/>
  <c r="AN138" i="7"/>
  <c r="AK138" i="7"/>
  <c r="AL138" i="7"/>
  <c r="AB137" i="7"/>
  <c r="AD137" i="7" s="1"/>
  <c r="AE137" i="7" s="1"/>
  <c r="AF137" i="7" s="1"/>
  <c r="Y496" i="1" s="1"/>
  <c r="R138" i="7"/>
  <c r="AC138" i="7" s="1"/>
  <c r="N139" i="7"/>
  <c r="I139" i="7"/>
  <c r="Q139" i="7"/>
  <c r="U139" i="7"/>
  <c r="X139" i="7"/>
  <c r="H139" i="7"/>
  <c r="Y138" i="7"/>
  <c r="Z138" i="7"/>
  <c r="AA138" i="7"/>
  <c r="AG137" i="7" l="1"/>
  <c r="AK139" i="7"/>
  <c r="AN139" i="7"/>
  <c r="AM139" i="7"/>
  <c r="AL139" i="7"/>
  <c r="AB138" i="7"/>
  <c r="AD138" i="7" s="1"/>
  <c r="AE138" i="7" s="1"/>
  <c r="AF138" i="7" s="1"/>
  <c r="Y497" i="1" s="1"/>
  <c r="AA139" i="7"/>
  <c r="Y139" i="7"/>
  <c r="Q140" i="7"/>
  <c r="I140" i="7"/>
  <c r="H140" i="7"/>
  <c r="AK140" i="7" s="1"/>
  <c r="R139" i="7"/>
  <c r="AC139" i="7" s="1"/>
  <c r="Z139" i="7"/>
  <c r="AG138" i="7" l="1"/>
  <c r="AL140" i="7"/>
  <c r="AM140" i="7"/>
  <c r="AN140" i="7"/>
  <c r="AC140" i="7"/>
  <c r="AB139" i="7"/>
  <c r="AD139" i="7" s="1"/>
  <c r="AE139" i="7" s="1"/>
  <c r="AF139" i="7" s="1"/>
  <c r="Y498" i="1" s="1"/>
  <c r="N141" i="7"/>
  <c r="Q141" i="7"/>
  <c r="I141" i="7"/>
  <c r="X141" i="7"/>
  <c r="H141" i="7"/>
  <c r="U141" i="7"/>
  <c r="AG139" i="7" l="1"/>
  <c r="AM141" i="7"/>
  <c r="AN141" i="7"/>
  <c r="AK141" i="7"/>
  <c r="AL141" i="7"/>
  <c r="AA141" i="7"/>
  <c r="Y141" i="7"/>
  <c r="R141" i="7"/>
  <c r="AC141" i="7" s="1"/>
  <c r="AE140" i="7"/>
  <c r="AF140" i="7" s="1"/>
  <c r="Y502" i="1" s="1"/>
  <c r="Q142" i="7"/>
  <c r="U142" i="7"/>
  <c r="N142" i="7"/>
  <c r="X142" i="7"/>
  <c r="I142" i="7"/>
  <c r="H142" i="7"/>
  <c r="Z141" i="7"/>
  <c r="AG140" i="7" l="1"/>
  <c r="AN142" i="7"/>
  <c r="AM142" i="7"/>
  <c r="AL142" i="7"/>
  <c r="AK142" i="7"/>
  <c r="AB141" i="7"/>
  <c r="AD141" i="7" s="1"/>
  <c r="AE141" i="7" s="1"/>
  <c r="AF141" i="7" s="1"/>
  <c r="Y503" i="1" s="1"/>
  <c r="AA142" i="7"/>
  <c r="Y142" i="7"/>
  <c r="Q143" i="7"/>
  <c r="N143" i="7"/>
  <c r="H143" i="7"/>
  <c r="U143" i="7"/>
  <c r="I143" i="7"/>
  <c r="X143" i="7"/>
  <c r="R142" i="7"/>
  <c r="AC142" i="7" s="1"/>
  <c r="Z142" i="7"/>
  <c r="AG141" i="7" l="1"/>
  <c r="AN143" i="7"/>
  <c r="AM143" i="7"/>
  <c r="AK143" i="7"/>
  <c r="AL143" i="7"/>
  <c r="R143" i="7"/>
  <c r="AC143" i="7" s="1"/>
  <c r="Y143" i="7"/>
  <c r="X144" i="7"/>
  <c r="U144" i="7"/>
  <c r="Q144" i="7"/>
  <c r="N144" i="7"/>
  <c r="I144" i="7"/>
  <c r="H144" i="7"/>
  <c r="Z143" i="7"/>
  <c r="AA143" i="7"/>
  <c r="AB142" i="7"/>
  <c r="AD142" i="7" s="1"/>
  <c r="AE142" i="7" s="1"/>
  <c r="AF142" i="7" s="1"/>
  <c r="AG142" i="7" l="1"/>
  <c r="Y504" i="1"/>
  <c r="AL144" i="7"/>
  <c r="AK144" i="7"/>
  <c r="AM144" i="7"/>
  <c r="AN144" i="7"/>
  <c r="R144" i="7"/>
  <c r="AC144" i="7" s="1"/>
  <c r="Y144" i="7"/>
  <c r="Z144" i="7"/>
  <c r="AA144" i="7"/>
  <c r="AB143" i="7"/>
  <c r="AD143" i="7" s="1"/>
  <c r="AE143" i="7" s="1"/>
  <c r="AF143" i="7" s="1"/>
  <c r="AG143" i="7" l="1"/>
  <c r="Y505" i="1"/>
  <c r="H145" i="7"/>
  <c r="I145" i="7"/>
  <c r="Q145" i="7"/>
  <c r="X145" i="7"/>
  <c r="U145" i="7"/>
  <c r="N145" i="7"/>
  <c r="AB144" i="7"/>
  <c r="AD144" i="7" s="1"/>
  <c r="AE144" i="7" s="1"/>
  <c r="AF144" i="7" s="1"/>
  <c r="AG144" i="7" l="1"/>
  <c r="Y506" i="1"/>
  <c r="AK145" i="7"/>
  <c r="AL145" i="7"/>
  <c r="AM145" i="7"/>
  <c r="AN145" i="7"/>
  <c r="AA145" i="7"/>
  <c r="R145" i="7"/>
  <c r="AC145" i="7" s="1"/>
  <c r="U146" i="7"/>
  <c r="I146" i="7"/>
  <c r="N146" i="7"/>
  <c r="H146" i="7"/>
  <c r="X146" i="7"/>
  <c r="Q146" i="7"/>
  <c r="Y145" i="7"/>
  <c r="Z145" i="7"/>
  <c r="AL146" i="7" l="1"/>
  <c r="AK146" i="7"/>
  <c r="AN146" i="7"/>
  <c r="AM146" i="7"/>
  <c r="Y146" i="7"/>
  <c r="AB145" i="7"/>
  <c r="AD145" i="7" s="1"/>
  <c r="AE145" i="7" s="1"/>
  <c r="AF145" i="7" s="1"/>
  <c r="R146" i="7"/>
  <c r="AC146" i="7" s="1"/>
  <c r="AA146" i="7"/>
  <c r="X147" i="7"/>
  <c r="I147" i="7"/>
  <c r="H147" i="7"/>
  <c r="U147" i="7"/>
  <c r="Q147" i="7"/>
  <c r="N147" i="7"/>
  <c r="Z146" i="7"/>
  <c r="AG145" i="7" l="1"/>
  <c r="Y507" i="1"/>
  <c r="AM147" i="7"/>
  <c r="AN147" i="7"/>
  <c r="AK147" i="7"/>
  <c r="AL147" i="7"/>
  <c r="Z147" i="7"/>
  <c r="AB146" i="7"/>
  <c r="AD146" i="7" s="1"/>
  <c r="AE146" i="7" s="1"/>
  <c r="AF146" i="7" s="1"/>
  <c r="Q148" i="7"/>
  <c r="I148" i="7"/>
  <c r="H148" i="7"/>
  <c r="AK148" i="7" s="1"/>
  <c r="R147" i="7"/>
  <c r="AC147" i="7" s="1"/>
  <c r="AA147" i="7"/>
  <c r="Y147" i="7"/>
  <c r="AG146" i="7" l="1"/>
  <c r="Y508" i="1"/>
  <c r="Y514" i="1"/>
  <c r="AL148" i="7"/>
  <c r="AM148" i="7"/>
  <c r="AN148" i="7"/>
  <c r="AC148" i="7"/>
  <c r="AE148" i="7" s="1"/>
  <c r="AF148" i="7" s="1"/>
  <c r="X149" i="7"/>
  <c r="H149" i="7"/>
  <c r="N149" i="7"/>
  <c r="Q149" i="7"/>
  <c r="U149" i="7"/>
  <c r="I149" i="7"/>
  <c r="AB147" i="7"/>
  <c r="AD147" i="7" s="1"/>
  <c r="AE147" i="7" s="1"/>
  <c r="AF147" i="7" s="1"/>
  <c r="AG148" i="7" l="1"/>
  <c r="Y510" i="1"/>
  <c r="AG147" i="7"/>
  <c r="Y509" i="1"/>
  <c r="AL149" i="7"/>
  <c r="AN149" i="7"/>
  <c r="AM149" i="7"/>
  <c r="AK149" i="7"/>
  <c r="R149" i="7"/>
  <c r="AC149" i="7" s="1"/>
  <c r="AA149" i="7"/>
  <c r="Z149" i="7"/>
  <c r="Q150" i="7"/>
  <c r="I150" i="7"/>
  <c r="H150" i="7"/>
  <c r="AK150" i="7" s="1"/>
  <c r="Y149" i="7"/>
  <c r="AL150" i="7" l="1"/>
  <c r="AM150" i="7"/>
  <c r="AN150" i="7"/>
  <c r="AB149" i="7"/>
  <c r="AD149" i="7" s="1"/>
  <c r="AE149" i="7" s="1"/>
  <c r="AF149" i="7" s="1"/>
  <c r="AC150" i="7"/>
  <c r="AE150" i="7" s="1"/>
  <c r="AF150" i="7" s="1"/>
  <c r="Q151" i="7"/>
  <c r="I151" i="7"/>
  <c r="H151" i="7"/>
  <c r="AK151" i="7" s="1"/>
  <c r="AG149" i="7" l="1"/>
  <c r="Y511" i="1"/>
  <c r="AG150" i="7"/>
  <c r="Y512" i="1"/>
  <c r="AL151" i="7"/>
  <c r="AN151" i="7"/>
  <c r="AM151" i="7"/>
  <c r="AC151" i="7"/>
  <c r="AE151" i="7" s="1"/>
  <c r="AF151" i="7" s="1"/>
  <c r="U153" i="7"/>
  <c r="Q153" i="7"/>
  <c r="N153" i="7"/>
  <c r="H153" i="7"/>
  <c r="I153" i="7"/>
  <c r="X153" i="7"/>
  <c r="AG151" i="7" l="1"/>
  <c r="Y513" i="1"/>
  <c r="AL153" i="7"/>
  <c r="AK153" i="7"/>
  <c r="AN153" i="7"/>
  <c r="AM153" i="7"/>
  <c r="Y153" i="7"/>
  <c r="Q154" i="7"/>
  <c r="H154" i="7"/>
  <c r="I154" i="7"/>
  <c r="U154" i="7"/>
  <c r="X154" i="7"/>
  <c r="N154" i="7"/>
  <c r="Z153" i="7"/>
  <c r="AA153" i="7"/>
  <c r="R153" i="7"/>
  <c r="AC153" i="7" s="1"/>
  <c r="AK154" i="7" l="1"/>
  <c r="AN154" i="7"/>
  <c r="AM154" i="7"/>
  <c r="AL154" i="7"/>
  <c r="AA154" i="7"/>
  <c r="Y154" i="7"/>
  <c r="R154" i="7"/>
  <c r="AC154" i="7" s="1"/>
  <c r="AB153" i="7"/>
  <c r="AD153" i="7" s="1"/>
  <c r="AE153" i="7" s="1"/>
  <c r="AF153" i="7" s="1"/>
  <c r="I155" i="7"/>
  <c r="N155" i="7"/>
  <c r="Q155" i="7"/>
  <c r="H155" i="7"/>
  <c r="U155" i="7"/>
  <c r="X155" i="7"/>
  <c r="Z154" i="7"/>
  <c r="AG153" i="7" l="1"/>
  <c r="Y515" i="1"/>
  <c r="AN155" i="7"/>
  <c r="AM155" i="7"/>
  <c r="AL155" i="7"/>
  <c r="AK155" i="7"/>
  <c r="AB154" i="7"/>
  <c r="AD154" i="7" s="1"/>
  <c r="AE154" i="7" s="1"/>
  <c r="AF154" i="7" s="1"/>
  <c r="R155" i="7"/>
  <c r="AC155" i="7" s="1"/>
  <c r="Z155" i="7"/>
  <c r="H156" i="7"/>
  <c r="N156" i="7"/>
  <c r="I156" i="7"/>
  <c r="U156" i="7"/>
  <c r="X156" i="7"/>
  <c r="Q156" i="7"/>
  <c r="AA155" i="7"/>
  <c r="Y155" i="7"/>
  <c r="AG154" i="7" l="1"/>
  <c r="Y519" i="1"/>
  <c r="AL156" i="7"/>
  <c r="AK156" i="7"/>
  <c r="AM156" i="7"/>
  <c r="AN156" i="7"/>
  <c r="R156" i="7"/>
  <c r="AC156" i="7" s="1"/>
  <c r="AA156" i="7"/>
  <c r="AB155" i="7"/>
  <c r="AD155" i="7" s="1"/>
  <c r="AE155" i="7" s="1"/>
  <c r="AF155" i="7" s="1"/>
  <c r="Y156" i="7"/>
  <c r="U157" i="7"/>
  <c r="I157" i="7"/>
  <c r="N157" i="7"/>
  <c r="H157" i="7"/>
  <c r="X157" i="7"/>
  <c r="Q157" i="7"/>
  <c r="Z156" i="7"/>
  <c r="AG155" i="7" l="1"/>
  <c r="Y520" i="1"/>
  <c r="AL157" i="7"/>
  <c r="AK157" i="7"/>
  <c r="AN157" i="7"/>
  <c r="AM157" i="7"/>
  <c r="AB156" i="7"/>
  <c r="AD156" i="7" s="1"/>
  <c r="AE156" i="7" s="1"/>
  <c r="AF156" i="7" s="1"/>
  <c r="AA157" i="7"/>
  <c r="Y157" i="7"/>
  <c r="R157" i="7"/>
  <c r="AC157" i="7" s="1"/>
  <c r="Q158" i="7"/>
  <c r="I158" i="7"/>
  <c r="N158" i="7"/>
  <c r="H158" i="7"/>
  <c r="U158" i="7"/>
  <c r="X158" i="7"/>
  <c r="Z157" i="7"/>
  <c r="AG156" i="7" l="1"/>
  <c r="Y521" i="1"/>
  <c r="AK158" i="7"/>
  <c r="AL158" i="7"/>
  <c r="AM158" i="7"/>
  <c r="AN158" i="7"/>
  <c r="AB157" i="7"/>
  <c r="AD157" i="7" s="1"/>
  <c r="AE157" i="7" s="1"/>
  <c r="AF157" i="7" s="1"/>
  <c r="Y530" i="1" s="1"/>
  <c r="AA158" i="7"/>
  <c r="U159" i="7"/>
  <c r="I159" i="7"/>
  <c r="H159" i="7"/>
  <c r="X159" i="7"/>
  <c r="N159" i="7"/>
  <c r="Q159" i="7"/>
  <c r="Z158" i="7"/>
  <c r="Y158" i="7"/>
  <c r="R158" i="7"/>
  <c r="AC158" i="7" s="1"/>
  <c r="AN159" i="7" l="1"/>
  <c r="AM159" i="7"/>
  <c r="AK159" i="7"/>
  <c r="AL159" i="7"/>
  <c r="AB158" i="7"/>
  <c r="AD158" i="7" s="1"/>
  <c r="AE158" i="7" s="1"/>
  <c r="AF158" i="7" s="1"/>
  <c r="AA159" i="7"/>
  <c r="R159" i="7"/>
  <c r="AC159" i="7" s="1"/>
  <c r="N160" i="7"/>
  <c r="X160" i="7"/>
  <c r="I160" i="7"/>
  <c r="H160" i="7"/>
  <c r="Q160" i="7"/>
  <c r="U160" i="7"/>
  <c r="Z159" i="7"/>
  <c r="Y159" i="7"/>
  <c r="AG157" i="7"/>
  <c r="AG158" i="7" l="1"/>
  <c r="Y537" i="1"/>
  <c r="AM160" i="7"/>
  <c r="AK160" i="7"/>
  <c r="AL160" i="7"/>
  <c r="AN160" i="7"/>
  <c r="AA160" i="7"/>
  <c r="AB159" i="7"/>
  <c r="AD159" i="7" s="1"/>
  <c r="AE159" i="7" s="1"/>
  <c r="AF159" i="7" s="1"/>
  <c r="R160" i="7"/>
  <c r="AC160" i="7" s="1"/>
  <c r="Y160" i="7"/>
  <c r="I161" i="7"/>
  <c r="H161" i="7"/>
  <c r="X161" i="7"/>
  <c r="U161" i="7"/>
  <c r="Q161" i="7"/>
  <c r="N161" i="7"/>
  <c r="Z160" i="7"/>
  <c r="AG159" i="7" l="1"/>
  <c r="Y538" i="1"/>
  <c r="AL161" i="7"/>
  <c r="AK161" i="7"/>
  <c r="AM161" i="7"/>
  <c r="AN161" i="7"/>
  <c r="R161" i="7"/>
  <c r="AC161" i="7" s="1"/>
  <c r="Y161" i="7"/>
  <c r="AA161" i="7"/>
  <c r="Z161" i="7"/>
  <c r="H162" i="7"/>
  <c r="AK162" i="7" s="1"/>
  <c r="I162" i="7"/>
  <c r="Q162" i="7"/>
  <c r="AB160" i="7"/>
  <c r="AD160" i="7" s="1"/>
  <c r="AE160" i="7" s="1"/>
  <c r="AF160" i="7" s="1"/>
  <c r="AG160" i="7" l="1"/>
  <c r="Y539" i="1"/>
  <c r="AL162" i="7"/>
  <c r="AM162" i="7"/>
  <c r="AN162" i="7"/>
  <c r="H163" i="7"/>
  <c r="AK163" i="7" s="1"/>
  <c r="Q163" i="7"/>
  <c r="I163" i="7"/>
  <c r="Q164" i="7"/>
  <c r="I164" i="7"/>
  <c r="H164" i="7"/>
  <c r="AK164" i="7" s="1"/>
  <c r="AC162" i="7"/>
  <c r="AE162" i="7" s="1"/>
  <c r="AF162" i="7" s="1"/>
  <c r="AB161" i="7"/>
  <c r="AD161" i="7" s="1"/>
  <c r="AE161" i="7" s="1"/>
  <c r="AF161" i="7" s="1"/>
  <c r="AG161" i="7" l="1"/>
  <c r="Y540" i="1"/>
  <c r="AG162" i="7"/>
  <c r="Y541" i="1"/>
  <c r="Y3" i="1"/>
  <c r="AL163" i="7"/>
  <c r="AL164" i="7"/>
  <c r="AM164" i="7"/>
  <c r="AN164" i="7"/>
  <c r="AM163" i="7"/>
  <c r="AN163" i="7"/>
  <c r="AC164" i="7"/>
  <c r="AE164" i="7" s="1"/>
  <c r="AF164" i="7" s="1"/>
  <c r="AC163" i="7"/>
  <c r="AE163" i="7" s="1"/>
  <c r="AF163" i="7" s="1"/>
  <c r="AG163" i="7" l="1"/>
  <c r="Y556" i="1"/>
  <c r="AG164" i="7"/>
  <c r="Y557" i="1"/>
  <c r="J3" i="1"/>
  <c r="J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<sst xmlns="http://schemas.openxmlformats.org/spreadsheetml/2006/main" count="8781" uniqueCount="876">
  <si>
    <r>
      <t>Empresa (</t>
    </r>
    <r>
      <rPr>
        <i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)</t>
    </r>
  </si>
  <si>
    <t xml:space="preserve">Empresa        </t>
  </si>
  <si>
    <t>Grupo Econômico</t>
  </si>
  <si>
    <t>Ativo</t>
  </si>
  <si>
    <r>
      <t>β</t>
    </r>
    <r>
      <rPr>
        <i/>
        <sz val="11"/>
        <color theme="1"/>
        <rFont val="Calibri"/>
        <family val="2"/>
      </rPr>
      <t>Ext</t>
    </r>
  </si>
  <si>
    <t>Codigo do Ativo</t>
  </si>
  <si>
    <t>Data de Emissao</t>
  </si>
  <si>
    <t xml:space="preserve"> Data de Vencimento</t>
  </si>
  <si>
    <r>
      <rPr>
        <sz val="11"/>
        <color theme="1"/>
        <rFont val="Calibri"/>
        <family val="2"/>
      </rPr>
      <t>β</t>
    </r>
    <r>
      <rPr>
        <i/>
        <sz val="11"/>
        <color theme="1"/>
        <rFont val="Calibri"/>
        <family val="2"/>
      </rPr>
      <t>LP</t>
    </r>
  </si>
  <si>
    <t>Garantia/Especie</t>
  </si>
  <si>
    <r>
      <t>β</t>
    </r>
    <r>
      <rPr>
        <i/>
        <sz val="11"/>
        <color theme="1"/>
        <rFont val="Calibri"/>
        <family val="2"/>
      </rPr>
      <t>Garantia</t>
    </r>
  </si>
  <si>
    <t>Quantidade Emitida</t>
  </si>
  <si>
    <t>Valor Nominal na Emissao</t>
  </si>
  <si>
    <t>indice</t>
  </si>
  <si>
    <t>Percentual Multiplicador/Rentabilidade</t>
  </si>
  <si>
    <t>JurosCriterioNovo-Taxa</t>
  </si>
  <si>
    <t>Juros Criterio Novo - Prazo</t>
  </si>
  <si>
    <t>Juros Criterio Novo - Criterio</t>
  </si>
  <si>
    <t>Deb. Incent. (Lei 12.431)</t>
  </si>
  <si>
    <r>
      <rPr>
        <sz val="11"/>
        <color theme="1"/>
        <rFont val="Calibri"/>
        <family val="2"/>
      </rPr>
      <t>β</t>
    </r>
    <r>
      <rPr>
        <i/>
        <sz val="11"/>
        <color theme="1"/>
        <rFont val="Calibri"/>
        <family val="2"/>
        <scheme val="minor"/>
      </rPr>
      <t>DebInc</t>
    </r>
  </si>
  <si>
    <t>Resgate Antecipado</t>
  </si>
  <si>
    <t>Corporate Rating na data da Emissão</t>
  </si>
  <si>
    <r>
      <rPr>
        <sz val="11"/>
        <color theme="1"/>
        <rFont val="Calibri"/>
        <family val="2"/>
      </rPr>
      <t>β</t>
    </r>
    <r>
      <rPr>
        <i/>
        <sz val="11"/>
        <color theme="1"/>
        <rFont val="Calibri"/>
        <family val="2"/>
        <scheme val="minor"/>
      </rPr>
      <t>HighGrade</t>
    </r>
  </si>
  <si>
    <t>ADECOAGRO VALE DO IVINHEMA S.A.</t>
  </si>
  <si>
    <t>Adecoagro</t>
  </si>
  <si>
    <t>Debêntures</t>
  </si>
  <si>
    <t xml:space="preserve">ADAG11    </t>
  </si>
  <si>
    <t>Real</t>
  </si>
  <si>
    <t>IPCA</t>
  </si>
  <si>
    <t>-</t>
  </si>
  <si>
    <t>Útil</t>
  </si>
  <si>
    <t>S</t>
  </si>
  <si>
    <t>N</t>
  </si>
  <si>
    <t>Adecoagro SA</t>
  </si>
  <si>
    <t>Bonds</t>
  </si>
  <si>
    <t>21/09/2027</t>
  </si>
  <si>
    <t>COMPANY GUARNT</t>
  </si>
  <si>
    <t>Corrido</t>
  </si>
  <si>
    <t>AEGEA SANEAMENTO E PARTICIPACOES S/A</t>
  </si>
  <si>
    <t>Aegea</t>
  </si>
  <si>
    <t xml:space="preserve">AEGA11    </t>
  </si>
  <si>
    <t>DI</t>
  </si>
  <si>
    <t xml:space="preserve">AEGA12    </t>
  </si>
  <si>
    <t xml:space="preserve">AEGP13    </t>
  </si>
  <si>
    <t>Quirografária</t>
  </si>
  <si>
    <t xml:space="preserve">AEGP14    </t>
  </si>
  <si>
    <t xml:space="preserve">AEGP15    </t>
  </si>
  <si>
    <t xml:space="preserve">AEGP17    </t>
  </si>
  <si>
    <t xml:space="preserve">AEGP19    </t>
  </si>
  <si>
    <t xml:space="preserve">AEGP23    </t>
  </si>
  <si>
    <t>Aegea Finance Sarl</t>
  </si>
  <si>
    <t>10/10/2024</t>
  </si>
  <si>
    <t>AMERICANAS S/A</t>
  </si>
  <si>
    <t>Americanas</t>
  </si>
  <si>
    <t xml:space="preserve">BTOW13    </t>
  </si>
  <si>
    <t xml:space="preserve">BTOW15    </t>
  </si>
  <si>
    <t xml:space="preserve">LAME10    </t>
  </si>
  <si>
    <t xml:space="preserve">LAME14    </t>
  </si>
  <si>
    <t>Flutuante</t>
  </si>
  <si>
    <t xml:space="preserve">LAME16    </t>
  </si>
  <si>
    <t xml:space="preserve">LAME17    </t>
  </si>
  <si>
    <t xml:space="preserve">LAME18    </t>
  </si>
  <si>
    <t xml:space="preserve">LAME19    </t>
  </si>
  <si>
    <t xml:space="preserve">LAME26    </t>
  </si>
  <si>
    <t xml:space="preserve">LAME27    </t>
  </si>
  <si>
    <t xml:space="preserve">LAME28    </t>
  </si>
  <si>
    <t xml:space="preserve">LAME29    </t>
  </si>
  <si>
    <t xml:space="preserve">LAME38    </t>
  </si>
  <si>
    <t xml:space="preserve">LAMEA1    </t>
  </si>
  <si>
    <t xml:space="preserve">LAMEA2    </t>
  </si>
  <si>
    <t xml:space="preserve">LAMEA3    </t>
  </si>
  <si>
    <t xml:space="preserve">LAMEA4    </t>
  </si>
  <si>
    <t xml:space="preserve">LAMEA5    </t>
  </si>
  <si>
    <t xml:space="preserve">LAMEA6    </t>
  </si>
  <si>
    <t xml:space="preserve">LAMEB1    </t>
  </si>
  <si>
    <t>B2W Digital Lux Sarl</t>
  </si>
  <si>
    <t>20/12/2030</t>
  </si>
  <si>
    <t>ANDRADE GUTIERREZ PARTICIPACOES S.A.</t>
  </si>
  <si>
    <t>Andrade Gutierrez</t>
  </si>
  <si>
    <t xml:space="preserve">ANDG11    </t>
  </si>
  <si>
    <t xml:space="preserve">ANDG12    </t>
  </si>
  <si>
    <t xml:space="preserve">CANT12    </t>
  </si>
  <si>
    <t xml:space="preserve">CANT13    </t>
  </si>
  <si>
    <t xml:space="preserve">CANT15    </t>
  </si>
  <si>
    <t xml:space="preserve">CANT22    </t>
  </si>
  <si>
    <t xml:space="preserve">CANT32    </t>
  </si>
  <si>
    <t>ANDRADE GUTIERREZ S/A</t>
  </si>
  <si>
    <t xml:space="preserve">AGUT12    </t>
  </si>
  <si>
    <t xml:space="preserve">AGUT13    </t>
  </si>
  <si>
    <t xml:space="preserve">AGUT14    </t>
  </si>
  <si>
    <t xml:space="preserve">AGUT15    </t>
  </si>
  <si>
    <t/>
  </si>
  <si>
    <t>Andrade Gutierrez International SA</t>
  </si>
  <si>
    <t>30/12/2024</t>
  </si>
  <si>
    <t>SR SECURED</t>
  </si>
  <si>
    <t>AZUL LINHAS AEREAS BRASILEIRAS S.A.</t>
  </si>
  <si>
    <t>Azul Linhas Aéreas</t>
  </si>
  <si>
    <t xml:space="preserve">AZLA11    </t>
  </si>
  <si>
    <t xml:space="preserve">AZLA12    </t>
  </si>
  <si>
    <t xml:space="preserve">AZLA13    </t>
  </si>
  <si>
    <t xml:space="preserve">AZLA14    </t>
  </si>
  <si>
    <t xml:space="preserve">AZLA15    </t>
  </si>
  <si>
    <t xml:space="preserve">AZLA16    </t>
  </si>
  <si>
    <t xml:space="preserve">AZLA17    </t>
  </si>
  <si>
    <t xml:space="preserve">AZLA18    </t>
  </si>
  <si>
    <t xml:space="preserve">AZLA19    </t>
  </si>
  <si>
    <t xml:space="preserve">AZLAA0    </t>
  </si>
  <si>
    <t>Azul Investments LLP</t>
  </si>
  <si>
    <t>15/06/2026</t>
  </si>
  <si>
    <t>26/10/2024</t>
  </si>
  <si>
    <t>Braskem</t>
  </si>
  <si>
    <t>Braskem America Finance Co</t>
  </si>
  <si>
    <t>22/07/2041</t>
  </si>
  <si>
    <t>Braskem Finance Ltd</t>
  </si>
  <si>
    <t>03/02/2024</t>
  </si>
  <si>
    <t>02/05/2022</t>
  </si>
  <si>
    <t>15/04/2021</t>
  </si>
  <si>
    <t>Braskem Netherlands Finance BV</t>
  </si>
  <si>
    <t>31/01/2030</t>
  </si>
  <si>
    <t>10/01/2028</t>
  </si>
  <si>
    <t>31/01/2050</t>
  </si>
  <si>
    <t>23/01/2081</t>
  </si>
  <si>
    <t>10/01/2023</t>
  </si>
  <si>
    <t>BRF S/A</t>
  </si>
  <si>
    <t>BRF</t>
  </si>
  <si>
    <t xml:space="preserve">BRFS11    </t>
  </si>
  <si>
    <t xml:space="preserve">BRFS31    </t>
  </si>
  <si>
    <t xml:space="preserve">BRFS41    </t>
  </si>
  <si>
    <t>BRF GmbH</t>
  </si>
  <si>
    <t>29/09/2026</t>
  </si>
  <si>
    <t>BRF SA</t>
  </si>
  <si>
    <t>24/01/2030</t>
  </si>
  <si>
    <t>21/09/2050</t>
  </si>
  <si>
    <t>22/05/2024</t>
  </si>
  <si>
    <t>22/05/2023</t>
  </si>
  <si>
    <t>06/06/2022</t>
  </si>
  <si>
    <t>CEMIG CAPIM BRANCO ENERGIA S.A.</t>
  </si>
  <si>
    <t>Cemig</t>
  </si>
  <si>
    <t xml:space="preserve">CMCB11    </t>
  </si>
  <si>
    <t>CEMIG DISTRIBUICAO S/A</t>
  </si>
  <si>
    <t xml:space="preserve">CMDT13    </t>
  </si>
  <si>
    <t xml:space="preserve">CMDT14    </t>
  </si>
  <si>
    <t xml:space="preserve">CMDT23    </t>
  </si>
  <si>
    <t xml:space="preserve">CMDT33    </t>
  </si>
  <si>
    <t xml:space="preserve">CMGD15    </t>
  </si>
  <si>
    <t xml:space="preserve">CMGD16    </t>
  </si>
  <si>
    <t xml:space="preserve">CMGD17    </t>
  </si>
  <si>
    <t xml:space="preserve">CMGD27    </t>
  </si>
  <si>
    <t>CEMIG GERACAO E TRANSMISSAO S/A</t>
  </si>
  <si>
    <t xml:space="preserve">CMTR13    </t>
  </si>
  <si>
    <t xml:space="preserve">CMTR14    </t>
  </si>
  <si>
    <t xml:space="preserve">CMTR15    </t>
  </si>
  <si>
    <t xml:space="preserve">CMTR16    </t>
  </si>
  <si>
    <t xml:space="preserve">CMTR17    </t>
  </si>
  <si>
    <t xml:space="preserve">CMTR23    </t>
  </si>
  <si>
    <t xml:space="preserve">CMTR26    </t>
  </si>
  <si>
    <t xml:space="preserve">CMTR33    </t>
  </si>
  <si>
    <t>COMPANHIA ENERGETICA DE MINAS GERAIS - CEMIG</t>
  </si>
  <si>
    <t xml:space="preserve">CMTG12    </t>
  </si>
  <si>
    <t>Cemig Geracao e Transmissao SA</t>
  </si>
  <si>
    <t>05/12/2024</t>
  </si>
  <si>
    <t>COMPANHIA BRASILEIRA DE ALUMINIO</t>
  </si>
  <si>
    <t>Cia Brasileira de Alumínio</t>
  </si>
  <si>
    <t xml:space="preserve">CBAV11    </t>
  </si>
  <si>
    <t>Cia Brasileira de Aluminio</t>
  </si>
  <si>
    <t>17/06/2024</t>
  </si>
  <si>
    <t>CIELO S.A.</t>
  </si>
  <si>
    <t>Cielo</t>
  </si>
  <si>
    <t xml:space="preserve">CIEL14    </t>
  </si>
  <si>
    <t xml:space="preserve">CIEL15    </t>
  </si>
  <si>
    <t>Cielo SA</t>
  </si>
  <si>
    <t>16/11/2022</t>
  </si>
  <si>
    <t>Cielo USA Inc</t>
  </si>
  <si>
    <t>COSAN S.A.</t>
  </si>
  <si>
    <t>Cosan</t>
  </si>
  <si>
    <t xml:space="preserve">COIC11    </t>
  </si>
  <si>
    <t xml:space="preserve">COIC21    </t>
  </si>
  <si>
    <t xml:space="preserve">CSAN12    </t>
  </si>
  <si>
    <t xml:space="preserve">CSAN13    </t>
  </si>
  <si>
    <t xml:space="preserve">CSAN23    </t>
  </si>
  <si>
    <t xml:space="preserve">CSAN33    </t>
  </si>
  <si>
    <t xml:space="preserve">RLOG11    </t>
  </si>
  <si>
    <t>Cosan Ltd</t>
  </si>
  <si>
    <t>20/09/2024</t>
  </si>
  <si>
    <t>Cosan Luxembourg SA</t>
  </si>
  <si>
    <t>20/01/2027</t>
  </si>
  <si>
    <t>14/03/2023</t>
  </si>
  <si>
    <t>Cosan SA</t>
  </si>
  <si>
    <t>20/09/2029</t>
  </si>
  <si>
    <t>CSN MINERACAO S.A.</t>
  </si>
  <si>
    <t>CSN</t>
  </si>
  <si>
    <t xml:space="preserve">CMIN11    </t>
  </si>
  <si>
    <t xml:space="preserve">CMIN21    </t>
  </si>
  <si>
    <t>CSN Inova Ventures</t>
  </si>
  <si>
    <t>28/01/2028</t>
  </si>
  <si>
    <t>CSN Resources SA</t>
  </si>
  <si>
    <t>10/06/2021</t>
  </si>
  <si>
    <t>10/06/2031</t>
  </si>
  <si>
    <t>17/04/2026</t>
  </si>
  <si>
    <t>13/02/2023</t>
  </si>
  <si>
    <t>21/07/2020</t>
  </si>
  <si>
    <t>ELDORADO BRASIL CELULOSE S.A.</t>
  </si>
  <si>
    <t>Eldorado</t>
  </si>
  <si>
    <t xml:space="preserve">ELDC14    </t>
  </si>
  <si>
    <t xml:space="preserve">ELDO12    </t>
  </si>
  <si>
    <t>Eldorado Intl. Finance GmbH</t>
  </si>
  <si>
    <t>16/06/2021</t>
  </si>
  <si>
    <t>CENTRAIS ELETRICAS BRAS.S/A - ELETROBRAS</t>
  </si>
  <si>
    <t>Eletrobras</t>
  </si>
  <si>
    <t xml:space="preserve">ELET12    </t>
  </si>
  <si>
    <t xml:space="preserve">ELET13    </t>
  </si>
  <si>
    <t xml:space="preserve">ELET22    </t>
  </si>
  <si>
    <t xml:space="preserve">ELET23    </t>
  </si>
  <si>
    <t xml:space="preserve">ELET32    </t>
  </si>
  <si>
    <t xml:space="preserve">ELET42    </t>
  </si>
  <si>
    <t>Centrais Eletricas Brasileiras SA</t>
  </si>
  <si>
    <t>04/02/2030</t>
  </si>
  <si>
    <t>04/02/2025</t>
  </si>
  <si>
    <t>27/10/2021</t>
  </si>
  <si>
    <t>Energisa</t>
  </si>
  <si>
    <t>EQUATORIAL PARA DISTRIBUIDORA DE ENERGIA S.A.</t>
  </si>
  <si>
    <t>Equatorial</t>
  </si>
  <si>
    <t xml:space="preserve">CLPP13    </t>
  </si>
  <si>
    <t xml:space="preserve">CLPP14    </t>
  </si>
  <si>
    <t xml:space="preserve">CLPP23    </t>
  </si>
  <si>
    <t>EQUATORIAL PARA DISTRIBUIDORA</t>
  </si>
  <si>
    <t>03/06/2016</t>
  </si>
  <si>
    <t>GERDAU S/A</t>
  </si>
  <si>
    <t>Gerdau</t>
  </si>
  <si>
    <t xml:space="preserve">GGBRA5    </t>
  </si>
  <si>
    <t xml:space="preserve">GGBRA6    </t>
  </si>
  <si>
    <t xml:space="preserve">GGBRB6    </t>
  </si>
  <si>
    <t>Gerdau Trade Inc</t>
  </si>
  <si>
    <t>24/10/2027</t>
  </si>
  <si>
    <t>15/04/2023</t>
  </si>
  <si>
    <t>GTL Trade Finance Inc</t>
  </si>
  <si>
    <t>16/04/2044</t>
  </si>
  <si>
    <t>29/04/2024</t>
  </si>
  <si>
    <t>GTL Trade Finance Inc / Gerdau Holdings Inc</t>
  </si>
  <si>
    <t>GUSAP III LP</t>
  </si>
  <si>
    <t>21/01/2030</t>
  </si>
  <si>
    <t>GOL LINHAS AEREAS S/A</t>
  </si>
  <si>
    <t>Gol Linhas Aéreas</t>
  </si>
  <si>
    <t xml:space="preserve">VRGL15    </t>
  </si>
  <si>
    <t xml:space="preserve">VRGL16    </t>
  </si>
  <si>
    <t xml:space="preserve">VRGL17    </t>
  </si>
  <si>
    <t xml:space="preserve">VRGL18    </t>
  </si>
  <si>
    <t xml:space="preserve">VRGL27    </t>
  </si>
  <si>
    <t>Gol Finance Inc</t>
  </si>
  <si>
    <t>31/01/2025</t>
  </si>
  <si>
    <t>Gol Finance SA</t>
  </si>
  <si>
    <t>30/06/2026</t>
  </si>
  <si>
    <t>24/01/2022</t>
  </si>
  <si>
    <t>Gol Linhas Aereas SA</t>
  </si>
  <si>
    <t>12/02/2023</t>
  </si>
  <si>
    <t>HIDROVIAS DO BRASIL S.A.</t>
  </si>
  <si>
    <t>Hidrovias do Brasil</t>
  </si>
  <si>
    <t xml:space="preserve">HBSA11    </t>
  </si>
  <si>
    <t xml:space="preserve">HBSA21    </t>
  </si>
  <si>
    <t>Hidrovias International Finance SARL</t>
  </si>
  <si>
    <t>08/02/2031</t>
  </si>
  <si>
    <t>24/01/2025</t>
  </si>
  <si>
    <t>HYPERA S/A</t>
  </si>
  <si>
    <t>Hypera</t>
  </si>
  <si>
    <t xml:space="preserve">HYPE14    </t>
  </si>
  <si>
    <t xml:space="preserve">HYPE15    </t>
  </si>
  <si>
    <t xml:space="preserve">HYPE16    </t>
  </si>
  <si>
    <t xml:space="preserve">HYPE17    </t>
  </si>
  <si>
    <t xml:space="preserve">HYPE18    </t>
  </si>
  <si>
    <t xml:space="preserve">HYPE19    </t>
  </si>
  <si>
    <t xml:space="preserve">HYPE24    </t>
  </si>
  <si>
    <t xml:space="preserve">HYPEA0    </t>
  </si>
  <si>
    <t xml:space="preserve">HYPEA1    </t>
  </si>
  <si>
    <t xml:space="preserve">HYPEB0    </t>
  </si>
  <si>
    <t>Hypera SA</t>
  </si>
  <si>
    <t>20/04/2021</t>
  </si>
  <si>
    <t>INTERCEMENT BRASIL S.A.</t>
  </si>
  <si>
    <t>InterCement</t>
  </si>
  <si>
    <t xml:space="preserve">CCCI12    </t>
  </si>
  <si>
    <t xml:space="preserve">CCCI13    </t>
  </si>
  <si>
    <t xml:space="preserve">CCCI22    </t>
  </si>
  <si>
    <t xml:space="preserve">CCCI23    </t>
  </si>
  <si>
    <t xml:space="preserve">CCCI33    </t>
  </si>
  <si>
    <t xml:space="preserve">CCCI43    </t>
  </si>
  <si>
    <t xml:space="preserve">CCCI53    </t>
  </si>
  <si>
    <t xml:space="preserve">CCCI63    </t>
  </si>
  <si>
    <t xml:space="preserve">CCCI73    </t>
  </si>
  <si>
    <t xml:space="preserve">CCCI83    </t>
  </si>
  <si>
    <t xml:space="preserve">CCCI93    </t>
  </si>
  <si>
    <t xml:space="preserve">ICBR14    </t>
  </si>
  <si>
    <t xml:space="preserve">ICBR24    </t>
  </si>
  <si>
    <t xml:space="preserve">ICBR34    </t>
  </si>
  <si>
    <t xml:space="preserve">ICBR44    </t>
  </si>
  <si>
    <t xml:space="preserve">ICBR54    </t>
  </si>
  <si>
    <t xml:space="preserve">ICBR64    </t>
  </si>
  <si>
    <t xml:space="preserve">ICBR74    </t>
  </si>
  <si>
    <t xml:space="preserve">ICBR84    </t>
  </si>
  <si>
    <t xml:space="preserve">ICBR94    </t>
  </si>
  <si>
    <t xml:space="preserve">SFCI11    </t>
  </si>
  <si>
    <t>INTERCEMENT PARTICIPACOES S.A.</t>
  </si>
  <si>
    <t xml:space="preserve">ITCT11    </t>
  </si>
  <si>
    <t xml:space="preserve">ITCT21    </t>
  </si>
  <si>
    <t xml:space="preserve">ITCT31    </t>
  </si>
  <si>
    <t xml:space="preserve">ITCT41    </t>
  </si>
  <si>
    <t xml:space="preserve">ITCT51    </t>
  </si>
  <si>
    <t xml:space="preserve">ITCT61    </t>
  </si>
  <si>
    <t xml:space="preserve">ITCT71    </t>
  </si>
  <si>
    <t xml:space="preserve">ITCT81    </t>
  </si>
  <si>
    <t xml:space="preserve">ITCT91    </t>
  </si>
  <si>
    <t>InterCement Financial Operations BV</t>
  </si>
  <si>
    <t>17/07/2024</t>
  </si>
  <si>
    <t>IOCHPE-MAXION S/A</t>
  </si>
  <si>
    <t>Iochpe-Maxion</t>
  </si>
  <si>
    <t xml:space="preserve">IOCH10    </t>
  </si>
  <si>
    <t xml:space="preserve">IOCH15    </t>
  </si>
  <si>
    <t xml:space="preserve">IOCH17    </t>
  </si>
  <si>
    <t xml:space="preserve">IOCH18    </t>
  </si>
  <si>
    <t xml:space="preserve">IOCH19    </t>
  </si>
  <si>
    <t xml:space="preserve">IOCH27    </t>
  </si>
  <si>
    <t xml:space="preserve">IOCH29    </t>
  </si>
  <si>
    <t>Iochpe-Maxion Austria GmbH / Maxion Wheels de Mexico S de RL de CV</t>
  </si>
  <si>
    <t>07/05/2028</t>
  </si>
  <si>
    <t>KLABIN S/A</t>
  </si>
  <si>
    <t>Klabin</t>
  </si>
  <si>
    <t xml:space="preserve">KLBNA2    </t>
  </si>
  <si>
    <t>Klabin Austria GmbH</t>
  </si>
  <si>
    <t>03/04/2049</t>
  </si>
  <si>
    <t>03/04/2029</t>
  </si>
  <si>
    <t>12/01/2031</t>
  </si>
  <si>
    <t>19/09/2027</t>
  </si>
  <si>
    <t>16/07/2024</t>
  </si>
  <si>
    <t>LIGHT ENERGIA S.A</t>
  </si>
  <si>
    <t>Light Energia</t>
  </si>
  <si>
    <t xml:space="preserve">LGTE11    </t>
  </si>
  <si>
    <t xml:space="preserve">LGTE14    </t>
  </si>
  <si>
    <t xml:space="preserve">LGTE15    </t>
  </si>
  <si>
    <t xml:space="preserve">LGTE16    </t>
  </si>
  <si>
    <t xml:space="preserve">LGTE17    </t>
  </si>
  <si>
    <t xml:space="preserve">LGTE27    </t>
  </si>
  <si>
    <t xml:space="preserve">LTEN12    </t>
  </si>
  <si>
    <t>LIGHT SERVICOS DE ELETRICIDADE S/A</t>
  </si>
  <si>
    <t xml:space="preserve">LIGH1B    </t>
  </si>
  <si>
    <t xml:space="preserve">LIGHA1    </t>
  </si>
  <si>
    <t xml:space="preserve">LIGHA2    </t>
  </si>
  <si>
    <t xml:space="preserve">LIGHA3    </t>
  </si>
  <si>
    <t xml:space="preserve">LIGHA4    </t>
  </si>
  <si>
    <t xml:space="preserve">LIGHA5    </t>
  </si>
  <si>
    <t xml:space="preserve">LIGHA6    </t>
  </si>
  <si>
    <t xml:space="preserve">LIGHA7    </t>
  </si>
  <si>
    <t xml:space="preserve">LIGHA8    </t>
  </si>
  <si>
    <t xml:space="preserve">LIGHA9    </t>
  </si>
  <si>
    <t xml:space="preserve">LIGHB0    </t>
  </si>
  <si>
    <t xml:space="preserve">LIGHB2    </t>
  </si>
  <si>
    <t xml:space="preserve">LIGHB5    </t>
  </si>
  <si>
    <t xml:space="preserve">LIGHB6    </t>
  </si>
  <si>
    <t xml:space="preserve">LIGHB7    </t>
  </si>
  <si>
    <t xml:space="preserve">LIGHC2    </t>
  </si>
  <si>
    <t xml:space="preserve">LIGHC3    </t>
  </si>
  <si>
    <t xml:space="preserve">LIGHC6    </t>
  </si>
  <si>
    <t xml:space="preserve">LIGHD2    </t>
  </si>
  <si>
    <t xml:space="preserve">LIGHD3    </t>
  </si>
  <si>
    <t xml:space="preserve">LIGHD7    </t>
  </si>
  <si>
    <t xml:space="preserve">LSVE10    </t>
  </si>
  <si>
    <t xml:space="preserve">LSVE17    </t>
  </si>
  <si>
    <t xml:space="preserve">LSVE19    </t>
  </si>
  <si>
    <t xml:space="preserve">LSVE29    </t>
  </si>
  <si>
    <t>Light Servicos de Eletricidade SA/Light Energia SA</t>
  </si>
  <si>
    <t>18/06/2026</t>
  </si>
  <si>
    <t>03/05/2023</t>
  </si>
  <si>
    <t>MARFRIG GLOBAL FOODS S.A.</t>
  </si>
  <si>
    <t>Marfrig</t>
  </si>
  <si>
    <t xml:space="preserve">MRFG13    </t>
  </si>
  <si>
    <t xml:space="preserve">MRFG23    </t>
  </si>
  <si>
    <t>MARB BondCo PLC</t>
  </si>
  <si>
    <t>29/01/2031</t>
  </si>
  <si>
    <t>19/01/2025</t>
  </si>
  <si>
    <t>15/03/2024</t>
  </si>
  <si>
    <t>Marfrig Holdings Europe BV</t>
  </si>
  <si>
    <t>08/06/2023</t>
  </si>
  <si>
    <t>24/06/2019</t>
  </si>
  <si>
    <t>09/05/2018</t>
  </si>
  <si>
    <t>20/09/2021</t>
  </si>
  <si>
    <t>24/07/2017</t>
  </si>
  <si>
    <t>NBM US Holdings Inc</t>
  </si>
  <si>
    <t>14/05/2026</t>
  </si>
  <si>
    <t>06/08/2029</t>
  </si>
  <si>
    <t>MINERVA S/A</t>
  </si>
  <si>
    <t>Minerva</t>
  </si>
  <si>
    <t xml:space="preserve">MNRV14    </t>
  </si>
  <si>
    <t xml:space="preserve">MNRV16    </t>
  </si>
  <si>
    <t xml:space="preserve">MNRVA1    </t>
  </si>
  <si>
    <t>Minerva Luxembourg SA</t>
  </si>
  <si>
    <t>18/03/2031</t>
  </si>
  <si>
    <t>19/01/2028</t>
  </si>
  <si>
    <t>20/09/2026</t>
  </si>
  <si>
    <t>31/01/2023</t>
  </si>
  <si>
    <t>10/02/2022</t>
  </si>
  <si>
    <t>MOVIDA GESTAO E TERCEIRIZACAO DE FROTAS S/A</t>
  </si>
  <si>
    <t>Movida</t>
  </si>
  <si>
    <t xml:space="preserve">JSLO11    </t>
  </si>
  <si>
    <t>MOVIDA LOCACAO DE VEICULOS S.A.</t>
  </si>
  <si>
    <t xml:space="preserve">CSBR11    </t>
  </si>
  <si>
    <t xml:space="preserve">CSBR12    </t>
  </si>
  <si>
    <t xml:space="preserve">MVLV11    </t>
  </si>
  <si>
    <t xml:space="preserve">MVLV12    </t>
  </si>
  <si>
    <t xml:space="preserve">MVLV13    </t>
  </si>
  <si>
    <t xml:space="preserve">MVLV14    </t>
  </si>
  <si>
    <t xml:space="preserve">MVLV15    </t>
  </si>
  <si>
    <t xml:space="preserve">MVLV16    </t>
  </si>
  <si>
    <t xml:space="preserve">MVLV17    </t>
  </si>
  <si>
    <t xml:space="preserve">MVLV26    </t>
  </si>
  <si>
    <t>MOVIDA PARTICIPACOES S/A</t>
  </si>
  <si>
    <t xml:space="preserve">MOVI11    </t>
  </si>
  <si>
    <t xml:space="preserve">MOVI12    </t>
  </si>
  <si>
    <t xml:space="preserve">MOVI13    </t>
  </si>
  <si>
    <t xml:space="preserve">MOVI14    </t>
  </si>
  <si>
    <t xml:space="preserve">MOVI15    </t>
  </si>
  <si>
    <t xml:space="preserve">MOVI16    </t>
  </si>
  <si>
    <t xml:space="preserve">MOVI17    </t>
  </si>
  <si>
    <t xml:space="preserve">MOVI21    </t>
  </si>
  <si>
    <t xml:space="preserve">MOVI22    </t>
  </si>
  <si>
    <t xml:space="preserve">MOVI23    </t>
  </si>
  <si>
    <t xml:space="preserve">MOVI24    </t>
  </si>
  <si>
    <t xml:space="preserve">MOVI25    </t>
  </si>
  <si>
    <t xml:space="preserve">MOVI27    </t>
  </si>
  <si>
    <t xml:space="preserve">MOVI32    </t>
  </si>
  <si>
    <t xml:space="preserve">MOVI33    </t>
  </si>
  <si>
    <t xml:space="preserve">MOVI34    </t>
  </si>
  <si>
    <t xml:space="preserve">MOVI37    </t>
  </si>
  <si>
    <t>Movida Europe SA</t>
  </si>
  <si>
    <t>NATURA COSMETICOS S/A</t>
  </si>
  <si>
    <t>Natura Cosméticos</t>
  </si>
  <si>
    <t xml:space="preserve">NATU15    </t>
  </si>
  <si>
    <t xml:space="preserve">NATU16    </t>
  </si>
  <si>
    <t xml:space="preserve">NATU17    </t>
  </si>
  <si>
    <t xml:space="preserve">NATU18    </t>
  </si>
  <si>
    <t xml:space="preserve">NATU19    </t>
  </si>
  <si>
    <t xml:space="preserve">NATU25    </t>
  </si>
  <si>
    <t xml:space="preserve">NATU26    </t>
  </si>
  <si>
    <t xml:space="preserve">NATU27    </t>
  </si>
  <si>
    <t xml:space="preserve">NATU29    </t>
  </si>
  <si>
    <t xml:space="preserve">NATU35    </t>
  </si>
  <si>
    <t xml:space="preserve">NATU36    </t>
  </si>
  <si>
    <t xml:space="preserve">NATU39    </t>
  </si>
  <si>
    <t xml:space="preserve">NATUA0    </t>
  </si>
  <si>
    <t xml:space="preserve">NATUB0    </t>
  </si>
  <si>
    <t xml:space="preserve">NATUC0    </t>
  </si>
  <si>
    <t xml:space="preserve">NATUD0    </t>
  </si>
  <si>
    <t>Natura Cosmeticos SA</t>
  </si>
  <si>
    <t>03/05/2028</t>
  </si>
  <si>
    <t>01/02/2023</t>
  </si>
  <si>
    <t>OI S/A – EM RECUPERACAO JUDICIAL</t>
  </si>
  <si>
    <t>Oi</t>
  </si>
  <si>
    <t xml:space="preserve">BRTO10    </t>
  </si>
  <si>
    <t xml:space="preserve">BRTO17    </t>
  </si>
  <si>
    <t xml:space="preserve">BRTO18    </t>
  </si>
  <si>
    <t xml:space="preserve">BRTO19    </t>
  </si>
  <si>
    <t xml:space="preserve">BRTO29    </t>
  </si>
  <si>
    <t xml:space="preserve">OIBRA2    </t>
  </si>
  <si>
    <t>Oi Brasil Holdings Cooperatief UA</t>
  </si>
  <si>
    <t>Oi SA</t>
  </si>
  <si>
    <t>27/07/2025</t>
  </si>
  <si>
    <t>PETROLEO BRASILEIRO S/A - PETROBRAS</t>
  </si>
  <si>
    <t>Petrobras</t>
  </si>
  <si>
    <t xml:space="preserve">PETR14    </t>
  </si>
  <si>
    <t xml:space="preserve">PETR15    </t>
  </si>
  <si>
    <t xml:space="preserve">PETR16    </t>
  </si>
  <si>
    <t xml:space="preserve">PETR17    </t>
  </si>
  <si>
    <t xml:space="preserve">PETR25    </t>
  </si>
  <si>
    <t xml:space="preserve">PETR26    </t>
  </si>
  <si>
    <t xml:space="preserve">PETR27    </t>
  </si>
  <si>
    <t xml:space="preserve">PETR35    </t>
  </si>
  <si>
    <t xml:space="preserve">PETR36    </t>
  </si>
  <si>
    <t xml:space="preserve">PETR45    </t>
  </si>
  <si>
    <t>Petrobras Global Finance BV</t>
  </si>
  <si>
    <t>03/01/2031</t>
  </si>
  <si>
    <t>27/01/2028</t>
  </si>
  <si>
    <t>17/03/2044</t>
  </si>
  <si>
    <t>10/06/2051</t>
  </si>
  <si>
    <t>17/01/2027</t>
  </si>
  <si>
    <t>19/03/2049</t>
  </si>
  <si>
    <t>17/03/2024</t>
  </si>
  <si>
    <t>15/01/2030</t>
  </si>
  <si>
    <t>01/02/2029</t>
  </si>
  <si>
    <t>27/01/2025</t>
  </si>
  <si>
    <t>27/01/2041</t>
  </si>
  <si>
    <t>23/05/2026</t>
  </si>
  <si>
    <t>03/06/2050</t>
  </si>
  <si>
    <t>20/05/2043</t>
  </si>
  <si>
    <t>20/05/2023</t>
  </si>
  <si>
    <t>27/01/2021</t>
  </si>
  <si>
    <t>17/01/2022</t>
  </si>
  <si>
    <t>23/05/2021</t>
  </si>
  <si>
    <t>06/02/2017</t>
  </si>
  <si>
    <t>17/03/2017</t>
  </si>
  <si>
    <t>27/01/2016</t>
  </si>
  <si>
    <t>17/03/2020</t>
  </si>
  <si>
    <t>06/02/2015</t>
  </si>
  <si>
    <t>CONSTRUTORA QUEIROZ GALVAO S/A</t>
  </si>
  <si>
    <t>Queiroz Galvão</t>
  </si>
  <si>
    <t xml:space="preserve">GALV14    </t>
  </si>
  <si>
    <t>QUEIROZ GALVAO DESENVOLVIMENTO DE NEGOCIOS S.A.</t>
  </si>
  <si>
    <t xml:space="preserve">QRZG11    </t>
  </si>
  <si>
    <t>QUEIROZ GALVAO DESENVOLVIMENTO IMOBILIARIO S.A.</t>
  </si>
  <si>
    <t xml:space="preserve">QGDI13    </t>
  </si>
  <si>
    <t xml:space="preserve">QGDI14    </t>
  </si>
  <si>
    <t xml:space="preserve">QGIM12    </t>
  </si>
  <si>
    <t xml:space="preserve">QGIM13    </t>
  </si>
  <si>
    <t>QUEIROZ GALVAO S/A</t>
  </si>
  <si>
    <t xml:space="preserve">QGSA16    </t>
  </si>
  <si>
    <t xml:space="preserve">QGSA26    </t>
  </si>
  <si>
    <t xml:space="preserve">QGSA35    </t>
  </si>
  <si>
    <t xml:space="preserve">QGSA36    </t>
  </si>
  <si>
    <t>QGOG Atlantic / Alaskan Rigs Ltd</t>
  </si>
  <si>
    <t>30/07/2018</t>
  </si>
  <si>
    <t>RAIZEN ENERGIA S/A</t>
  </si>
  <si>
    <t>Raizen</t>
  </si>
  <si>
    <t xml:space="preserve">RESA11    </t>
  </si>
  <si>
    <t xml:space="preserve">RESA14    </t>
  </si>
  <si>
    <t xml:space="preserve">RESA15    </t>
  </si>
  <si>
    <t xml:space="preserve">RESA21    </t>
  </si>
  <si>
    <t xml:space="preserve">RESA31    </t>
  </si>
  <si>
    <t>Raizen Fuels Finance SA</t>
  </si>
  <si>
    <t>REDE DOR SAO LUIZ S/A</t>
  </si>
  <si>
    <t>Rede D'or</t>
  </si>
  <si>
    <t xml:space="preserve">HMSL11    </t>
  </si>
  <si>
    <t xml:space="preserve">HMSL12    </t>
  </si>
  <si>
    <t xml:space="preserve">HMSL15    </t>
  </si>
  <si>
    <t xml:space="preserve">HMSL16    </t>
  </si>
  <si>
    <t xml:space="preserve">HSLZ17    </t>
  </si>
  <si>
    <t xml:space="preserve">HSLZ18    </t>
  </si>
  <si>
    <t xml:space="preserve">HSLZ19    </t>
  </si>
  <si>
    <t xml:space="preserve">HSLZ27    </t>
  </si>
  <si>
    <t xml:space="preserve">HSLZ29    </t>
  </si>
  <si>
    <t xml:space="preserve">HSLZ37    </t>
  </si>
  <si>
    <t xml:space="preserve">HSLZA3    </t>
  </si>
  <si>
    <t xml:space="preserve">HSLZA4    </t>
  </si>
  <si>
    <t xml:space="preserve">MEDS11    </t>
  </si>
  <si>
    <t xml:space="preserve">RDOR13    </t>
  </si>
  <si>
    <t xml:space="preserve">RDOR14    </t>
  </si>
  <si>
    <t xml:space="preserve">RDORB7    </t>
  </si>
  <si>
    <t xml:space="preserve">RDORB9    </t>
  </si>
  <si>
    <t xml:space="preserve">RDORC7    </t>
  </si>
  <si>
    <t xml:space="preserve">RDORC9    </t>
  </si>
  <si>
    <t>Rede D'or Finance Sarl</t>
  </si>
  <si>
    <t>22/01/2030</t>
  </si>
  <si>
    <t>17/01/2028</t>
  </si>
  <si>
    <t>RUMO S.A.</t>
  </si>
  <si>
    <t>Rumo</t>
  </si>
  <si>
    <t xml:space="preserve">ALLG10    </t>
  </si>
  <si>
    <t xml:space="preserve">ALLG18    </t>
  </si>
  <si>
    <t xml:space="preserve">ALLG19    </t>
  </si>
  <si>
    <t xml:space="preserve">ALLG28    </t>
  </si>
  <si>
    <t xml:space="preserve">ALLG29    </t>
  </si>
  <si>
    <t xml:space="preserve">RUMO11    </t>
  </si>
  <si>
    <t xml:space="preserve">RUMOA2    </t>
  </si>
  <si>
    <t xml:space="preserve">RUMOA3    </t>
  </si>
  <si>
    <t xml:space="preserve">RUMOA4    </t>
  </si>
  <si>
    <t xml:space="preserve">RUMOA5    </t>
  </si>
  <si>
    <t xml:space="preserve">RUMOA6    </t>
  </si>
  <si>
    <t xml:space="preserve">RUMOB3    </t>
  </si>
  <si>
    <t xml:space="preserve">RUMOB5    </t>
  </si>
  <si>
    <t xml:space="preserve">RUMOB6    </t>
  </si>
  <si>
    <t>Rumo Luxembourg Sarl</t>
  </si>
  <si>
    <t>18/01/2032</t>
  </si>
  <si>
    <t>JSL S.A</t>
  </si>
  <si>
    <t>Simpar</t>
  </si>
  <si>
    <t xml:space="preserve">JSLGA5    </t>
  </si>
  <si>
    <t xml:space="preserve">JSML14    </t>
  </si>
  <si>
    <t xml:space="preserve">JSML15    </t>
  </si>
  <si>
    <t xml:space="preserve">JSML16    </t>
  </si>
  <si>
    <t xml:space="preserve">JSML17    </t>
  </si>
  <si>
    <t xml:space="preserve">JSML18    </t>
  </si>
  <si>
    <t xml:space="preserve">JSML19    </t>
  </si>
  <si>
    <t xml:space="preserve">JSML26    </t>
  </si>
  <si>
    <t xml:space="preserve">JSML28    </t>
  </si>
  <si>
    <t xml:space="preserve">JSML29    </t>
  </si>
  <si>
    <t xml:space="preserve">JSML36    </t>
  </si>
  <si>
    <t xml:space="preserve">JSML38    </t>
  </si>
  <si>
    <t xml:space="preserve">JSMLA1    </t>
  </si>
  <si>
    <t xml:space="preserve">JSMLA2    </t>
  </si>
  <si>
    <t xml:space="preserve">JSMLA3    </t>
  </si>
  <si>
    <t xml:space="preserve">JSMLA4    </t>
  </si>
  <si>
    <t xml:space="preserve">JSMLA5    </t>
  </si>
  <si>
    <t xml:space="preserve">JSMLB3    </t>
  </si>
  <si>
    <t xml:space="preserve">JSMLB5    </t>
  </si>
  <si>
    <t>JSM Global Sarl</t>
  </si>
  <si>
    <t>20/10/2030</t>
  </si>
  <si>
    <t>Simpar Europe SA</t>
  </si>
  <si>
    <t>26/01/2031</t>
  </si>
  <si>
    <t>26/07/2024</t>
  </si>
  <si>
    <t>SUZANO S.A.</t>
  </si>
  <si>
    <t>Suzano</t>
  </si>
  <si>
    <t xml:space="preserve">SUZB16    </t>
  </si>
  <si>
    <t xml:space="preserve">SUZB17    </t>
  </si>
  <si>
    <t xml:space="preserve">SUZB18    </t>
  </si>
  <si>
    <t>Suzano Austria GmbH</t>
  </si>
  <si>
    <t>16/03/2047</t>
  </si>
  <si>
    <t>15/01/2029</t>
  </si>
  <si>
    <t>15/01/2032</t>
  </si>
  <si>
    <t>15/01/2031</t>
  </si>
  <si>
    <t>15/09/2028</t>
  </si>
  <si>
    <t>14/07/2026</t>
  </si>
  <si>
    <t>ULTRAPAR PARTICIPACOES S/A</t>
  </si>
  <si>
    <t>Ultrapar</t>
  </si>
  <si>
    <t xml:space="preserve">UGPA14    </t>
  </si>
  <si>
    <t xml:space="preserve">UGPA15    </t>
  </si>
  <si>
    <t xml:space="preserve">UGPA16    </t>
  </si>
  <si>
    <t>Ultrapar International SA</t>
  </si>
  <si>
    <t>06/06/2029</t>
  </si>
  <si>
    <t>06/10/2026</t>
  </si>
  <si>
    <t>USINAS SIDERURGICAS DE MG S/A - USIMINAS</t>
  </si>
  <si>
    <t>Usiminas</t>
  </si>
  <si>
    <t xml:space="preserve">USIM16    </t>
  </si>
  <si>
    <t xml:space="preserve">USIM17    </t>
  </si>
  <si>
    <t xml:space="preserve">USIM27    </t>
  </si>
  <si>
    <t>Usiminas International Sarl</t>
  </si>
  <si>
    <t>18/07/2026</t>
  </si>
  <si>
    <t>VALE S/A</t>
  </si>
  <si>
    <t>Vale</t>
  </si>
  <si>
    <t xml:space="preserve">VALE18    </t>
  </si>
  <si>
    <t xml:space="preserve">VALE19    </t>
  </si>
  <si>
    <t xml:space="preserve">VALE28    </t>
  </si>
  <si>
    <t xml:space="preserve">VALE29    </t>
  </si>
  <si>
    <t xml:space="preserve">VALE38    </t>
  </si>
  <si>
    <t xml:space="preserve">VALE48    </t>
  </si>
  <si>
    <t>Vale Overseas Ltd</t>
  </si>
  <si>
    <t>08/07/2030</t>
  </si>
  <si>
    <t>10/08/2026</t>
  </si>
  <si>
    <t>11/01/2022</t>
  </si>
  <si>
    <t>Vale SA</t>
  </si>
  <si>
    <t>11/09/2042</t>
  </si>
  <si>
    <t>VOTORANTIM CIMENTOS S/A</t>
  </si>
  <si>
    <t>Votorantim Cimentos</t>
  </si>
  <si>
    <t xml:space="preserve">VEBM17    </t>
  </si>
  <si>
    <t xml:space="preserve">VEBM18    </t>
  </si>
  <si>
    <t xml:space="preserve">VEBM19    </t>
  </si>
  <si>
    <t xml:space="preserve">VEBM27    </t>
  </si>
  <si>
    <t xml:space="preserve">VEBM37    </t>
  </si>
  <si>
    <t xml:space="preserve">VEBMA2    </t>
  </si>
  <si>
    <t xml:space="preserve">VEBMA3    </t>
  </si>
  <si>
    <t xml:space="preserve">VTCM13    </t>
  </si>
  <si>
    <t xml:space="preserve">VTCM14    </t>
  </si>
  <si>
    <t xml:space="preserve">VTCM15    </t>
  </si>
  <si>
    <t xml:space="preserve">VTCM16    </t>
  </si>
  <si>
    <t xml:space="preserve">VTCM24    </t>
  </si>
  <si>
    <t>VOTORANTIM SIDERURGIA S.A.</t>
  </si>
  <si>
    <t xml:space="preserve">SDBM11    </t>
  </si>
  <si>
    <t>Votorantim Cimentos International SA</t>
  </si>
  <si>
    <t>05/04/2041</t>
  </si>
  <si>
    <t>Votorantim Cimentos SA</t>
  </si>
  <si>
    <t>USD</t>
  </si>
  <si>
    <t>Companhia</t>
  </si>
  <si>
    <t>Fitch</t>
  </si>
  <si>
    <t>Moody's</t>
  </si>
  <si>
    <t>S&amp;P</t>
  </si>
  <si>
    <t>NR</t>
  </si>
  <si>
    <t>BB</t>
  </si>
  <si>
    <t>AAA</t>
  </si>
  <si>
    <t>Aaa</t>
  </si>
  <si>
    <t>AA+</t>
  </si>
  <si>
    <t>Aa1</t>
  </si>
  <si>
    <t>BBB-</t>
  </si>
  <si>
    <t>BB+</t>
  </si>
  <si>
    <t>B-</t>
  </si>
  <si>
    <t>CCC-</t>
  </si>
  <si>
    <t>RD</t>
  </si>
  <si>
    <t xml:space="preserve">AA </t>
  </si>
  <si>
    <t>Aa2</t>
  </si>
  <si>
    <t>BB-</t>
  </si>
  <si>
    <t>CCC+</t>
  </si>
  <si>
    <t>AA-</t>
  </si>
  <si>
    <t>Aa3</t>
  </si>
  <si>
    <t>A+</t>
  </si>
  <si>
    <t>A1</t>
  </si>
  <si>
    <t>A</t>
  </si>
  <si>
    <t>A2</t>
  </si>
  <si>
    <t>BBB</t>
  </si>
  <si>
    <t>Baa3</t>
  </si>
  <si>
    <t>B+</t>
  </si>
  <si>
    <t>B</t>
  </si>
  <si>
    <t>Ba1</t>
  </si>
  <si>
    <t>Ba2</t>
  </si>
  <si>
    <t>Ba3</t>
  </si>
  <si>
    <t>BBB+</t>
  </si>
  <si>
    <t>B1</t>
  </si>
  <si>
    <t>B3</t>
  </si>
  <si>
    <t>C</t>
  </si>
  <si>
    <t>Caa3</t>
  </si>
  <si>
    <t>D</t>
  </si>
  <si>
    <t>WD</t>
  </si>
  <si>
    <t>WR</t>
  </si>
  <si>
    <t>PIF</t>
  </si>
  <si>
    <t>CC</t>
  </si>
  <si>
    <t>CCC</t>
  </si>
  <si>
    <r>
      <rPr>
        <sz val="11"/>
        <color theme="1"/>
        <rFont val="Calibri"/>
        <family val="2"/>
      </rPr>
      <t>β</t>
    </r>
    <r>
      <rPr>
        <i/>
        <sz val="11"/>
        <color theme="1"/>
        <rFont val="Calibri"/>
        <family val="2"/>
        <scheme val="minor"/>
      </rPr>
      <t>Call</t>
    </r>
  </si>
  <si>
    <t>F</t>
  </si>
  <si>
    <t>Janeiro</t>
  </si>
  <si>
    <t>G</t>
  </si>
  <si>
    <t>Fevereiro</t>
  </si>
  <si>
    <t>H</t>
  </si>
  <si>
    <t>Março</t>
  </si>
  <si>
    <t>J</t>
  </si>
  <si>
    <t>Abril</t>
  </si>
  <si>
    <t>K</t>
  </si>
  <si>
    <t>Maio</t>
  </si>
  <si>
    <t>M</t>
  </si>
  <si>
    <t>Junho</t>
  </si>
  <si>
    <t>Julho</t>
  </si>
  <si>
    <t>Q</t>
  </si>
  <si>
    <t>Agosto</t>
  </si>
  <si>
    <t>V</t>
  </si>
  <si>
    <t>Outubro</t>
  </si>
  <si>
    <t>X</t>
  </si>
  <si>
    <t>Novembro</t>
  </si>
  <si>
    <t>Z</t>
  </si>
  <si>
    <t>Dezembro</t>
  </si>
  <si>
    <t>taxa de juros preço ajuste atual</t>
  </si>
  <si>
    <t>bmf boletim1 sistemapregão</t>
  </si>
  <si>
    <t>Data</t>
  </si>
  <si>
    <t>Feriado</t>
  </si>
  <si>
    <t>Confraternização Universal</t>
  </si>
  <si>
    <t>Carnaval</t>
  </si>
  <si>
    <t>Paixão de Cristo</t>
  </si>
  <si>
    <t>Tiradentes</t>
  </si>
  <si>
    <t>Dia do Trabalho</t>
  </si>
  <si>
    <t>Corpus Christi</t>
  </si>
  <si>
    <t>Independência do Brasil</t>
  </si>
  <si>
    <t>Nossa Sr.a Aparecida - Padroeira do Brasil</t>
  </si>
  <si>
    <t>Finados</t>
  </si>
  <si>
    <t>Proclamação da República</t>
  </si>
  <si>
    <t>Natal</t>
  </si>
  <si>
    <t>Grupo</t>
  </si>
  <si>
    <t>Curva DI Futuro</t>
  </si>
  <si>
    <t>Preço Ajustado M0</t>
  </si>
  <si>
    <t>Preço Ajustado M1</t>
  </si>
  <si>
    <t>Interpolação</t>
  </si>
  <si>
    <t>Preço DAP M0</t>
  </si>
  <si>
    <t>Preço DAP M1</t>
  </si>
  <si>
    <t>Vértice</t>
  </si>
  <si>
    <t>DU anterior</t>
  </si>
  <si>
    <t>DU posterior</t>
  </si>
  <si>
    <t>DU</t>
  </si>
  <si>
    <t>Cupom IPCA</t>
  </si>
  <si>
    <t>Spread</t>
  </si>
  <si>
    <t>Desvio Cambial</t>
  </si>
  <si>
    <t>CDI+ (IPCA)</t>
  </si>
  <si>
    <t>CDI+ (DOL)</t>
  </si>
  <si>
    <t>DC</t>
  </si>
  <si>
    <t>FRA Cupom Cambial</t>
  </si>
  <si>
    <t>FRA anterior</t>
  </si>
  <si>
    <t>DC anterior</t>
  </si>
  <si>
    <t>FRA posterior</t>
  </si>
  <si>
    <t>DC posterior</t>
  </si>
  <si>
    <t>Interpolação1</t>
  </si>
  <si>
    <t>Interpolação2</t>
  </si>
  <si>
    <t>Interpolação3</t>
  </si>
  <si>
    <t>FRA</t>
  </si>
  <si>
    <t>Spread DI+</t>
  </si>
  <si>
    <t>Apoio</t>
  </si>
  <si>
    <t>CDI+ (%CDI)</t>
  </si>
  <si>
    <t>check</t>
  </si>
  <si>
    <t>Preço USD</t>
  </si>
  <si>
    <t>Volume Emissão</t>
  </si>
  <si>
    <t>EMBI+ Brasil</t>
  </si>
  <si>
    <t> O EMBI+ (Emerging Markets Bond Index Plus) estima o desempenho diário dos títulos da dívida dos países emergentes em relação aos títulos do Tesouro dos Estados Unidos. O índice é baseado nos bônus (títulos de dívida) emitidos por este grupo de países e mostra os retornos financeiros obtidos a cada dia por uma carteira selecionada de títulos. O EMBI+ auxilia os investidores na compreensão do risco de investir no país, quanto mais alto for seu valor, maior a percepção de risco. Ele foi criado para classificar somente países que apresentassem alto nível de risco segundo as agências de "rating" e que tivessem emitido títulos de valor mínimo de US$ 500 milhões, com prazo de ao menos 2,5 anos. A unidade de medida deste índice é o ponto-base, onde dez pontos-base equivalem a um décimo de 1%. Os pontos mostram a diferença entre a taxa de retorno dos títulos de países emergentes e a oferecida por títulos emitidos pelo Tesouro americano. Essa diferença é o spread, ou o spread soberano. Mais informações: Metodologia EMBI. Emerging Markets Bond Index Plus: Rules and Methodology</t>
  </si>
  <si>
    <t>Apoio 2</t>
  </si>
  <si>
    <t>Emissao (i)</t>
  </si>
  <si>
    <t>Total Geral</t>
  </si>
  <si>
    <t>Rótulos de Linha</t>
  </si>
  <si>
    <t>Média de Spread DI+</t>
  </si>
  <si>
    <t>(Tudo)</t>
  </si>
  <si>
    <t>Mediana</t>
  </si>
  <si>
    <t>Média</t>
  </si>
  <si>
    <t>βHighGrade</t>
  </si>
  <si>
    <t>Total</t>
  </si>
  <si>
    <t>Grau de Investimento</t>
  </si>
  <si>
    <t>Grau Especulativo</t>
  </si>
  <si>
    <t>Máximo</t>
  </si>
  <si>
    <t>Mínimo</t>
  </si>
  <si>
    <t>Desvio Padrão</t>
  </si>
  <si>
    <t>Assimetria</t>
  </si>
  <si>
    <t>Excesso de Curtose</t>
  </si>
  <si>
    <t>βCall</t>
  </si>
  <si>
    <t>Com Call</t>
  </si>
  <si>
    <t>Sem Call</t>
  </si>
  <si>
    <t>Títulos Emitidos</t>
  </si>
  <si>
    <t>Volume Emitido (R$ bi)</t>
  </si>
  <si>
    <t>Spread Médio (%)</t>
  </si>
  <si>
    <t>Contagem de Spread DI+</t>
  </si>
  <si>
    <t>Prazo</t>
  </si>
  <si>
    <t>ID</t>
  </si>
  <si>
    <t>Volume R$ (100 MM)</t>
  </si>
  <si>
    <t>RiscoPaís (%)</t>
  </si>
  <si>
    <t>βGarantia</t>
  </si>
  <si>
    <t>0</t>
  </si>
  <si>
    <t>1</t>
  </si>
  <si>
    <t>Sem 
Garantia</t>
  </si>
  <si>
    <t>Com 
Garantia</t>
  </si>
  <si>
    <t>Volume Emitido
 (R$ bi)</t>
  </si>
  <si>
    <t>Soma de Volume R$ (100 MM)</t>
  </si>
  <si>
    <t>Subordinada</t>
  </si>
  <si>
    <t>Contagem de Garantia/Especie</t>
  </si>
  <si>
    <t>βDebInc</t>
  </si>
  <si>
    <t>Incentivada</t>
  </si>
  <si>
    <t>Contagem de Deb. Incent. (Lei 12.431)</t>
  </si>
  <si>
    <t>Convecional</t>
  </si>
  <si>
    <t>Debêntures
 Incentivadas</t>
  </si>
  <si>
    <t>Debêntures 
Convencionais</t>
  </si>
  <si>
    <t>Rating</t>
  </si>
  <si>
    <t>Contagem de Corporate Rating na data da Emissão</t>
  </si>
  <si>
    <t>2011</t>
  </si>
  <si>
    <t>2012</t>
  </si>
  <si>
    <t>2013</t>
  </si>
  <si>
    <t>2014</t>
  </si>
  <si>
    <t>2016</t>
  </si>
  <si>
    <t>2017</t>
  </si>
  <si>
    <t>2018</t>
  </si>
  <si>
    <t>2019</t>
  </si>
  <si>
    <t>2020</t>
  </si>
  <si>
    <t>2021</t>
  </si>
  <si>
    <t>Rótulos de Coluna</t>
  </si>
  <si>
    <t>2015</t>
  </si>
  <si>
    <t>Ano de Emissão</t>
  </si>
  <si>
    <t>Contagem de RiscoPaís (%)</t>
  </si>
  <si>
    <t>BRASKEM S/A</t>
  </si>
  <si>
    <t xml:space="preserve">AEGPA1    </t>
  </si>
  <si>
    <t xml:space="preserve">BRKMA6    </t>
  </si>
  <si>
    <t xml:space="preserve">BRKMA7    </t>
  </si>
  <si>
    <t xml:space="preserve">BRKMA8    </t>
  </si>
  <si>
    <t xml:space="preserve">BRKMB6    </t>
  </si>
  <si>
    <t xml:space="preserve">BRKMB8    </t>
  </si>
  <si>
    <t xml:space="preserve">CELP16    </t>
  </si>
  <si>
    <t xml:space="preserve">CIEL16    </t>
  </si>
  <si>
    <t xml:space="preserve">CMGD18    </t>
  </si>
  <si>
    <t xml:space="preserve">CMGD28    </t>
  </si>
  <si>
    <t xml:space="preserve">CMIN12    </t>
  </si>
  <si>
    <t xml:space="preserve">CMIN22    </t>
  </si>
  <si>
    <t xml:space="preserve">CMTR19    </t>
  </si>
  <si>
    <t xml:space="preserve">CMTR29    </t>
  </si>
  <si>
    <t xml:space="preserve">CSAN14    </t>
  </si>
  <si>
    <t xml:space="preserve">CSAN24    </t>
  </si>
  <si>
    <t xml:space="preserve">HBSA12    </t>
  </si>
  <si>
    <t xml:space="preserve">HBSA22    </t>
  </si>
  <si>
    <t xml:space="preserve">HYPEA2    </t>
  </si>
  <si>
    <t xml:space="preserve">HYPEA4    </t>
  </si>
  <si>
    <t xml:space="preserve">IOCHA1    </t>
  </si>
  <si>
    <t xml:space="preserve">IOCHB1    </t>
  </si>
  <si>
    <t xml:space="preserve">LAMEA7    </t>
  </si>
  <si>
    <t xml:space="preserve">LAMEA8    </t>
  </si>
  <si>
    <t xml:space="preserve">LIGHB4    </t>
  </si>
  <si>
    <t xml:space="preserve">MOVI18    </t>
  </si>
  <si>
    <t xml:space="preserve">MOVI19    </t>
  </si>
  <si>
    <t xml:space="preserve">MOVI28    </t>
  </si>
  <si>
    <t xml:space="preserve">MRFGA0    </t>
  </si>
  <si>
    <t xml:space="preserve">MRFGA1    </t>
  </si>
  <si>
    <t xml:space="preserve">MRFGB1    </t>
  </si>
  <si>
    <t xml:space="preserve">MVLV19    </t>
  </si>
  <si>
    <t xml:space="preserve">MVLVA0    </t>
  </si>
  <si>
    <t xml:space="preserve">MVLVA1    </t>
  </si>
  <si>
    <t xml:space="preserve">NATUA1    </t>
  </si>
  <si>
    <t xml:space="preserve">RDORA3    </t>
  </si>
  <si>
    <t xml:space="preserve">RDORA5    </t>
  </si>
  <si>
    <t xml:space="preserve">RDORB3    </t>
  </si>
  <si>
    <t xml:space="preserve">RDORB5    </t>
  </si>
  <si>
    <t xml:space="preserve">RDORC3    </t>
  </si>
  <si>
    <t xml:space="preserve">RESA17    </t>
  </si>
  <si>
    <t xml:space="preserve">RESA27    </t>
  </si>
  <si>
    <t xml:space="preserve">USIM18    </t>
  </si>
  <si>
    <t xml:space="preserve">USIM19    </t>
  </si>
  <si>
    <t xml:space="preserve">USIM28    </t>
  </si>
  <si>
    <t xml:space="preserve">USIM29    </t>
  </si>
  <si>
    <t xml:space="preserve">USIM39    </t>
  </si>
  <si>
    <t xml:space="preserve">VEBMA4    </t>
  </si>
  <si>
    <t xml:space="preserve"> -</t>
  </si>
  <si>
    <t>Natura &amp; Co Luxembourg 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</si>
</sst>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"/>
      <family val="2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23"/>
      </left>
      <right style="medium">
        <color indexed="23"/>
      </right>
      <top style="medium">
        <color indexed="23"/>
      </top>
      <bottom style="medium">
        <color indexed="23"/>
      </bottom>
      <diagonal/>
    </border>
    <border>
      <left/>
      <right style="medium">
        <color indexed="55"/>
      </right>
      <top style="medium">
        <color indexed="23"/>
      </top>
      <bottom style="medium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7" fillId="0" borderId="0"/>
    <xf numFmtId="0" fontId="7" fillId="0" borderId="0"/>
    <xf numFmtId="0" fontId="6" fillId="0" borderId="0"/>
    <xf numFmtId="0" fontId="12" fillId="0" borderId="0" applyNumberFormat="0" applyFill="0" applyBorder="0" applyAlignment="0" applyProtection="0"/>
  </cellStyleXfs>
  <cellXfs count="142">
    <xf numFmtId="0" fontId="0" fillId="0" borderId="0" xfId="0"/>
    <xf numFmtId="0" fontId="3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/>
    <xf numFmtId="14" fontId="0" fillId="0" borderId="0" xfId="0" applyNumberFormat="1"/>
    <xf numFmtId="4" fontId="0" fillId="0" borderId="0" xfId="0" applyNumberFormat="1"/>
    <xf numFmtId="10" fontId="0" fillId="0" borderId="0" xfId="0" applyNumberFormat="1"/>
    <xf numFmtId="14" fontId="6" fillId="0" borderId="0" xfId="3" applyNumberFormat="1"/>
    <xf numFmtId="0" fontId="8" fillId="0" borderId="3" xfId="2" applyFont="1" applyBorder="1" applyAlignment="1">
      <alignment horizontal="left" wrapText="1"/>
    </xf>
    <xf numFmtId="0" fontId="8" fillId="0" borderId="2" xfId="1" applyFont="1" applyBorder="1" applyAlignment="1">
      <alignment horizontal="left" wrapText="1"/>
    </xf>
    <xf numFmtId="0" fontId="6" fillId="0" borderId="0" xfId="3"/>
    <xf numFmtId="3" fontId="0" fillId="0" borderId="0" xfId="0" applyNumberFormat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4" fontId="0" fillId="4" borderId="0" xfId="0" applyNumberFormat="1" applyFill="1" applyAlignment="1">
      <alignment horizontal="center"/>
    </xf>
    <xf numFmtId="3" fontId="0" fillId="4" borderId="0" xfId="0" applyNumberFormat="1" applyFill="1" applyAlignment="1">
      <alignment horizontal="center"/>
    </xf>
    <xf numFmtId="4" fontId="0" fillId="5" borderId="0" xfId="0" applyNumberFormat="1" applyFill="1" applyAlignment="1">
      <alignment horizontal="center"/>
    </xf>
    <xf numFmtId="3" fontId="0" fillId="5" borderId="0" xfId="0" applyNumberFormat="1" applyFill="1" applyAlignment="1">
      <alignment horizontal="center"/>
    </xf>
    <xf numFmtId="10" fontId="0" fillId="0" borderId="0" xfId="0" applyNumberFormat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4" fontId="0" fillId="3" borderId="0" xfId="0" applyNumberFormat="1" applyFill="1" applyAlignment="1">
      <alignment horizontal="center"/>
    </xf>
    <xf numFmtId="10" fontId="0" fillId="6" borderId="0" xfId="0" applyNumberFormat="1" applyFill="1" applyAlignment="1">
      <alignment horizontal="center"/>
    </xf>
    <xf numFmtId="4" fontId="10" fillId="3" borderId="0" xfId="0" applyNumberFormat="1" applyFont="1" applyFill="1" applyAlignment="1">
      <alignment horizontal="center"/>
    </xf>
    <xf numFmtId="14" fontId="10" fillId="3" borderId="0" xfId="0" applyNumberFormat="1" applyFont="1" applyFill="1" applyAlignment="1">
      <alignment horizontal="center"/>
    </xf>
    <xf numFmtId="14" fontId="10" fillId="0" borderId="0" xfId="0" applyNumberFormat="1" applyFont="1" applyAlignment="1">
      <alignment horizontal="center"/>
    </xf>
    <xf numFmtId="10" fontId="10" fillId="0" borderId="0" xfId="0" applyNumberFormat="1" applyFont="1"/>
    <xf numFmtId="4" fontId="10" fillId="4" borderId="0" xfId="0" applyNumberFormat="1" applyFont="1" applyFill="1" applyAlignment="1">
      <alignment horizontal="center"/>
    </xf>
    <xf numFmtId="14" fontId="10" fillId="4" borderId="0" xfId="0" applyNumberFormat="1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4" fontId="11" fillId="3" borderId="0" xfId="0" applyNumberFormat="1" applyFont="1" applyFill="1" applyAlignment="1">
      <alignment horizontal="center"/>
    </xf>
    <xf numFmtId="0" fontId="11" fillId="0" borderId="0" xfId="0" applyFont="1"/>
    <xf numFmtId="3" fontId="11" fillId="3" borderId="0" xfId="0" applyNumberFormat="1" applyFont="1" applyFill="1" applyAlignment="1">
      <alignment horizontal="center"/>
    </xf>
    <xf numFmtId="3" fontId="11" fillId="0" borderId="0" xfId="0" applyNumberFormat="1" applyFont="1"/>
    <xf numFmtId="10" fontId="0" fillId="7" borderId="0" xfId="0" applyNumberFormat="1" applyFill="1" applyAlignment="1">
      <alignment horizontal="center"/>
    </xf>
    <xf numFmtId="3" fontId="5" fillId="4" borderId="0" xfId="0" applyNumberFormat="1" applyFont="1" applyFill="1" applyAlignment="1">
      <alignment horizontal="center"/>
    </xf>
    <xf numFmtId="4" fontId="10" fillId="5" borderId="0" xfId="0" applyNumberFormat="1" applyFont="1" applyFill="1" applyAlignment="1">
      <alignment horizontal="center"/>
    </xf>
    <xf numFmtId="14" fontId="10" fillId="5" borderId="0" xfId="0" applyNumberFormat="1" applyFont="1" applyFill="1" applyAlignment="1">
      <alignment horizontal="center"/>
    </xf>
    <xf numFmtId="3" fontId="9" fillId="2" borderId="0" xfId="0" applyNumberFormat="1" applyFont="1" applyFill="1"/>
    <xf numFmtId="0" fontId="0" fillId="8" borderId="0" xfId="0" applyFill="1"/>
    <xf numFmtId="0" fontId="10" fillId="0" borderId="0" xfId="0" applyFont="1"/>
    <xf numFmtId="3" fontId="10" fillId="0" borderId="0" xfId="0" applyNumberFormat="1" applyFont="1"/>
    <xf numFmtId="0" fontId="10" fillId="0" borderId="0" xfId="0" applyFont="1" applyAlignment="1">
      <alignment horizontal="center"/>
    </xf>
    <xf numFmtId="2" fontId="10" fillId="0" borderId="0" xfId="0" applyNumberFormat="1" applyFont="1"/>
    <xf numFmtId="10" fontId="10" fillId="0" borderId="0" xfId="0" applyNumberFormat="1" applyFont="1" applyAlignment="1">
      <alignment horizontal="center"/>
    </xf>
    <xf numFmtId="4" fontId="10" fillId="4" borderId="0" xfId="0" applyNumberFormat="1" applyFont="1" applyFill="1"/>
    <xf numFmtId="14" fontId="10" fillId="4" borderId="0" xfId="0" applyNumberFormat="1" applyFont="1" applyFill="1"/>
    <xf numFmtId="14" fontId="10" fillId="0" borderId="0" xfId="0" applyNumberFormat="1" applyFont="1"/>
    <xf numFmtId="0" fontId="12" fillId="0" borderId="0" xfId="4"/>
    <xf numFmtId="164" fontId="0" fillId="0" borderId="0" xfId="0" applyNumberFormat="1"/>
    <xf numFmtId="164" fontId="10" fillId="0" borderId="0" xfId="0" applyNumberFormat="1" applyFont="1"/>
    <xf numFmtId="14" fontId="11" fillId="0" borderId="0" xfId="0" applyNumberFormat="1" applyFont="1" applyAlignment="1">
      <alignment horizontal="center"/>
    </xf>
    <xf numFmtId="0" fontId="2" fillId="0" borderId="0" xfId="0" applyFont="1"/>
    <xf numFmtId="0" fontId="13" fillId="2" borderId="0" xfId="0" applyFont="1" applyFill="1"/>
    <xf numFmtId="0" fontId="0" fillId="0" borderId="0" xfId="0" pivotButton="1"/>
    <xf numFmtId="1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" fontId="11" fillId="0" borderId="0" xfId="0" applyNumberFormat="1" applyFont="1" applyAlignment="1">
      <alignment horizontal="center"/>
    </xf>
    <xf numFmtId="4" fontId="0" fillId="0" borderId="0" xfId="0" applyNumberFormat="1" applyAlignment="1">
      <alignment horizontal="left"/>
    </xf>
    <xf numFmtId="0" fontId="0" fillId="0" borderId="1" xfId="0" applyBorder="1"/>
    <xf numFmtId="4" fontId="0" fillId="0" borderId="7" xfId="0" applyNumberFormat="1" applyBorder="1" applyAlignment="1">
      <alignment horizontal="center"/>
    </xf>
    <xf numFmtId="4" fontId="0" fillId="0" borderId="8" xfId="0" applyNumberFormat="1" applyBorder="1" applyAlignment="1">
      <alignment horizontal="center"/>
    </xf>
    <xf numFmtId="4" fontId="0" fillId="0" borderId="9" xfId="0" applyNumberFormat="1" applyBorder="1" applyAlignment="1">
      <alignment horizont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4" fontId="0" fillId="0" borderId="11" xfId="0" applyNumberFormat="1" applyBorder="1" applyAlignment="1">
      <alignment horizontal="center"/>
    </xf>
    <xf numFmtId="4" fontId="0" fillId="0" borderId="12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13" xfId="0" applyBorder="1"/>
    <xf numFmtId="4" fontId="0" fillId="0" borderId="10" xfId="0" applyNumberFormat="1" applyBorder="1" applyAlignment="1">
      <alignment horizontal="center"/>
    </xf>
    <xf numFmtId="4" fontId="0" fillId="0" borderId="13" xfId="0" applyNumberFormat="1" applyBorder="1" applyAlignment="1">
      <alignment horizontal="center"/>
    </xf>
    <xf numFmtId="0" fontId="0" fillId="0" borderId="13" xfId="0" applyBorder="1" applyAlignment="1">
      <alignment horizontal="center" vertical="center" wrapText="1"/>
    </xf>
    <xf numFmtId="3" fontId="0" fillId="0" borderId="7" xfId="0" applyNumberForma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3" fontId="0" fillId="0" borderId="13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" fontId="0" fillId="0" borderId="6" xfId="0" applyNumberFormat="1" applyBorder="1" applyAlignment="1">
      <alignment horizontal="center"/>
    </xf>
    <xf numFmtId="4" fontId="0" fillId="0" borderId="14" xfId="0" applyNumberFormat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4" fontId="0" fillId="0" borderId="5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3" fontId="0" fillId="0" borderId="0" xfId="0" applyNumberFormat="1" applyAlignment="1">
      <alignment horizontal="left"/>
    </xf>
    <xf numFmtId="4" fontId="0" fillId="0" borderId="8" xfId="0" applyNumberFormat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" fontId="0" fillId="0" borderId="9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1" xfId="0" applyBorder="1" applyAlignment="1">
      <alignment wrapText="1"/>
    </xf>
    <xf numFmtId="2" fontId="0" fillId="0" borderId="1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0" fillId="0" borderId="14" xfId="0" applyBorder="1"/>
    <xf numFmtId="0" fontId="0" fillId="0" borderId="6" xfId="0" applyBorder="1"/>
    <xf numFmtId="0" fontId="0" fillId="0" borderId="14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0" fontId="0" fillId="0" borderId="9" xfId="0" applyNumberFormat="1" applyBorder="1" applyAlignment="1">
      <alignment horizontal="center"/>
    </xf>
    <xf numFmtId="10" fontId="0" fillId="0" borderId="8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6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10" fontId="0" fillId="0" borderId="10" xfId="0" applyNumberFormat="1" applyBorder="1" applyAlignment="1">
      <alignment horizontal="center"/>
    </xf>
    <xf numFmtId="10" fontId="0" fillId="0" borderId="12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13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/>
    </xf>
  </cellXfs>
  <cellStyles count="5">
    <cellStyle name="Hiperlink" xfId="4" builtinId="8"/>
    <cellStyle name="Normal" xfId="0" builtinId="0"/>
    <cellStyle name="Normal 2" xfId="2" xr:uid="{A5FEE59C-0949-4BF6-887C-10F6DE21485C}"/>
    <cellStyle name="Normal 3" xfId="3" xr:uid="{68089634-33AA-432C-A947-B08E405CCD7F}"/>
    <cellStyle name="Normal 4" xfId="1" xr:uid="{5B59CEBE-55C6-483C-8C14-B442FA5140E2}"/>
  </cellStyles>
  <dxfs count="49">
    <dxf>
      <numFmt numFmtId="4" formatCode="#,##0.00"/>
    </dxf>
    <dxf>
      <numFmt numFmtId="13" formatCode="0%"/>
    </dxf>
    <dxf>
      <numFmt numFmtId="13" formatCode="0%"/>
    </dxf>
    <dxf>
      <numFmt numFmtId="4" formatCode="#,##0.00"/>
    </dxf>
    <dxf>
      <numFmt numFmtId="13" formatCode="0%"/>
    </dxf>
    <dxf>
      <numFmt numFmtId="13" formatCode="0%"/>
    </dxf>
    <dxf>
      <numFmt numFmtId="14" formatCode="0.00%"/>
    </dxf>
    <dxf>
      <numFmt numFmtId="4" formatCode="#,##0.00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13" formatCode="0%"/>
    </dxf>
    <dxf>
      <numFmt numFmtId="3" formatCode="#,##0"/>
    </dxf>
    <dxf>
      <numFmt numFmtId="4" formatCode="#,##0.00"/>
    </dxf>
    <dxf>
      <numFmt numFmtId="13" formatCode="0%"/>
    </dxf>
    <dxf>
      <numFmt numFmtId="3" formatCode="#,##0"/>
    </dxf>
    <dxf>
      <numFmt numFmtId="4" formatCode="#,##0.00"/>
    </dxf>
    <dxf>
      <numFmt numFmtId="3" formatCode="#,##0"/>
    </dxf>
    <dxf>
      <numFmt numFmtId="4" formatCode="#,##0.00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4" formatCode="#,##0.00"/>
    </dxf>
    <dxf>
      <numFmt numFmtId="4" formatCode="#,##0.00"/>
    </dxf>
    <dxf>
      <numFmt numFmtId="4" formatCode="#,##0.00"/>
    </dxf>
    <dxf>
      <numFmt numFmtId="13" formatCode="0%"/>
    </dxf>
    <dxf>
      <numFmt numFmtId="4" formatCode="#,##0.00"/>
    </dxf>
    <dxf>
      <numFmt numFmtId="4" formatCode="#,##0.00"/>
    </dxf>
    <dxf>
      <numFmt numFmtId="4" formatCode="#,##0.00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3" formatCode="#,##0"/>
    </dxf>
    <dxf>
      <numFmt numFmtId="14" formatCode="0.00%"/>
    </dxf>
    <dxf>
      <numFmt numFmtId="3" formatCode="#,##0"/>
    </dxf>
    <dxf>
      <numFmt numFmtId="14" formatCode="0.00%"/>
    </dxf>
    <dxf>
      <numFmt numFmtId="3" formatCode="#,##0"/>
    </dxf>
    <dxf>
      <numFmt numFmtId="14" formatCode="0.00%"/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'EMBI+'!$B$1</c:f>
              <c:strCache>
                <c:ptCount val="1"/>
                <c:pt idx="0">
                  <c:v>EMBI+ Brasil</c:v>
                </c:pt>
              </c:strCache>
            </c:strRef>
          </c:tx>
          <c:spPr>
            <a:ln w="285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'EMBI+'!$A$2:$A$3102</c:f>
              <c:numCache>
                <c:formatCode>m/d/yyyy</c:formatCode>
                <c:ptCount val="3101"/>
                <c:pt idx="0">
                  <c:v>44929</c:v>
                </c:pt>
                <c:pt idx="1">
                  <c:v>44925</c:v>
                </c:pt>
                <c:pt idx="2">
                  <c:v>44924</c:v>
                </c:pt>
                <c:pt idx="3">
                  <c:v>44923</c:v>
                </c:pt>
                <c:pt idx="4">
                  <c:v>44922</c:v>
                </c:pt>
                <c:pt idx="5">
                  <c:v>44918</c:v>
                </c:pt>
                <c:pt idx="6">
                  <c:v>44917</c:v>
                </c:pt>
                <c:pt idx="7">
                  <c:v>44916</c:v>
                </c:pt>
                <c:pt idx="8">
                  <c:v>44915</c:v>
                </c:pt>
                <c:pt idx="9">
                  <c:v>44914</c:v>
                </c:pt>
                <c:pt idx="10">
                  <c:v>44911</c:v>
                </c:pt>
                <c:pt idx="11">
                  <c:v>44910</c:v>
                </c:pt>
                <c:pt idx="12">
                  <c:v>44909</c:v>
                </c:pt>
                <c:pt idx="13">
                  <c:v>44908</c:v>
                </c:pt>
                <c:pt idx="14">
                  <c:v>44907</c:v>
                </c:pt>
                <c:pt idx="15">
                  <c:v>44904</c:v>
                </c:pt>
                <c:pt idx="16">
                  <c:v>44903</c:v>
                </c:pt>
                <c:pt idx="17">
                  <c:v>44902</c:v>
                </c:pt>
                <c:pt idx="18">
                  <c:v>44901</c:v>
                </c:pt>
                <c:pt idx="19">
                  <c:v>44900</c:v>
                </c:pt>
                <c:pt idx="20">
                  <c:v>44897</c:v>
                </c:pt>
                <c:pt idx="21">
                  <c:v>44896</c:v>
                </c:pt>
                <c:pt idx="22">
                  <c:v>44895</c:v>
                </c:pt>
                <c:pt idx="23">
                  <c:v>44894</c:v>
                </c:pt>
                <c:pt idx="24">
                  <c:v>44893</c:v>
                </c:pt>
                <c:pt idx="25">
                  <c:v>44890</c:v>
                </c:pt>
                <c:pt idx="26">
                  <c:v>44888</c:v>
                </c:pt>
                <c:pt idx="27">
                  <c:v>44887</c:v>
                </c:pt>
                <c:pt idx="28">
                  <c:v>44886</c:v>
                </c:pt>
                <c:pt idx="29">
                  <c:v>44883</c:v>
                </c:pt>
                <c:pt idx="30">
                  <c:v>44882</c:v>
                </c:pt>
                <c:pt idx="31">
                  <c:v>44881</c:v>
                </c:pt>
                <c:pt idx="32">
                  <c:v>44880</c:v>
                </c:pt>
                <c:pt idx="33">
                  <c:v>44879</c:v>
                </c:pt>
                <c:pt idx="34">
                  <c:v>44875</c:v>
                </c:pt>
                <c:pt idx="35">
                  <c:v>44874</c:v>
                </c:pt>
                <c:pt idx="36">
                  <c:v>44873</c:v>
                </c:pt>
                <c:pt idx="37">
                  <c:v>44872</c:v>
                </c:pt>
                <c:pt idx="38">
                  <c:v>44869</c:v>
                </c:pt>
                <c:pt idx="39">
                  <c:v>44868</c:v>
                </c:pt>
                <c:pt idx="40">
                  <c:v>44867</c:v>
                </c:pt>
                <c:pt idx="41">
                  <c:v>44866</c:v>
                </c:pt>
                <c:pt idx="42">
                  <c:v>44862</c:v>
                </c:pt>
                <c:pt idx="43">
                  <c:v>44861</c:v>
                </c:pt>
                <c:pt idx="44">
                  <c:v>44860</c:v>
                </c:pt>
                <c:pt idx="45">
                  <c:v>44859</c:v>
                </c:pt>
                <c:pt idx="46">
                  <c:v>44858</c:v>
                </c:pt>
                <c:pt idx="47">
                  <c:v>44856</c:v>
                </c:pt>
                <c:pt idx="48">
                  <c:v>44855</c:v>
                </c:pt>
                <c:pt idx="49">
                  <c:v>44854</c:v>
                </c:pt>
                <c:pt idx="50">
                  <c:v>44853</c:v>
                </c:pt>
                <c:pt idx="51">
                  <c:v>44852</c:v>
                </c:pt>
                <c:pt idx="52">
                  <c:v>44851</c:v>
                </c:pt>
                <c:pt idx="53">
                  <c:v>44848</c:v>
                </c:pt>
                <c:pt idx="54">
                  <c:v>44847</c:v>
                </c:pt>
                <c:pt idx="55">
                  <c:v>44846</c:v>
                </c:pt>
                <c:pt idx="56">
                  <c:v>44845</c:v>
                </c:pt>
                <c:pt idx="57">
                  <c:v>44841</c:v>
                </c:pt>
                <c:pt idx="58">
                  <c:v>44840</c:v>
                </c:pt>
                <c:pt idx="59">
                  <c:v>44839</c:v>
                </c:pt>
                <c:pt idx="60">
                  <c:v>44838</c:v>
                </c:pt>
                <c:pt idx="61">
                  <c:v>44837</c:v>
                </c:pt>
                <c:pt idx="62">
                  <c:v>44834</c:v>
                </c:pt>
                <c:pt idx="63">
                  <c:v>44833</c:v>
                </c:pt>
                <c:pt idx="64">
                  <c:v>44832</c:v>
                </c:pt>
                <c:pt idx="65">
                  <c:v>44831</c:v>
                </c:pt>
                <c:pt idx="66">
                  <c:v>44830</c:v>
                </c:pt>
                <c:pt idx="67">
                  <c:v>44827</c:v>
                </c:pt>
                <c:pt idx="68">
                  <c:v>44826</c:v>
                </c:pt>
                <c:pt idx="69">
                  <c:v>44825</c:v>
                </c:pt>
                <c:pt idx="70">
                  <c:v>44824</c:v>
                </c:pt>
                <c:pt idx="71">
                  <c:v>44823</c:v>
                </c:pt>
                <c:pt idx="72">
                  <c:v>44820</c:v>
                </c:pt>
                <c:pt idx="73">
                  <c:v>44819</c:v>
                </c:pt>
                <c:pt idx="74">
                  <c:v>44818</c:v>
                </c:pt>
                <c:pt idx="75">
                  <c:v>44817</c:v>
                </c:pt>
                <c:pt idx="76">
                  <c:v>44816</c:v>
                </c:pt>
                <c:pt idx="77">
                  <c:v>44813</c:v>
                </c:pt>
                <c:pt idx="78">
                  <c:v>44812</c:v>
                </c:pt>
                <c:pt idx="79">
                  <c:v>44811</c:v>
                </c:pt>
                <c:pt idx="80">
                  <c:v>44810</c:v>
                </c:pt>
                <c:pt idx="81">
                  <c:v>44809</c:v>
                </c:pt>
                <c:pt idx="82">
                  <c:v>44806</c:v>
                </c:pt>
                <c:pt idx="83">
                  <c:v>44805</c:v>
                </c:pt>
                <c:pt idx="84">
                  <c:v>44804</c:v>
                </c:pt>
                <c:pt idx="85">
                  <c:v>44803</c:v>
                </c:pt>
                <c:pt idx="86">
                  <c:v>44802</c:v>
                </c:pt>
                <c:pt idx="87">
                  <c:v>44799</c:v>
                </c:pt>
                <c:pt idx="88">
                  <c:v>44798</c:v>
                </c:pt>
                <c:pt idx="89">
                  <c:v>44797</c:v>
                </c:pt>
                <c:pt idx="90">
                  <c:v>44796</c:v>
                </c:pt>
                <c:pt idx="91">
                  <c:v>44795</c:v>
                </c:pt>
                <c:pt idx="92">
                  <c:v>44792</c:v>
                </c:pt>
                <c:pt idx="93">
                  <c:v>44791</c:v>
                </c:pt>
                <c:pt idx="94">
                  <c:v>44790</c:v>
                </c:pt>
                <c:pt idx="95">
                  <c:v>44789</c:v>
                </c:pt>
                <c:pt idx="96">
                  <c:v>44788</c:v>
                </c:pt>
                <c:pt idx="97">
                  <c:v>44785</c:v>
                </c:pt>
                <c:pt idx="98">
                  <c:v>44784</c:v>
                </c:pt>
                <c:pt idx="99">
                  <c:v>44783</c:v>
                </c:pt>
                <c:pt idx="100">
                  <c:v>44782</c:v>
                </c:pt>
                <c:pt idx="101">
                  <c:v>44781</c:v>
                </c:pt>
                <c:pt idx="102">
                  <c:v>44778</c:v>
                </c:pt>
                <c:pt idx="103">
                  <c:v>44777</c:v>
                </c:pt>
                <c:pt idx="104">
                  <c:v>44776</c:v>
                </c:pt>
                <c:pt idx="105">
                  <c:v>44775</c:v>
                </c:pt>
                <c:pt idx="106">
                  <c:v>44774</c:v>
                </c:pt>
                <c:pt idx="107">
                  <c:v>44771</c:v>
                </c:pt>
                <c:pt idx="108">
                  <c:v>44770</c:v>
                </c:pt>
                <c:pt idx="109">
                  <c:v>44769</c:v>
                </c:pt>
                <c:pt idx="110">
                  <c:v>44768</c:v>
                </c:pt>
                <c:pt idx="111">
                  <c:v>44767</c:v>
                </c:pt>
                <c:pt idx="112">
                  <c:v>44764</c:v>
                </c:pt>
                <c:pt idx="113">
                  <c:v>44763</c:v>
                </c:pt>
                <c:pt idx="114">
                  <c:v>44762</c:v>
                </c:pt>
                <c:pt idx="115">
                  <c:v>44761</c:v>
                </c:pt>
                <c:pt idx="116">
                  <c:v>44760</c:v>
                </c:pt>
                <c:pt idx="117">
                  <c:v>44757</c:v>
                </c:pt>
                <c:pt idx="118">
                  <c:v>44755</c:v>
                </c:pt>
                <c:pt idx="119">
                  <c:v>44754</c:v>
                </c:pt>
                <c:pt idx="120">
                  <c:v>44753</c:v>
                </c:pt>
                <c:pt idx="121">
                  <c:v>44750</c:v>
                </c:pt>
                <c:pt idx="122">
                  <c:v>44749</c:v>
                </c:pt>
                <c:pt idx="123">
                  <c:v>44748</c:v>
                </c:pt>
                <c:pt idx="124">
                  <c:v>44747</c:v>
                </c:pt>
                <c:pt idx="125">
                  <c:v>44746</c:v>
                </c:pt>
                <c:pt idx="126">
                  <c:v>44743</c:v>
                </c:pt>
                <c:pt idx="127">
                  <c:v>44742</c:v>
                </c:pt>
                <c:pt idx="128">
                  <c:v>44741</c:v>
                </c:pt>
                <c:pt idx="129">
                  <c:v>44740</c:v>
                </c:pt>
                <c:pt idx="130">
                  <c:v>44739</c:v>
                </c:pt>
                <c:pt idx="131">
                  <c:v>44736</c:v>
                </c:pt>
                <c:pt idx="132">
                  <c:v>44735</c:v>
                </c:pt>
                <c:pt idx="133">
                  <c:v>44734</c:v>
                </c:pt>
                <c:pt idx="134">
                  <c:v>44733</c:v>
                </c:pt>
                <c:pt idx="135">
                  <c:v>44732</c:v>
                </c:pt>
                <c:pt idx="136">
                  <c:v>44729</c:v>
                </c:pt>
                <c:pt idx="137">
                  <c:v>44728</c:v>
                </c:pt>
                <c:pt idx="138">
                  <c:v>44727</c:v>
                </c:pt>
                <c:pt idx="139">
                  <c:v>44726</c:v>
                </c:pt>
                <c:pt idx="140">
                  <c:v>44725</c:v>
                </c:pt>
                <c:pt idx="141">
                  <c:v>44722</c:v>
                </c:pt>
                <c:pt idx="142">
                  <c:v>44721</c:v>
                </c:pt>
                <c:pt idx="143">
                  <c:v>44720</c:v>
                </c:pt>
                <c:pt idx="144">
                  <c:v>44719</c:v>
                </c:pt>
                <c:pt idx="145">
                  <c:v>44718</c:v>
                </c:pt>
                <c:pt idx="146">
                  <c:v>44715</c:v>
                </c:pt>
                <c:pt idx="147">
                  <c:v>44714</c:v>
                </c:pt>
                <c:pt idx="148">
                  <c:v>44713</c:v>
                </c:pt>
                <c:pt idx="149">
                  <c:v>44712</c:v>
                </c:pt>
                <c:pt idx="150">
                  <c:v>44711</c:v>
                </c:pt>
                <c:pt idx="151">
                  <c:v>44708</c:v>
                </c:pt>
                <c:pt idx="152">
                  <c:v>44707</c:v>
                </c:pt>
                <c:pt idx="153">
                  <c:v>44706</c:v>
                </c:pt>
                <c:pt idx="154">
                  <c:v>44705</c:v>
                </c:pt>
                <c:pt idx="155">
                  <c:v>44704</c:v>
                </c:pt>
                <c:pt idx="156">
                  <c:v>44701</c:v>
                </c:pt>
                <c:pt idx="157">
                  <c:v>44700</c:v>
                </c:pt>
                <c:pt idx="158">
                  <c:v>44699</c:v>
                </c:pt>
                <c:pt idx="159">
                  <c:v>44698</c:v>
                </c:pt>
                <c:pt idx="160">
                  <c:v>44697</c:v>
                </c:pt>
                <c:pt idx="161">
                  <c:v>44694</c:v>
                </c:pt>
                <c:pt idx="162">
                  <c:v>44693</c:v>
                </c:pt>
                <c:pt idx="163">
                  <c:v>44692</c:v>
                </c:pt>
                <c:pt idx="164">
                  <c:v>44691</c:v>
                </c:pt>
                <c:pt idx="165">
                  <c:v>44690</c:v>
                </c:pt>
                <c:pt idx="166">
                  <c:v>44687</c:v>
                </c:pt>
                <c:pt idx="167">
                  <c:v>44686</c:v>
                </c:pt>
                <c:pt idx="168">
                  <c:v>44685</c:v>
                </c:pt>
                <c:pt idx="169">
                  <c:v>44684</c:v>
                </c:pt>
                <c:pt idx="170">
                  <c:v>44683</c:v>
                </c:pt>
                <c:pt idx="171">
                  <c:v>44680</c:v>
                </c:pt>
                <c:pt idx="172">
                  <c:v>44679</c:v>
                </c:pt>
                <c:pt idx="173">
                  <c:v>44678</c:v>
                </c:pt>
                <c:pt idx="174">
                  <c:v>44677</c:v>
                </c:pt>
                <c:pt idx="175">
                  <c:v>44676</c:v>
                </c:pt>
                <c:pt idx="176">
                  <c:v>44673</c:v>
                </c:pt>
                <c:pt idx="177">
                  <c:v>44672</c:v>
                </c:pt>
                <c:pt idx="178">
                  <c:v>44671</c:v>
                </c:pt>
                <c:pt idx="179">
                  <c:v>44670</c:v>
                </c:pt>
                <c:pt idx="180">
                  <c:v>44669</c:v>
                </c:pt>
                <c:pt idx="181">
                  <c:v>44665</c:v>
                </c:pt>
                <c:pt idx="182">
                  <c:v>44664</c:v>
                </c:pt>
                <c:pt idx="183">
                  <c:v>44663</c:v>
                </c:pt>
                <c:pt idx="184">
                  <c:v>44662</c:v>
                </c:pt>
                <c:pt idx="185">
                  <c:v>44659</c:v>
                </c:pt>
                <c:pt idx="186">
                  <c:v>44658</c:v>
                </c:pt>
                <c:pt idx="187">
                  <c:v>44657</c:v>
                </c:pt>
                <c:pt idx="188">
                  <c:v>44656</c:v>
                </c:pt>
                <c:pt idx="189">
                  <c:v>44655</c:v>
                </c:pt>
                <c:pt idx="190">
                  <c:v>44652</c:v>
                </c:pt>
                <c:pt idx="191">
                  <c:v>44651</c:v>
                </c:pt>
                <c:pt idx="192">
                  <c:v>44650</c:v>
                </c:pt>
                <c:pt idx="193">
                  <c:v>44649</c:v>
                </c:pt>
                <c:pt idx="194">
                  <c:v>44648</c:v>
                </c:pt>
                <c:pt idx="195">
                  <c:v>44645</c:v>
                </c:pt>
                <c:pt idx="196">
                  <c:v>44644</c:v>
                </c:pt>
                <c:pt idx="197">
                  <c:v>44643</c:v>
                </c:pt>
                <c:pt idx="198">
                  <c:v>44642</c:v>
                </c:pt>
                <c:pt idx="199">
                  <c:v>44641</c:v>
                </c:pt>
                <c:pt idx="200">
                  <c:v>44638</c:v>
                </c:pt>
                <c:pt idx="201">
                  <c:v>44637</c:v>
                </c:pt>
                <c:pt idx="202">
                  <c:v>44636</c:v>
                </c:pt>
                <c:pt idx="203">
                  <c:v>44635</c:v>
                </c:pt>
                <c:pt idx="204">
                  <c:v>44634</c:v>
                </c:pt>
                <c:pt idx="205">
                  <c:v>44631</c:v>
                </c:pt>
                <c:pt idx="206">
                  <c:v>44630</c:v>
                </c:pt>
                <c:pt idx="207">
                  <c:v>44629</c:v>
                </c:pt>
                <c:pt idx="208">
                  <c:v>44628</c:v>
                </c:pt>
                <c:pt idx="209">
                  <c:v>44627</c:v>
                </c:pt>
                <c:pt idx="210">
                  <c:v>44624</c:v>
                </c:pt>
                <c:pt idx="211">
                  <c:v>44623</c:v>
                </c:pt>
                <c:pt idx="212">
                  <c:v>44622</c:v>
                </c:pt>
                <c:pt idx="213">
                  <c:v>44621</c:v>
                </c:pt>
                <c:pt idx="214">
                  <c:v>44620</c:v>
                </c:pt>
                <c:pt idx="215">
                  <c:v>44617</c:v>
                </c:pt>
                <c:pt idx="216">
                  <c:v>44616</c:v>
                </c:pt>
                <c:pt idx="217">
                  <c:v>44615</c:v>
                </c:pt>
                <c:pt idx="218">
                  <c:v>44614</c:v>
                </c:pt>
                <c:pt idx="219">
                  <c:v>44610</c:v>
                </c:pt>
                <c:pt idx="220">
                  <c:v>44609</c:v>
                </c:pt>
                <c:pt idx="221">
                  <c:v>44608</c:v>
                </c:pt>
                <c:pt idx="222">
                  <c:v>44607</c:v>
                </c:pt>
                <c:pt idx="223">
                  <c:v>44606</c:v>
                </c:pt>
                <c:pt idx="224">
                  <c:v>44603</c:v>
                </c:pt>
                <c:pt idx="225">
                  <c:v>44602</c:v>
                </c:pt>
                <c:pt idx="226">
                  <c:v>44601</c:v>
                </c:pt>
                <c:pt idx="227">
                  <c:v>44600</c:v>
                </c:pt>
                <c:pt idx="228">
                  <c:v>44599</c:v>
                </c:pt>
                <c:pt idx="229">
                  <c:v>44596</c:v>
                </c:pt>
                <c:pt idx="230">
                  <c:v>44595</c:v>
                </c:pt>
                <c:pt idx="231">
                  <c:v>44594</c:v>
                </c:pt>
                <c:pt idx="232">
                  <c:v>44593</c:v>
                </c:pt>
                <c:pt idx="233">
                  <c:v>44592</c:v>
                </c:pt>
                <c:pt idx="234">
                  <c:v>44589</c:v>
                </c:pt>
                <c:pt idx="235">
                  <c:v>44588</c:v>
                </c:pt>
                <c:pt idx="236">
                  <c:v>44587</c:v>
                </c:pt>
                <c:pt idx="237">
                  <c:v>44586</c:v>
                </c:pt>
                <c:pt idx="238">
                  <c:v>44585</c:v>
                </c:pt>
                <c:pt idx="239">
                  <c:v>44582</c:v>
                </c:pt>
                <c:pt idx="240">
                  <c:v>44581</c:v>
                </c:pt>
                <c:pt idx="241">
                  <c:v>44580</c:v>
                </c:pt>
                <c:pt idx="242">
                  <c:v>44579</c:v>
                </c:pt>
                <c:pt idx="243">
                  <c:v>44578</c:v>
                </c:pt>
                <c:pt idx="244">
                  <c:v>44575</c:v>
                </c:pt>
                <c:pt idx="245">
                  <c:v>44574</c:v>
                </c:pt>
                <c:pt idx="246">
                  <c:v>44573</c:v>
                </c:pt>
                <c:pt idx="247">
                  <c:v>44572</c:v>
                </c:pt>
                <c:pt idx="248">
                  <c:v>44571</c:v>
                </c:pt>
                <c:pt idx="249">
                  <c:v>44568</c:v>
                </c:pt>
                <c:pt idx="250">
                  <c:v>44567</c:v>
                </c:pt>
                <c:pt idx="251">
                  <c:v>44566</c:v>
                </c:pt>
                <c:pt idx="252">
                  <c:v>44565</c:v>
                </c:pt>
                <c:pt idx="253">
                  <c:v>44564</c:v>
                </c:pt>
                <c:pt idx="254">
                  <c:v>44561</c:v>
                </c:pt>
                <c:pt idx="255">
                  <c:v>44560</c:v>
                </c:pt>
                <c:pt idx="256">
                  <c:v>44559</c:v>
                </c:pt>
                <c:pt idx="257">
                  <c:v>44558</c:v>
                </c:pt>
                <c:pt idx="258">
                  <c:v>44557</c:v>
                </c:pt>
                <c:pt idx="259">
                  <c:v>44554</c:v>
                </c:pt>
                <c:pt idx="260">
                  <c:v>44553</c:v>
                </c:pt>
                <c:pt idx="261">
                  <c:v>44552</c:v>
                </c:pt>
                <c:pt idx="262">
                  <c:v>44551</c:v>
                </c:pt>
                <c:pt idx="263">
                  <c:v>44550</c:v>
                </c:pt>
                <c:pt idx="264">
                  <c:v>44547</c:v>
                </c:pt>
                <c:pt idx="265">
                  <c:v>44546</c:v>
                </c:pt>
                <c:pt idx="266">
                  <c:v>44545</c:v>
                </c:pt>
                <c:pt idx="267">
                  <c:v>44544</c:v>
                </c:pt>
                <c:pt idx="268">
                  <c:v>44543</c:v>
                </c:pt>
                <c:pt idx="269">
                  <c:v>44540</c:v>
                </c:pt>
                <c:pt idx="270">
                  <c:v>44539</c:v>
                </c:pt>
                <c:pt idx="271">
                  <c:v>44538</c:v>
                </c:pt>
                <c:pt idx="272">
                  <c:v>44537</c:v>
                </c:pt>
                <c:pt idx="273">
                  <c:v>44536</c:v>
                </c:pt>
                <c:pt idx="274">
                  <c:v>44533</c:v>
                </c:pt>
                <c:pt idx="275">
                  <c:v>44532</c:v>
                </c:pt>
                <c:pt idx="276">
                  <c:v>44531</c:v>
                </c:pt>
                <c:pt idx="277">
                  <c:v>44530</c:v>
                </c:pt>
                <c:pt idx="278">
                  <c:v>44529</c:v>
                </c:pt>
                <c:pt idx="279">
                  <c:v>44526</c:v>
                </c:pt>
                <c:pt idx="280">
                  <c:v>44525</c:v>
                </c:pt>
                <c:pt idx="281">
                  <c:v>44524</c:v>
                </c:pt>
                <c:pt idx="282">
                  <c:v>44523</c:v>
                </c:pt>
                <c:pt idx="283">
                  <c:v>44522</c:v>
                </c:pt>
                <c:pt idx="284">
                  <c:v>44519</c:v>
                </c:pt>
                <c:pt idx="285">
                  <c:v>44518</c:v>
                </c:pt>
                <c:pt idx="286">
                  <c:v>44517</c:v>
                </c:pt>
                <c:pt idx="287">
                  <c:v>44516</c:v>
                </c:pt>
                <c:pt idx="288">
                  <c:v>44515</c:v>
                </c:pt>
                <c:pt idx="289">
                  <c:v>44512</c:v>
                </c:pt>
                <c:pt idx="290">
                  <c:v>44511</c:v>
                </c:pt>
                <c:pt idx="291">
                  <c:v>44510</c:v>
                </c:pt>
                <c:pt idx="292">
                  <c:v>44509</c:v>
                </c:pt>
                <c:pt idx="293">
                  <c:v>44508</c:v>
                </c:pt>
                <c:pt idx="294">
                  <c:v>44505</c:v>
                </c:pt>
                <c:pt idx="295">
                  <c:v>44504</c:v>
                </c:pt>
                <c:pt idx="296">
                  <c:v>44503</c:v>
                </c:pt>
                <c:pt idx="297">
                  <c:v>44502</c:v>
                </c:pt>
                <c:pt idx="298">
                  <c:v>44501</c:v>
                </c:pt>
                <c:pt idx="299">
                  <c:v>44498</c:v>
                </c:pt>
                <c:pt idx="300">
                  <c:v>44497</c:v>
                </c:pt>
                <c:pt idx="301">
                  <c:v>44496</c:v>
                </c:pt>
                <c:pt idx="302">
                  <c:v>44495</c:v>
                </c:pt>
                <c:pt idx="303">
                  <c:v>44494</c:v>
                </c:pt>
                <c:pt idx="304">
                  <c:v>44491</c:v>
                </c:pt>
                <c:pt idx="305">
                  <c:v>44490</c:v>
                </c:pt>
                <c:pt idx="306">
                  <c:v>44489</c:v>
                </c:pt>
                <c:pt idx="307">
                  <c:v>44488</c:v>
                </c:pt>
                <c:pt idx="308">
                  <c:v>44487</c:v>
                </c:pt>
                <c:pt idx="309">
                  <c:v>44484</c:v>
                </c:pt>
                <c:pt idx="310">
                  <c:v>44483</c:v>
                </c:pt>
                <c:pt idx="311">
                  <c:v>44482</c:v>
                </c:pt>
                <c:pt idx="312">
                  <c:v>44481</c:v>
                </c:pt>
                <c:pt idx="313">
                  <c:v>44480</c:v>
                </c:pt>
                <c:pt idx="314">
                  <c:v>44477</c:v>
                </c:pt>
                <c:pt idx="315">
                  <c:v>44476</c:v>
                </c:pt>
                <c:pt idx="316">
                  <c:v>44475</c:v>
                </c:pt>
                <c:pt idx="317">
                  <c:v>44474</c:v>
                </c:pt>
                <c:pt idx="318">
                  <c:v>44473</c:v>
                </c:pt>
                <c:pt idx="319">
                  <c:v>44470</c:v>
                </c:pt>
                <c:pt idx="320">
                  <c:v>44469</c:v>
                </c:pt>
                <c:pt idx="321">
                  <c:v>44468</c:v>
                </c:pt>
                <c:pt idx="322">
                  <c:v>44467</c:v>
                </c:pt>
                <c:pt idx="323">
                  <c:v>44466</c:v>
                </c:pt>
                <c:pt idx="324">
                  <c:v>44463</c:v>
                </c:pt>
                <c:pt idx="325">
                  <c:v>44462</c:v>
                </c:pt>
                <c:pt idx="326">
                  <c:v>44461</c:v>
                </c:pt>
                <c:pt idx="327">
                  <c:v>44460</c:v>
                </c:pt>
                <c:pt idx="328">
                  <c:v>44459</c:v>
                </c:pt>
                <c:pt idx="329">
                  <c:v>44456</c:v>
                </c:pt>
                <c:pt idx="330">
                  <c:v>44455</c:v>
                </c:pt>
                <c:pt idx="331">
                  <c:v>44454</c:v>
                </c:pt>
                <c:pt idx="332">
                  <c:v>44453</c:v>
                </c:pt>
                <c:pt idx="333">
                  <c:v>44452</c:v>
                </c:pt>
                <c:pt idx="334">
                  <c:v>44449</c:v>
                </c:pt>
                <c:pt idx="335">
                  <c:v>44448</c:v>
                </c:pt>
                <c:pt idx="336">
                  <c:v>44447</c:v>
                </c:pt>
                <c:pt idx="337">
                  <c:v>44446</c:v>
                </c:pt>
                <c:pt idx="338">
                  <c:v>44445</c:v>
                </c:pt>
                <c:pt idx="339">
                  <c:v>44442</c:v>
                </c:pt>
                <c:pt idx="340">
                  <c:v>44441</c:v>
                </c:pt>
                <c:pt idx="341">
                  <c:v>44440</c:v>
                </c:pt>
                <c:pt idx="342">
                  <c:v>44439</c:v>
                </c:pt>
                <c:pt idx="343">
                  <c:v>44438</c:v>
                </c:pt>
                <c:pt idx="344">
                  <c:v>44435</c:v>
                </c:pt>
                <c:pt idx="345">
                  <c:v>44434</c:v>
                </c:pt>
                <c:pt idx="346">
                  <c:v>44433</c:v>
                </c:pt>
                <c:pt idx="347">
                  <c:v>44432</c:v>
                </c:pt>
                <c:pt idx="348">
                  <c:v>44431</c:v>
                </c:pt>
                <c:pt idx="349">
                  <c:v>44428</c:v>
                </c:pt>
                <c:pt idx="350">
                  <c:v>44427</c:v>
                </c:pt>
                <c:pt idx="351">
                  <c:v>44426</c:v>
                </c:pt>
                <c:pt idx="352">
                  <c:v>44425</c:v>
                </c:pt>
                <c:pt idx="353">
                  <c:v>44424</c:v>
                </c:pt>
                <c:pt idx="354">
                  <c:v>44421</c:v>
                </c:pt>
                <c:pt idx="355">
                  <c:v>44420</c:v>
                </c:pt>
                <c:pt idx="356">
                  <c:v>44419</c:v>
                </c:pt>
                <c:pt idx="357">
                  <c:v>44418</c:v>
                </c:pt>
                <c:pt idx="358">
                  <c:v>44417</c:v>
                </c:pt>
                <c:pt idx="359">
                  <c:v>44414</c:v>
                </c:pt>
                <c:pt idx="360">
                  <c:v>44413</c:v>
                </c:pt>
                <c:pt idx="361">
                  <c:v>44412</c:v>
                </c:pt>
                <c:pt idx="362">
                  <c:v>44411</c:v>
                </c:pt>
                <c:pt idx="363">
                  <c:v>44410</c:v>
                </c:pt>
                <c:pt idx="364">
                  <c:v>44407</c:v>
                </c:pt>
                <c:pt idx="365">
                  <c:v>44406</c:v>
                </c:pt>
                <c:pt idx="366">
                  <c:v>44405</c:v>
                </c:pt>
                <c:pt idx="367">
                  <c:v>44404</c:v>
                </c:pt>
                <c:pt idx="368">
                  <c:v>44403</c:v>
                </c:pt>
                <c:pt idx="369">
                  <c:v>44400</c:v>
                </c:pt>
                <c:pt idx="370">
                  <c:v>44399</c:v>
                </c:pt>
                <c:pt idx="371">
                  <c:v>44398</c:v>
                </c:pt>
                <c:pt idx="372">
                  <c:v>44397</c:v>
                </c:pt>
                <c:pt idx="373">
                  <c:v>44396</c:v>
                </c:pt>
                <c:pt idx="374">
                  <c:v>44393</c:v>
                </c:pt>
                <c:pt idx="375">
                  <c:v>44392</c:v>
                </c:pt>
                <c:pt idx="376">
                  <c:v>44391</c:v>
                </c:pt>
                <c:pt idx="377">
                  <c:v>44390</c:v>
                </c:pt>
                <c:pt idx="378">
                  <c:v>44389</c:v>
                </c:pt>
                <c:pt idx="379">
                  <c:v>44386</c:v>
                </c:pt>
                <c:pt idx="380">
                  <c:v>44385</c:v>
                </c:pt>
                <c:pt idx="381">
                  <c:v>44384</c:v>
                </c:pt>
                <c:pt idx="382">
                  <c:v>44383</c:v>
                </c:pt>
                <c:pt idx="383">
                  <c:v>44382</c:v>
                </c:pt>
                <c:pt idx="384">
                  <c:v>44379</c:v>
                </c:pt>
                <c:pt idx="385">
                  <c:v>44378</c:v>
                </c:pt>
                <c:pt idx="386">
                  <c:v>44377</c:v>
                </c:pt>
                <c:pt idx="387">
                  <c:v>44376</c:v>
                </c:pt>
                <c:pt idx="388">
                  <c:v>44375</c:v>
                </c:pt>
                <c:pt idx="389">
                  <c:v>44372</c:v>
                </c:pt>
                <c:pt idx="390">
                  <c:v>44371</c:v>
                </c:pt>
                <c:pt idx="391">
                  <c:v>44370</c:v>
                </c:pt>
                <c:pt idx="392">
                  <c:v>44369</c:v>
                </c:pt>
                <c:pt idx="393">
                  <c:v>44368</c:v>
                </c:pt>
                <c:pt idx="394">
                  <c:v>44365</c:v>
                </c:pt>
                <c:pt idx="395">
                  <c:v>44364</c:v>
                </c:pt>
                <c:pt idx="396">
                  <c:v>44363</c:v>
                </c:pt>
                <c:pt idx="397">
                  <c:v>44362</c:v>
                </c:pt>
                <c:pt idx="398">
                  <c:v>44361</c:v>
                </c:pt>
                <c:pt idx="399">
                  <c:v>44358</c:v>
                </c:pt>
                <c:pt idx="400">
                  <c:v>44357</c:v>
                </c:pt>
                <c:pt idx="401">
                  <c:v>44356</c:v>
                </c:pt>
                <c:pt idx="402">
                  <c:v>44355</c:v>
                </c:pt>
                <c:pt idx="403">
                  <c:v>44354</c:v>
                </c:pt>
                <c:pt idx="404">
                  <c:v>44351</c:v>
                </c:pt>
                <c:pt idx="405">
                  <c:v>44350</c:v>
                </c:pt>
                <c:pt idx="406">
                  <c:v>44349</c:v>
                </c:pt>
                <c:pt idx="407">
                  <c:v>44348</c:v>
                </c:pt>
                <c:pt idx="408">
                  <c:v>44347</c:v>
                </c:pt>
                <c:pt idx="409">
                  <c:v>44344</c:v>
                </c:pt>
                <c:pt idx="410">
                  <c:v>44343</c:v>
                </c:pt>
                <c:pt idx="411">
                  <c:v>44342</c:v>
                </c:pt>
                <c:pt idx="412">
                  <c:v>44341</c:v>
                </c:pt>
                <c:pt idx="413">
                  <c:v>44340</c:v>
                </c:pt>
                <c:pt idx="414">
                  <c:v>44337</c:v>
                </c:pt>
                <c:pt idx="415">
                  <c:v>44336</c:v>
                </c:pt>
                <c:pt idx="416">
                  <c:v>44335</c:v>
                </c:pt>
                <c:pt idx="417">
                  <c:v>44334</c:v>
                </c:pt>
                <c:pt idx="418">
                  <c:v>44333</c:v>
                </c:pt>
                <c:pt idx="419">
                  <c:v>44330</c:v>
                </c:pt>
                <c:pt idx="420">
                  <c:v>44329</c:v>
                </c:pt>
                <c:pt idx="421">
                  <c:v>44328</c:v>
                </c:pt>
                <c:pt idx="422">
                  <c:v>44327</c:v>
                </c:pt>
                <c:pt idx="423">
                  <c:v>44326</c:v>
                </c:pt>
                <c:pt idx="424">
                  <c:v>44323</c:v>
                </c:pt>
                <c:pt idx="425">
                  <c:v>44322</c:v>
                </c:pt>
                <c:pt idx="426">
                  <c:v>44321</c:v>
                </c:pt>
                <c:pt idx="427">
                  <c:v>44320</c:v>
                </c:pt>
                <c:pt idx="428">
                  <c:v>44319</c:v>
                </c:pt>
                <c:pt idx="429">
                  <c:v>44316</c:v>
                </c:pt>
                <c:pt idx="430">
                  <c:v>44315</c:v>
                </c:pt>
                <c:pt idx="431">
                  <c:v>44314</c:v>
                </c:pt>
                <c:pt idx="432">
                  <c:v>44313</c:v>
                </c:pt>
                <c:pt idx="433">
                  <c:v>44312</c:v>
                </c:pt>
                <c:pt idx="434">
                  <c:v>44309</c:v>
                </c:pt>
                <c:pt idx="435">
                  <c:v>44308</c:v>
                </c:pt>
                <c:pt idx="436">
                  <c:v>44307</c:v>
                </c:pt>
                <c:pt idx="437">
                  <c:v>44306</c:v>
                </c:pt>
                <c:pt idx="438">
                  <c:v>44305</c:v>
                </c:pt>
                <c:pt idx="439">
                  <c:v>44302</c:v>
                </c:pt>
                <c:pt idx="440">
                  <c:v>44301</c:v>
                </c:pt>
                <c:pt idx="441">
                  <c:v>44300</c:v>
                </c:pt>
                <c:pt idx="442">
                  <c:v>44299</c:v>
                </c:pt>
                <c:pt idx="443">
                  <c:v>44298</c:v>
                </c:pt>
                <c:pt idx="444">
                  <c:v>44295</c:v>
                </c:pt>
                <c:pt idx="445">
                  <c:v>44294</c:v>
                </c:pt>
                <c:pt idx="446">
                  <c:v>44293</c:v>
                </c:pt>
                <c:pt idx="447">
                  <c:v>44292</c:v>
                </c:pt>
                <c:pt idx="448">
                  <c:v>44291</c:v>
                </c:pt>
                <c:pt idx="449">
                  <c:v>44287</c:v>
                </c:pt>
                <c:pt idx="450">
                  <c:v>44286</c:v>
                </c:pt>
                <c:pt idx="451">
                  <c:v>44285</c:v>
                </c:pt>
                <c:pt idx="452">
                  <c:v>44284</c:v>
                </c:pt>
                <c:pt idx="453">
                  <c:v>44281</c:v>
                </c:pt>
                <c:pt idx="454">
                  <c:v>44280</c:v>
                </c:pt>
                <c:pt idx="455">
                  <c:v>44279</c:v>
                </c:pt>
                <c:pt idx="456">
                  <c:v>44278</c:v>
                </c:pt>
                <c:pt idx="457">
                  <c:v>44277</c:v>
                </c:pt>
                <c:pt idx="458">
                  <c:v>44274</c:v>
                </c:pt>
                <c:pt idx="459">
                  <c:v>44273</c:v>
                </c:pt>
                <c:pt idx="460">
                  <c:v>44272</c:v>
                </c:pt>
                <c:pt idx="461">
                  <c:v>44271</c:v>
                </c:pt>
                <c:pt idx="462">
                  <c:v>44270</c:v>
                </c:pt>
                <c:pt idx="463">
                  <c:v>44267</c:v>
                </c:pt>
                <c:pt idx="464">
                  <c:v>44266</c:v>
                </c:pt>
                <c:pt idx="465">
                  <c:v>44265</c:v>
                </c:pt>
                <c:pt idx="466">
                  <c:v>44264</c:v>
                </c:pt>
                <c:pt idx="467">
                  <c:v>44263</c:v>
                </c:pt>
                <c:pt idx="468">
                  <c:v>44260</c:v>
                </c:pt>
                <c:pt idx="469">
                  <c:v>44259</c:v>
                </c:pt>
                <c:pt idx="470">
                  <c:v>44258</c:v>
                </c:pt>
                <c:pt idx="471">
                  <c:v>44257</c:v>
                </c:pt>
                <c:pt idx="472">
                  <c:v>44256</c:v>
                </c:pt>
                <c:pt idx="473">
                  <c:v>44253</c:v>
                </c:pt>
                <c:pt idx="474">
                  <c:v>44252</c:v>
                </c:pt>
                <c:pt idx="475">
                  <c:v>44251</c:v>
                </c:pt>
                <c:pt idx="476">
                  <c:v>44250</c:v>
                </c:pt>
                <c:pt idx="477">
                  <c:v>44249</c:v>
                </c:pt>
                <c:pt idx="478">
                  <c:v>44246</c:v>
                </c:pt>
                <c:pt idx="479">
                  <c:v>44245</c:v>
                </c:pt>
                <c:pt idx="480">
                  <c:v>44244</c:v>
                </c:pt>
                <c:pt idx="481">
                  <c:v>44243</c:v>
                </c:pt>
                <c:pt idx="482">
                  <c:v>44242</c:v>
                </c:pt>
                <c:pt idx="483">
                  <c:v>44239</c:v>
                </c:pt>
                <c:pt idx="484">
                  <c:v>44238</c:v>
                </c:pt>
                <c:pt idx="485">
                  <c:v>44237</c:v>
                </c:pt>
                <c:pt idx="486">
                  <c:v>44236</c:v>
                </c:pt>
                <c:pt idx="487">
                  <c:v>44235</c:v>
                </c:pt>
                <c:pt idx="488">
                  <c:v>44232</c:v>
                </c:pt>
                <c:pt idx="489">
                  <c:v>44231</c:v>
                </c:pt>
                <c:pt idx="490">
                  <c:v>44230</c:v>
                </c:pt>
                <c:pt idx="491">
                  <c:v>44229</c:v>
                </c:pt>
                <c:pt idx="492">
                  <c:v>44228</c:v>
                </c:pt>
                <c:pt idx="493">
                  <c:v>44225</c:v>
                </c:pt>
                <c:pt idx="494">
                  <c:v>44224</c:v>
                </c:pt>
                <c:pt idx="495">
                  <c:v>44223</c:v>
                </c:pt>
                <c:pt idx="496">
                  <c:v>44222</c:v>
                </c:pt>
                <c:pt idx="497">
                  <c:v>44221</c:v>
                </c:pt>
                <c:pt idx="498">
                  <c:v>44218</c:v>
                </c:pt>
                <c:pt idx="499">
                  <c:v>44217</c:v>
                </c:pt>
                <c:pt idx="500">
                  <c:v>44216</c:v>
                </c:pt>
                <c:pt idx="501">
                  <c:v>44215</c:v>
                </c:pt>
                <c:pt idx="502">
                  <c:v>44214</c:v>
                </c:pt>
                <c:pt idx="503">
                  <c:v>44211</c:v>
                </c:pt>
                <c:pt idx="504">
                  <c:v>44210</c:v>
                </c:pt>
                <c:pt idx="505">
                  <c:v>44209</c:v>
                </c:pt>
                <c:pt idx="506">
                  <c:v>44208</c:v>
                </c:pt>
                <c:pt idx="507">
                  <c:v>44207</c:v>
                </c:pt>
                <c:pt idx="508">
                  <c:v>44204</c:v>
                </c:pt>
                <c:pt idx="509">
                  <c:v>44203</c:v>
                </c:pt>
                <c:pt idx="510">
                  <c:v>44202</c:v>
                </c:pt>
                <c:pt idx="511">
                  <c:v>44201</c:v>
                </c:pt>
                <c:pt idx="512">
                  <c:v>44200</c:v>
                </c:pt>
                <c:pt idx="513">
                  <c:v>44196</c:v>
                </c:pt>
                <c:pt idx="514">
                  <c:v>44195</c:v>
                </c:pt>
                <c:pt idx="515">
                  <c:v>44194</c:v>
                </c:pt>
                <c:pt idx="516">
                  <c:v>44193</c:v>
                </c:pt>
                <c:pt idx="517">
                  <c:v>44189</c:v>
                </c:pt>
                <c:pt idx="518">
                  <c:v>44188</c:v>
                </c:pt>
                <c:pt idx="519">
                  <c:v>44187</c:v>
                </c:pt>
                <c:pt idx="520">
                  <c:v>44186</c:v>
                </c:pt>
                <c:pt idx="521">
                  <c:v>44183</c:v>
                </c:pt>
                <c:pt idx="522">
                  <c:v>44182</c:v>
                </c:pt>
                <c:pt idx="523">
                  <c:v>44181</c:v>
                </c:pt>
                <c:pt idx="524">
                  <c:v>44180</c:v>
                </c:pt>
                <c:pt idx="525">
                  <c:v>44179</c:v>
                </c:pt>
                <c:pt idx="526">
                  <c:v>44176</c:v>
                </c:pt>
                <c:pt idx="527">
                  <c:v>44175</c:v>
                </c:pt>
                <c:pt idx="528">
                  <c:v>44174</c:v>
                </c:pt>
                <c:pt idx="529">
                  <c:v>44173</c:v>
                </c:pt>
                <c:pt idx="530">
                  <c:v>44172</c:v>
                </c:pt>
                <c:pt idx="531">
                  <c:v>44169</c:v>
                </c:pt>
                <c:pt idx="532">
                  <c:v>44168</c:v>
                </c:pt>
                <c:pt idx="533">
                  <c:v>44167</c:v>
                </c:pt>
                <c:pt idx="534">
                  <c:v>44166</c:v>
                </c:pt>
                <c:pt idx="535">
                  <c:v>44165</c:v>
                </c:pt>
                <c:pt idx="536">
                  <c:v>44164</c:v>
                </c:pt>
                <c:pt idx="537">
                  <c:v>44163</c:v>
                </c:pt>
                <c:pt idx="538">
                  <c:v>44162</c:v>
                </c:pt>
                <c:pt idx="539">
                  <c:v>44161</c:v>
                </c:pt>
                <c:pt idx="540">
                  <c:v>44160</c:v>
                </c:pt>
                <c:pt idx="541">
                  <c:v>44159</c:v>
                </c:pt>
                <c:pt idx="542">
                  <c:v>44158</c:v>
                </c:pt>
                <c:pt idx="543">
                  <c:v>44157</c:v>
                </c:pt>
                <c:pt idx="544">
                  <c:v>44156</c:v>
                </c:pt>
                <c:pt idx="545">
                  <c:v>44155</c:v>
                </c:pt>
                <c:pt idx="546">
                  <c:v>44154</c:v>
                </c:pt>
                <c:pt idx="547">
                  <c:v>44153</c:v>
                </c:pt>
                <c:pt idx="548">
                  <c:v>44152</c:v>
                </c:pt>
                <c:pt idx="549">
                  <c:v>44151</c:v>
                </c:pt>
                <c:pt idx="550">
                  <c:v>44148</c:v>
                </c:pt>
                <c:pt idx="551">
                  <c:v>44147</c:v>
                </c:pt>
                <c:pt idx="552">
                  <c:v>44146</c:v>
                </c:pt>
                <c:pt idx="553">
                  <c:v>44145</c:v>
                </c:pt>
                <c:pt idx="554">
                  <c:v>44144</c:v>
                </c:pt>
                <c:pt idx="555">
                  <c:v>44141</c:v>
                </c:pt>
                <c:pt idx="556">
                  <c:v>44140</c:v>
                </c:pt>
                <c:pt idx="557">
                  <c:v>44139</c:v>
                </c:pt>
                <c:pt idx="558">
                  <c:v>44138</c:v>
                </c:pt>
                <c:pt idx="559">
                  <c:v>44137</c:v>
                </c:pt>
                <c:pt idx="560">
                  <c:v>44134</c:v>
                </c:pt>
                <c:pt idx="561">
                  <c:v>44133</c:v>
                </c:pt>
                <c:pt idx="562">
                  <c:v>44132</c:v>
                </c:pt>
                <c:pt idx="563">
                  <c:v>44131</c:v>
                </c:pt>
                <c:pt idx="564">
                  <c:v>44130</c:v>
                </c:pt>
                <c:pt idx="565">
                  <c:v>44127</c:v>
                </c:pt>
                <c:pt idx="566">
                  <c:v>44126</c:v>
                </c:pt>
                <c:pt idx="567">
                  <c:v>44125</c:v>
                </c:pt>
                <c:pt idx="568">
                  <c:v>44124</c:v>
                </c:pt>
                <c:pt idx="569">
                  <c:v>44123</c:v>
                </c:pt>
                <c:pt idx="570">
                  <c:v>44120</c:v>
                </c:pt>
                <c:pt idx="571">
                  <c:v>44119</c:v>
                </c:pt>
                <c:pt idx="572">
                  <c:v>44118</c:v>
                </c:pt>
                <c:pt idx="573">
                  <c:v>44117</c:v>
                </c:pt>
                <c:pt idx="574">
                  <c:v>44116</c:v>
                </c:pt>
                <c:pt idx="575">
                  <c:v>44113</c:v>
                </c:pt>
                <c:pt idx="576">
                  <c:v>44112</c:v>
                </c:pt>
                <c:pt idx="577">
                  <c:v>44111</c:v>
                </c:pt>
                <c:pt idx="578">
                  <c:v>44110</c:v>
                </c:pt>
                <c:pt idx="579">
                  <c:v>44109</c:v>
                </c:pt>
                <c:pt idx="580">
                  <c:v>44106</c:v>
                </c:pt>
                <c:pt idx="581">
                  <c:v>44105</c:v>
                </c:pt>
                <c:pt idx="582">
                  <c:v>44104</c:v>
                </c:pt>
                <c:pt idx="583">
                  <c:v>44103</c:v>
                </c:pt>
                <c:pt idx="584">
                  <c:v>44102</c:v>
                </c:pt>
                <c:pt idx="585">
                  <c:v>44099</c:v>
                </c:pt>
                <c:pt idx="586">
                  <c:v>44098</c:v>
                </c:pt>
                <c:pt idx="587">
                  <c:v>44097</c:v>
                </c:pt>
                <c:pt idx="588">
                  <c:v>44096</c:v>
                </c:pt>
                <c:pt idx="589">
                  <c:v>44095</c:v>
                </c:pt>
                <c:pt idx="590">
                  <c:v>44092</c:v>
                </c:pt>
                <c:pt idx="591">
                  <c:v>44091</c:v>
                </c:pt>
                <c:pt idx="592">
                  <c:v>44090</c:v>
                </c:pt>
                <c:pt idx="593">
                  <c:v>44089</c:v>
                </c:pt>
                <c:pt idx="594">
                  <c:v>44088</c:v>
                </c:pt>
                <c:pt idx="595">
                  <c:v>44085</c:v>
                </c:pt>
                <c:pt idx="596">
                  <c:v>44084</c:v>
                </c:pt>
                <c:pt idx="597">
                  <c:v>44083</c:v>
                </c:pt>
                <c:pt idx="598">
                  <c:v>44082</c:v>
                </c:pt>
                <c:pt idx="599">
                  <c:v>44081</c:v>
                </c:pt>
                <c:pt idx="600">
                  <c:v>44078</c:v>
                </c:pt>
                <c:pt idx="601">
                  <c:v>44077</c:v>
                </c:pt>
                <c:pt idx="602">
                  <c:v>44076</c:v>
                </c:pt>
                <c:pt idx="603">
                  <c:v>44075</c:v>
                </c:pt>
                <c:pt idx="604">
                  <c:v>44074</c:v>
                </c:pt>
                <c:pt idx="605">
                  <c:v>44071</c:v>
                </c:pt>
                <c:pt idx="606">
                  <c:v>44070</c:v>
                </c:pt>
                <c:pt idx="607">
                  <c:v>44069</c:v>
                </c:pt>
                <c:pt idx="608">
                  <c:v>44068</c:v>
                </c:pt>
                <c:pt idx="609">
                  <c:v>44067</c:v>
                </c:pt>
                <c:pt idx="610">
                  <c:v>44064</c:v>
                </c:pt>
                <c:pt idx="611">
                  <c:v>44063</c:v>
                </c:pt>
                <c:pt idx="612">
                  <c:v>44062</c:v>
                </c:pt>
                <c:pt idx="613">
                  <c:v>44061</c:v>
                </c:pt>
                <c:pt idx="614">
                  <c:v>44060</c:v>
                </c:pt>
                <c:pt idx="615">
                  <c:v>44057</c:v>
                </c:pt>
                <c:pt idx="616">
                  <c:v>44056</c:v>
                </c:pt>
                <c:pt idx="617">
                  <c:v>44055</c:v>
                </c:pt>
                <c:pt idx="618">
                  <c:v>44054</c:v>
                </c:pt>
                <c:pt idx="619">
                  <c:v>44053</c:v>
                </c:pt>
                <c:pt idx="620">
                  <c:v>44050</c:v>
                </c:pt>
                <c:pt idx="621">
                  <c:v>44049</c:v>
                </c:pt>
                <c:pt idx="622">
                  <c:v>44048</c:v>
                </c:pt>
                <c:pt idx="623">
                  <c:v>44047</c:v>
                </c:pt>
                <c:pt idx="624">
                  <c:v>44046</c:v>
                </c:pt>
                <c:pt idx="625">
                  <c:v>44043</c:v>
                </c:pt>
                <c:pt idx="626">
                  <c:v>44042</c:v>
                </c:pt>
                <c:pt idx="627">
                  <c:v>44041</c:v>
                </c:pt>
                <c:pt idx="628">
                  <c:v>44040</c:v>
                </c:pt>
                <c:pt idx="629">
                  <c:v>44039</c:v>
                </c:pt>
                <c:pt idx="630">
                  <c:v>44036</c:v>
                </c:pt>
                <c:pt idx="631">
                  <c:v>44035</c:v>
                </c:pt>
                <c:pt idx="632">
                  <c:v>44034</c:v>
                </c:pt>
                <c:pt idx="633">
                  <c:v>44033</c:v>
                </c:pt>
                <c:pt idx="634">
                  <c:v>44032</c:v>
                </c:pt>
                <c:pt idx="635">
                  <c:v>44029</c:v>
                </c:pt>
                <c:pt idx="636">
                  <c:v>44028</c:v>
                </c:pt>
                <c:pt idx="637">
                  <c:v>44027</c:v>
                </c:pt>
                <c:pt idx="638">
                  <c:v>44026</c:v>
                </c:pt>
                <c:pt idx="639">
                  <c:v>44025</c:v>
                </c:pt>
                <c:pt idx="640">
                  <c:v>44022</c:v>
                </c:pt>
                <c:pt idx="641">
                  <c:v>44021</c:v>
                </c:pt>
                <c:pt idx="642">
                  <c:v>44020</c:v>
                </c:pt>
                <c:pt idx="643">
                  <c:v>44019</c:v>
                </c:pt>
                <c:pt idx="644">
                  <c:v>44018</c:v>
                </c:pt>
                <c:pt idx="645">
                  <c:v>44015</c:v>
                </c:pt>
                <c:pt idx="646">
                  <c:v>44014</c:v>
                </c:pt>
                <c:pt idx="647">
                  <c:v>44013</c:v>
                </c:pt>
                <c:pt idx="648">
                  <c:v>44012</c:v>
                </c:pt>
                <c:pt idx="649">
                  <c:v>44011</c:v>
                </c:pt>
                <c:pt idx="650">
                  <c:v>44008</c:v>
                </c:pt>
                <c:pt idx="651">
                  <c:v>44007</c:v>
                </c:pt>
                <c:pt idx="652">
                  <c:v>44006</c:v>
                </c:pt>
                <c:pt idx="653">
                  <c:v>44005</c:v>
                </c:pt>
                <c:pt idx="654">
                  <c:v>44004</c:v>
                </c:pt>
                <c:pt idx="655">
                  <c:v>44001</c:v>
                </c:pt>
                <c:pt idx="656">
                  <c:v>44000</c:v>
                </c:pt>
                <c:pt idx="657">
                  <c:v>43999</c:v>
                </c:pt>
                <c:pt idx="658">
                  <c:v>43998</c:v>
                </c:pt>
                <c:pt idx="659">
                  <c:v>43997</c:v>
                </c:pt>
                <c:pt idx="660">
                  <c:v>43994</c:v>
                </c:pt>
                <c:pt idx="661">
                  <c:v>43993</c:v>
                </c:pt>
                <c:pt idx="662">
                  <c:v>43992</c:v>
                </c:pt>
                <c:pt idx="663">
                  <c:v>43991</c:v>
                </c:pt>
                <c:pt idx="664">
                  <c:v>43990</c:v>
                </c:pt>
                <c:pt idx="665">
                  <c:v>43987</c:v>
                </c:pt>
                <c:pt idx="666">
                  <c:v>43986</c:v>
                </c:pt>
                <c:pt idx="667">
                  <c:v>43985</c:v>
                </c:pt>
                <c:pt idx="668">
                  <c:v>43984</c:v>
                </c:pt>
                <c:pt idx="669">
                  <c:v>43983</c:v>
                </c:pt>
                <c:pt idx="670">
                  <c:v>43980</c:v>
                </c:pt>
                <c:pt idx="671">
                  <c:v>43979</c:v>
                </c:pt>
                <c:pt idx="672">
                  <c:v>43978</c:v>
                </c:pt>
                <c:pt idx="673">
                  <c:v>43977</c:v>
                </c:pt>
                <c:pt idx="674">
                  <c:v>43976</c:v>
                </c:pt>
                <c:pt idx="675">
                  <c:v>43973</c:v>
                </c:pt>
                <c:pt idx="676">
                  <c:v>43972</c:v>
                </c:pt>
                <c:pt idx="677">
                  <c:v>43971</c:v>
                </c:pt>
                <c:pt idx="678">
                  <c:v>43970</c:v>
                </c:pt>
                <c:pt idx="679">
                  <c:v>43969</c:v>
                </c:pt>
                <c:pt idx="680">
                  <c:v>43966</c:v>
                </c:pt>
                <c:pt idx="681">
                  <c:v>43965</c:v>
                </c:pt>
                <c:pt idx="682">
                  <c:v>43964</c:v>
                </c:pt>
                <c:pt idx="683">
                  <c:v>43963</c:v>
                </c:pt>
                <c:pt idx="684">
                  <c:v>43962</c:v>
                </c:pt>
                <c:pt idx="685">
                  <c:v>43959</c:v>
                </c:pt>
                <c:pt idx="686">
                  <c:v>43958</c:v>
                </c:pt>
                <c:pt idx="687">
                  <c:v>43957</c:v>
                </c:pt>
                <c:pt idx="688">
                  <c:v>43956</c:v>
                </c:pt>
                <c:pt idx="689">
                  <c:v>43955</c:v>
                </c:pt>
                <c:pt idx="690">
                  <c:v>43952</c:v>
                </c:pt>
                <c:pt idx="691">
                  <c:v>43951</c:v>
                </c:pt>
                <c:pt idx="692">
                  <c:v>43950</c:v>
                </c:pt>
                <c:pt idx="693">
                  <c:v>43949</c:v>
                </c:pt>
                <c:pt idx="694">
                  <c:v>43948</c:v>
                </c:pt>
                <c:pt idx="695">
                  <c:v>43945</c:v>
                </c:pt>
                <c:pt idx="696">
                  <c:v>43944</c:v>
                </c:pt>
                <c:pt idx="697">
                  <c:v>43943</c:v>
                </c:pt>
                <c:pt idx="698">
                  <c:v>43942</c:v>
                </c:pt>
                <c:pt idx="699">
                  <c:v>43941</c:v>
                </c:pt>
                <c:pt idx="700">
                  <c:v>43938</c:v>
                </c:pt>
                <c:pt idx="701">
                  <c:v>43937</c:v>
                </c:pt>
                <c:pt idx="702">
                  <c:v>43936</c:v>
                </c:pt>
                <c:pt idx="703">
                  <c:v>43935</c:v>
                </c:pt>
                <c:pt idx="704">
                  <c:v>43934</c:v>
                </c:pt>
                <c:pt idx="705">
                  <c:v>43930</c:v>
                </c:pt>
                <c:pt idx="706">
                  <c:v>43929</c:v>
                </c:pt>
                <c:pt idx="707">
                  <c:v>43928</c:v>
                </c:pt>
                <c:pt idx="708">
                  <c:v>43927</c:v>
                </c:pt>
                <c:pt idx="709">
                  <c:v>43924</c:v>
                </c:pt>
                <c:pt idx="710">
                  <c:v>43923</c:v>
                </c:pt>
                <c:pt idx="711">
                  <c:v>43922</c:v>
                </c:pt>
                <c:pt idx="712">
                  <c:v>43921</c:v>
                </c:pt>
                <c:pt idx="713">
                  <c:v>43920</c:v>
                </c:pt>
                <c:pt idx="714">
                  <c:v>43917</c:v>
                </c:pt>
                <c:pt idx="715">
                  <c:v>43916</c:v>
                </c:pt>
                <c:pt idx="716">
                  <c:v>43915</c:v>
                </c:pt>
                <c:pt idx="717">
                  <c:v>43914</c:v>
                </c:pt>
                <c:pt idx="718">
                  <c:v>43913</c:v>
                </c:pt>
                <c:pt idx="719">
                  <c:v>43910</c:v>
                </c:pt>
                <c:pt idx="720">
                  <c:v>43909</c:v>
                </c:pt>
                <c:pt idx="721">
                  <c:v>43908</c:v>
                </c:pt>
                <c:pt idx="722">
                  <c:v>43907</c:v>
                </c:pt>
                <c:pt idx="723">
                  <c:v>43906</c:v>
                </c:pt>
                <c:pt idx="724">
                  <c:v>43903</c:v>
                </c:pt>
                <c:pt idx="725">
                  <c:v>43902</c:v>
                </c:pt>
                <c:pt idx="726">
                  <c:v>43901</c:v>
                </c:pt>
                <c:pt idx="727">
                  <c:v>43900</c:v>
                </c:pt>
                <c:pt idx="728">
                  <c:v>43899</c:v>
                </c:pt>
                <c:pt idx="729">
                  <c:v>43896</c:v>
                </c:pt>
                <c:pt idx="730">
                  <c:v>43895</c:v>
                </c:pt>
                <c:pt idx="731">
                  <c:v>43894</c:v>
                </c:pt>
                <c:pt idx="732">
                  <c:v>43893</c:v>
                </c:pt>
                <c:pt idx="733">
                  <c:v>43892</c:v>
                </c:pt>
                <c:pt idx="734">
                  <c:v>43889</c:v>
                </c:pt>
                <c:pt idx="735">
                  <c:v>43888</c:v>
                </c:pt>
                <c:pt idx="736">
                  <c:v>43887</c:v>
                </c:pt>
                <c:pt idx="737">
                  <c:v>43886</c:v>
                </c:pt>
                <c:pt idx="738">
                  <c:v>43885</c:v>
                </c:pt>
                <c:pt idx="739">
                  <c:v>43882</c:v>
                </c:pt>
                <c:pt idx="740">
                  <c:v>43881</c:v>
                </c:pt>
                <c:pt idx="741">
                  <c:v>43880</c:v>
                </c:pt>
                <c:pt idx="742">
                  <c:v>43879</c:v>
                </c:pt>
                <c:pt idx="743">
                  <c:v>43878</c:v>
                </c:pt>
                <c:pt idx="744">
                  <c:v>43875</c:v>
                </c:pt>
                <c:pt idx="745">
                  <c:v>43874</c:v>
                </c:pt>
                <c:pt idx="746">
                  <c:v>43873</c:v>
                </c:pt>
                <c:pt idx="747">
                  <c:v>43872</c:v>
                </c:pt>
                <c:pt idx="748">
                  <c:v>43871</c:v>
                </c:pt>
                <c:pt idx="749">
                  <c:v>43868</c:v>
                </c:pt>
                <c:pt idx="750">
                  <c:v>43867</c:v>
                </c:pt>
                <c:pt idx="751">
                  <c:v>43866</c:v>
                </c:pt>
                <c:pt idx="752">
                  <c:v>43865</c:v>
                </c:pt>
                <c:pt idx="753">
                  <c:v>43864</c:v>
                </c:pt>
                <c:pt idx="754">
                  <c:v>43861</c:v>
                </c:pt>
                <c:pt idx="755">
                  <c:v>43860</c:v>
                </c:pt>
                <c:pt idx="756">
                  <c:v>43859</c:v>
                </c:pt>
                <c:pt idx="757">
                  <c:v>43858</c:v>
                </c:pt>
                <c:pt idx="758">
                  <c:v>43857</c:v>
                </c:pt>
                <c:pt idx="759">
                  <c:v>43854</c:v>
                </c:pt>
                <c:pt idx="760">
                  <c:v>43853</c:v>
                </c:pt>
                <c:pt idx="761">
                  <c:v>43852</c:v>
                </c:pt>
                <c:pt idx="762">
                  <c:v>43851</c:v>
                </c:pt>
                <c:pt idx="763">
                  <c:v>43850</c:v>
                </c:pt>
                <c:pt idx="764">
                  <c:v>43847</c:v>
                </c:pt>
                <c:pt idx="765">
                  <c:v>43846</c:v>
                </c:pt>
                <c:pt idx="766">
                  <c:v>43845</c:v>
                </c:pt>
                <c:pt idx="767">
                  <c:v>43844</c:v>
                </c:pt>
                <c:pt idx="768">
                  <c:v>43843</c:v>
                </c:pt>
                <c:pt idx="769">
                  <c:v>43840</c:v>
                </c:pt>
                <c:pt idx="770">
                  <c:v>43839</c:v>
                </c:pt>
                <c:pt idx="771">
                  <c:v>43838</c:v>
                </c:pt>
                <c:pt idx="772">
                  <c:v>43837</c:v>
                </c:pt>
                <c:pt idx="773">
                  <c:v>43836</c:v>
                </c:pt>
                <c:pt idx="774">
                  <c:v>43833</c:v>
                </c:pt>
                <c:pt idx="775">
                  <c:v>43832</c:v>
                </c:pt>
                <c:pt idx="776">
                  <c:v>43830</c:v>
                </c:pt>
                <c:pt idx="777">
                  <c:v>43829</c:v>
                </c:pt>
                <c:pt idx="778">
                  <c:v>43826</c:v>
                </c:pt>
                <c:pt idx="779">
                  <c:v>43825</c:v>
                </c:pt>
                <c:pt idx="780">
                  <c:v>43823</c:v>
                </c:pt>
                <c:pt idx="781">
                  <c:v>43822</c:v>
                </c:pt>
                <c:pt idx="782">
                  <c:v>43819</c:v>
                </c:pt>
                <c:pt idx="783">
                  <c:v>43818</c:v>
                </c:pt>
                <c:pt idx="784">
                  <c:v>43817</c:v>
                </c:pt>
                <c:pt idx="785">
                  <c:v>43816</c:v>
                </c:pt>
                <c:pt idx="786">
                  <c:v>43815</c:v>
                </c:pt>
                <c:pt idx="787">
                  <c:v>43812</c:v>
                </c:pt>
                <c:pt idx="788">
                  <c:v>43811</c:v>
                </c:pt>
                <c:pt idx="789">
                  <c:v>43810</c:v>
                </c:pt>
                <c:pt idx="790">
                  <c:v>43809</c:v>
                </c:pt>
                <c:pt idx="791">
                  <c:v>43808</c:v>
                </c:pt>
                <c:pt idx="792">
                  <c:v>43805</c:v>
                </c:pt>
                <c:pt idx="793">
                  <c:v>43804</c:v>
                </c:pt>
                <c:pt idx="794">
                  <c:v>43803</c:v>
                </c:pt>
                <c:pt idx="795">
                  <c:v>43802</c:v>
                </c:pt>
                <c:pt idx="796">
                  <c:v>43801</c:v>
                </c:pt>
                <c:pt idx="797">
                  <c:v>43798</c:v>
                </c:pt>
                <c:pt idx="798">
                  <c:v>43797</c:v>
                </c:pt>
                <c:pt idx="799">
                  <c:v>43796</c:v>
                </c:pt>
                <c:pt idx="800">
                  <c:v>43795</c:v>
                </c:pt>
                <c:pt idx="801">
                  <c:v>43794</c:v>
                </c:pt>
                <c:pt idx="802">
                  <c:v>43791</c:v>
                </c:pt>
                <c:pt idx="803">
                  <c:v>43790</c:v>
                </c:pt>
                <c:pt idx="804">
                  <c:v>43789</c:v>
                </c:pt>
                <c:pt idx="805">
                  <c:v>43788</c:v>
                </c:pt>
                <c:pt idx="806">
                  <c:v>43787</c:v>
                </c:pt>
                <c:pt idx="807">
                  <c:v>43784</c:v>
                </c:pt>
                <c:pt idx="808">
                  <c:v>43783</c:v>
                </c:pt>
                <c:pt idx="809">
                  <c:v>43782</c:v>
                </c:pt>
                <c:pt idx="810">
                  <c:v>43781</c:v>
                </c:pt>
                <c:pt idx="811">
                  <c:v>43780</c:v>
                </c:pt>
                <c:pt idx="812">
                  <c:v>43777</c:v>
                </c:pt>
                <c:pt idx="813">
                  <c:v>43776</c:v>
                </c:pt>
                <c:pt idx="814">
                  <c:v>43775</c:v>
                </c:pt>
                <c:pt idx="815">
                  <c:v>43774</c:v>
                </c:pt>
                <c:pt idx="816">
                  <c:v>43773</c:v>
                </c:pt>
                <c:pt idx="817">
                  <c:v>43770</c:v>
                </c:pt>
                <c:pt idx="818">
                  <c:v>43769</c:v>
                </c:pt>
                <c:pt idx="819">
                  <c:v>43768</c:v>
                </c:pt>
                <c:pt idx="820">
                  <c:v>43767</c:v>
                </c:pt>
                <c:pt idx="821">
                  <c:v>43766</c:v>
                </c:pt>
                <c:pt idx="822">
                  <c:v>43763</c:v>
                </c:pt>
                <c:pt idx="823">
                  <c:v>43762</c:v>
                </c:pt>
                <c:pt idx="824">
                  <c:v>43761</c:v>
                </c:pt>
                <c:pt idx="825">
                  <c:v>43760</c:v>
                </c:pt>
                <c:pt idx="826">
                  <c:v>43759</c:v>
                </c:pt>
                <c:pt idx="827">
                  <c:v>43756</c:v>
                </c:pt>
                <c:pt idx="828">
                  <c:v>43755</c:v>
                </c:pt>
                <c:pt idx="829">
                  <c:v>43754</c:v>
                </c:pt>
                <c:pt idx="830">
                  <c:v>43753</c:v>
                </c:pt>
                <c:pt idx="831">
                  <c:v>43752</c:v>
                </c:pt>
                <c:pt idx="832">
                  <c:v>43749</c:v>
                </c:pt>
                <c:pt idx="833">
                  <c:v>43748</c:v>
                </c:pt>
                <c:pt idx="834">
                  <c:v>43747</c:v>
                </c:pt>
                <c:pt idx="835">
                  <c:v>43746</c:v>
                </c:pt>
                <c:pt idx="836">
                  <c:v>43745</c:v>
                </c:pt>
                <c:pt idx="837">
                  <c:v>43742</c:v>
                </c:pt>
                <c:pt idx="838">
                  <c:v>43741</c:v>
                </c:pt>
                <c:pt idx="839">
                  <c:v>43740</c:v>
                </c:pt>
                <c:pt idx="840">
                  <c:v>43739</c:v>
                </c:pt>
                <c:pt idx="841">
                  <c:v>43738</c:v>
                </c:pt>
                <c:pt idx="842">
                  <c:v>43735</c:v>
                </c:pt>
                <c:pt idx="843">
                  <c:v>43734</c:v>
                </c:pt>
                <c:pt idx="844">
                  <c:v>43733</c:v>
                </c:pt>
                <c:pt idx="845">
                  <c:v>43732</c:v>
                </c:pt>
                <c:pt idx="846">
                  <c:v>43731</c:v>
                </c:pt>
                <c:pt idx="847">
                  <c:v>43728</c:v>
                </c:pt>
                <c:pt idx="848">
                  <c:v>43727</c:v>
                </c:pt>
                <c:pt idx="849">
                  <c:v>43726</c:v>
                </c:pt>
                <c:pt idx="850">
                  <c:v>43725</c:v>
                </c:pt>
                <c:pt idx="851">
                  <c:v>43724</c:v>
                </c:pt>
                <c:pt idx="852">
                  <c:v>43721</c:v>
                </c:pt>
                <c:pt idx="853">
                  <c:v>43720</c:v>
                </c:pt>
                <c:pt idx="854">
                  <c:v>43719</c:v>
                </c:pt>
                <c:pt idx="855">
                  <c:v>43718</c:v>
                </c:pt>
                <c:pt idx="856">
                  <c:v>43717</c:v>
                </c:pt>
                <c:pt idx="857">
                  <c:v>43714</c:v>
                </c:pt>
                <c:pt idx="858">
                  <c:v>43713</c:v>
                </c:pt>
                <c:pt idx="859">
                  <c:v>43712</c:v>
                </c:pt>
                <c:pt idx="860">
                  <c:v>43711</c:v>
                </c:pt>
                <c:pt idx="861">
                  <c:v>43710</c:v>
                </c:pt>
                <c:pt idx="862">
                  <c:v>43707</c:v>
                </c:pt>
                <c:pt idx="863">
                  <c:v>43706</c:v>
                </c:pt>
                <c:pt idx="864">
                  <c:v>43705</c:v>
                </c:pt>
                <c:pt idx="865">
                  <c:v>43704</c:v>
                </c:pt>
                <c:pt idx="866">
                  <c:v>43703</c:v>
                </c:pt>
                <c:pt idx="867">
                  <c:v>43700</c:v>
                </c:pt>
                <c:pt idx="868">
                  <c:v>43699</c:v>
                </c:pt>
                <c:pt idx="869">
                  <c:v>43698</c:v>
                </c:pt>
                <c:pt idx="870">
                  <c:v>43697</c:v>
                </c:pt>
                <c:pt idx="871">
                  <c:v>43696</c:v>
                </c:pt>
                <c:pt idx="872">
                  <c:v>43693</c:v>
                </c:pt>
                <c:pt idx="873">
                  <c:v>43692</c:v>
                </c:pt>
                <c:pt idx="874">
                  <c:v>43691</c:v>
                </c:pt>
                <c:pt idx="875">
                  <c:v>43690</c:v>
                </c:pt>
                <c:pt idx="876">
                  <c:v>43689</c:v>
                </c:pt>
                <c:pt idx="877">
                  <c:v>43686</c:v>
                </c:pt>
                <c:pt idx="878">
                  <c:v>43685</c:v>
                </c:pt>
                <c:pt idx="879">
                  <c:v>43684</c:v>
                </c:pt>
                <c:pt idx="880">
                  <c:v>43683</c:v>
                </c:pt>
                <c:pt idx="881">
                  <c:v>43682</c:v>
                </c:pt>
                <c:pt idx="882">
                  <c:v>43679</c:v>
                </c:pt>
                <c:pt idx="883">
                  <c:v>43678</c:v>
                </c:pt>
                <c:pt idx="884">
                  <c:v>43677</c:v>
                </c:pt>
                <c:pt idx="885">
                  <c:v>43676</c:v>
                </c:pt>
                <c:pt idx="886">
                  <c:v>43675</c:v>
                </c:pt>
                <c:pt idx="887">
                  <c:v>43672</c:v>
                </c:pt>
                <c:pt idx="888">
                  <c:v>43671</c:v>
                </c:pt>
                <c:pt idx="889">
                  <c:v>43670</c:v>
                </c:pt>
                <c:pt idx="890">
                  <c:v>43669</c:v>
                </c:pt>
                <c:pt idx="891">
                  <c:v>43668</c:v>
                </c:pt>
                <c:pt idx="892">
                  <c:v>43665</c:v>
                </c:pt>
                <c:pt idx="893">
                  <c:v>43664</c:v>
                </c:pt>
                <c:pt idx="894">
                  <c:v>43663</c:v>
                </c:pt>
                <c:pt idx="895">
                  <c:v>43662</c:v>
                </c:pt>
                <c:pt idx="896">
                  <c:v>43661</c:v>
                </c:pt>
                <c:pt idx="897">
                  <c:v>43658</c:v>
                </c:pt>
                <c:pt idx="898">
                  <c:v>43657</c:v>
                </c:pt>
                <c:pt idx="899">
                  <c:v>43656</c:v>
                </c:pt>
                <c:pt idx="900">
                  <c:v>43655</c:v>
                </c:pt>
                <c:pt idx="901">
                  <c:v>43654</c:v>
                </c:pt>
                <c:pt idx="902">
                  <c:v>43651</c:v>
                </c:pt>
                <c:pt idx="903">
                  <c:v>43650</c:v>
                </c:pt>
                <c:pt idx="904">
                  <c:v>43649</c:v>
                </c:pt>
                <c:pt idx="905">
                  <c:v>43648</c:v>
                </c:pt>
                <c:pt idx="906">
                  <c:v>43647</c:v>
                </c:pt>
                <c:pt idx="907">
                  <c:v>43644</c:v>
                </c:pt>
                <c:pt idx="908">
                  <c:v>43643</c:v>
                </c:pt>
                <c:pt idx="909">
                  <c:v>43642</c:v>
                </c:pt>
                <c:pt idx="910">
                  <c:v>43641</c:v>
                </c:pt>
                <c:pt idx="911">
                  <c:v>43640</c:v>
                </c:pt>
                <c:pt idx="912">
                  <c:v>43637</c:v>
                </c:pt>
                <c:pt idx="913">
                  <c:v>43636</c:v>
                </c:pt>
                <c:pt idx="914">
                  <c:v>43635</c:v>
                </c:pt>
                <c:pt idx="915">
                  <c:v>43634</c:v>
                </c:pt>
                <c:pt idx="916">
                  <c:v>43633</c:v>
                </c:pt>
                <c:pt idx="917">
                  <c:v>43630</c:v>
                </c:pt>
                <c:pt idx="918">
                  <c:v>43629</c:v>
                </c:pt>
                <c:pt idx="919">
                  <c:v>43628</c:v>
                </c:pt>
                <c:pt idx="920">
                  <c:v>43627</c:v>
                </c:pt>
                <c:pt idx="921">
                  <c:v>43626</c:v>
                </c:pt>
                <c:pt idx="922">
                  <c:v>43623</c:v>
                </c:pt>
                <c:pt idx="923">
                  <c:v>43622</c:v>
                </c:pt>
                <c:pt idx="924">
                  <c:v>43621</c:v>
                </c:pt>
                <c:pt idx="925">
                  <c:v>43620</c:v>
                </c:pt>
                <c:pt idx="926">
                  <c:v>43619</c:v>
                </c:pt>
                <c:pt idx="927">
                  <c:v>43616</c:v>
                </c:pt>
                <c:pt idx="928">
                  <c:v>43615</c:v>
                </c:pt>
                <c:pt idx="929">
                  <c:v>43614</c:v>
                </c:pt>
                <c:pt idx="930">
                  <c:v>43613</c:v>
                </c:pt>
                <c:pt idx="931">
                  <c:v>43612</c:v>
                </c:pt>
                <c:pt idx="932">
                  <c:v>43609</c:v>
                </c:pt>
                <c:pt idx="933">
                  <c:v>43608</c:v>
                </c:pt>
                <c:pt idx="934">
                  <c:v>43607</c:v>
                </c:pt>
                <c:pt idx="935">
                  <c:v>43606</c:v>
                </c:pt>
                <c:pt idx="936">
                  <c:v>43605</c:v>
                </c:pt>
                <c:pt idx="937">
                  <c:v>43602</c:v>
                </c:pt>
                <c:pt idx="938">
                  <c:v>43601</c:v>
                </c:pt>
                <c:pt idx="939">
                  <c:v>43600</c:v>
                </c:pt>
                <c:pt idx="940">
                  <c:v>43599</c:v>
                </c:pt>
                <c:pt idx="941">
                  <c:v>43598</c:v>
                </c:pt>
                <c:pt idx="942">
                  <c:v>43595</c:v>
                </c:pt>
                <c:pt idx="943">
                  <c:v>43594</c:v>
                </c:pt>
                <c:pt idx="944">
                  <c:v>43593</c:v>
                </c:pt>
                <c:pt idx="945">
                  <c:v>43592</c:v>
                </c:pt>
                <c:pt idx="946">
                  <c:v>43591</c:v>
                </c:pt>
                <c:pt idx="947">
                  <c:v>43588</c:v>
                </c:pt>
                <c:pt idx="948">
                  <c:v>43587</c:v>
                </c:pt>
                <c:pt idx="949">
                  <c:v>43586</c:v>
                </c:pt>
                <c:pt idx="950">
                  <c:v>43585</c:v>
                </c:pt>
                <c:pt idx="951">
                  <c:v>43584</c:v>
                </c:pt>
                <c:pt idx="952">
                  <c:v>43581</c:v>
                </c:pt>
                <c:pt idx="953">
                  <c:v>43580</c:v>
                </c:pt>
                <c:pt idx="954">
                  <c:v>43579</c:v>
                </c:pt>
                <c:pt idx="955">
                  <c:v>43578</c:v>
                </c:pt>
                <c:pt idx="956">
                  <c:v>43577</c:v>
                </c:pt>
                <c:pt idx="957">
                  <c:v>43574</c:v>
                </c:pt>
                <c:pt idx="958">
                  <c:v>43573</c:v>
                </c:pt>
                <c:pt idx="959">
                  <c:v>43572</c:v>
                </c:pt>
                <c:pt idx="960">
                  <c:v>43571</c:v>
                </c:pt>
                <c:pt idx="961">
                  <c:v>43570</c:v>
                </c:pt>
                <c:pt idx="962">
                  <c:v>43567</c:v>
                </c:pt>
                <c:pt idx="963">
                  <c:v>43566</c:v>
                </c:pt>
                <c:pt idx="964">
                  <c:v>43565</c:v>
                </c:pt>
                <c:pt idx="965">
                  <c:v>43564</c:v>
                </c:pt>
                <c:pt idx="966">
                  <c:v>43563</c:v>
                </c:pt>
                <c:pt idx="967">
                  <c:v>43560</c:v>
                </c:pt>
                <c:pt idx="968">
                  <c:v>43559</c:v>
                </c:pt>
                <c:pt idx="969">
                  <c:v>43558</c:v>
                </c:pt>
                <c:pt idx="970">
                  <c:v>43557</c:v>
                </c:pt>
                <c:pt idx="971">
                  <c:v>43556</c:v>
                </c:pt>
                <c:pt idx="972">
                  <c:v>43553</c:v>
                </c:pt>
                <c:pt idx="973">
                  <c:v>43552</c:v>
                </c:pt>
                <c:pt idx="974">
                  <c:v>43551</c:v>
                </c:pt>
                <c:pt idx="975">
                  <c:v>43550</c:v>
                </c:pt>
                <c:pt idx="976">
                  <c:v>43549</c:v>
                </c:pt>
                <c:pt idx="977">
                  <c:v>43546</c:v>
                </c:pt>
                <c:pt idx="978">
                  <c:v>43545</c:v>
                </c:pt>
                <c:pt idx="979">
                  <c:v>43544</c:v>
                </c:pt>
                <c:pt idx="980">
                  <c:v>43543</c:v>
                </c:pt>
                <c:pt idx="981">
                  <c:v>43542</c:v>
                </c:pt>
                <c:pt idx="982">
                  <c:v>43539</c:v>
                </c:pt>
                <c:pt idx="983">
                  <c:v>43538</c:v>
                </c:pt>
                <c:pt idx="984">
                  <c:v>43537</c:v>
                </c:pt>
                <c:pt idx="985">
                  <c:v>43536</c:v>
                </c:pt>
                <c:pt idx="986">
                  <c:v>43535</c:v>
                </c:pt>
                <c:pt idx="987">
                  <c:v>43532</c:v>
                </c:pt>
                <c:pt idx="988">
                  <c:v>43531</c:v>
                </c:pt>
                <c:pt idx="989">
                  <c:v>43530</c:v>
                </c:pt>
                <c:pt idx="990">
                  <c:v>43529</c:v>
                </c:pt>
                <c:pt idx="991">
                  <c:v>43528</c:v>
                </c:pt>
                <c:pt idx="992">
                  <c:v>43525</c:v>
                </c:pt>
                <c:pt idx="993">
                  <c:v>43524</c:v>
                </c:pt>
                <c:pt idx="994">
                  <c:v>43523</c:v>
                </c:pt>
                <c:pt idx="995">
                  <c:v>43522</c:v>
                </c:pt>
                <c:pt idx="996">
                  <c:v>43521</c:v>
                </c:pt>
                <c:pt idx="997">
                  <c:v>43518</c:v>
                </c:pt>
                <c:pt idx="998">
                  <c:v>43517</c:v>
                </c:pt>
                <c:pt idx="999">
                  <c:v>43516</c:v>
                </c:pt>
                <c:pt idx="1000">
                  <c:v>43515</c:v>
                </c:pt>
                <c:pt idx="1001">
                  <c:v>43514</c:v>
                </c:pt>
                <c:pt idx="1002">
                  <c:v>43511</c:v>
                </c:pt>
                <c:pt idx="1003">
                  <c:v>43510</c:v>
                </c:pt>
                <c:pt idx="1004">
                  <c:v>43509</c:v>
                </c:pt>
                <c:pt idx="1005">
                  <c:v>43508</c:v>
                </c:pt>
                <c:pt idx="1006">
                  <c:v>43507</c:v>
                </c:pt>
                <c:pt idx="1007">
                  <c:v>43504</c:v>
                </c:pt>
                <c:pt idx="1008">
                  <c:v>43503</c:v>
                </c:pt>
                <c:pt idx="1009">
                  <c:v>43502</c:v>
                </c:pt>
                <c:pt idx="1010">
                  <c:v>43501</c:v>
                </c:pt>
                <c:pt idx="1011">
                  <c:v>43500</c:v>
                </c:pt>
                <c:pt idx="1012">
                  <c:v>43497</c:v>
                </c:pt>
                <c:pt idx="1013">
                  <c:v>43496</c:v>
                </c:pt>
                <c:pt idx="1014">
                  <c:v>43495</c:v>
                </c:pt>
                <c:pt idx="1015">
                  <c:v>43494</c:v>
                </c:pt>
                <c:pt idx="1016">
                  <c:v>43493</c:v>
                </c:pt>
                <c:pt idx="1017">
                  <c:v>43490</c:v>
                </c:pt>
                <c:pt idx="1018">
                  <c:v>43489</c:v>
                </c:pt>
                <c:pt idx="1019">
                  <c:v>43488</c:v>
                </c:pt>
                <c:pt idx="1020">
                  <c:v>43487</c:v>
                </c:pt>
                <c:pt idx="1021">
                  <c:v>43486</c:v>
                </c:pt>
                <c:pt idx="1022">
                  <c:v>43483</c:v>
                </c:pt>
                <c:pt idx="1023">
                  <c:v>43482</c:v>
                </c:pt>
                <c:pt idx="1024">
                  <c:v>43481</c:v>
                </c:pt>
                <c:pt idx="1025">
                  <c:v>43480</c:v>
                </c:pt>
                <c:pt idx="1026">
                  <c:v>43479</c:v>
                </c:pt>
                <c:pt idx="1027">
                  <c:v>43476</c:v>
                </c:pt>
                <c:pt idx="1028">
                  <c:v>43475</c:v>
                </c:pt>
                <c:pt idx="1029">
                  <c:v>43474</c:v>
                </c:pt>
                <c:pt idx="1030">
                  <c:v>43473</c:v>
                </c:pt>
                <c:pt idx="1031">
                  <c:v>43472</c:v>
                </c:pt>
                <c:pt idx="1032">
                  <c:v>43469</c:v>
                </c:pt>
                <c:pt idx="1033">
                  <c:v>43468</c:v>
                </c:pt>
                <c:pt idx="1034">
                  <c:v>43467</c:v>
                </c:pt>
                <c:pt idx="1035">
                  <c:v>43465</c:v>
                </c:pt>
                <c:pt idx="1036">
                  <c:v>43462</c:v>
                </c:pt>
                <c:pt idx="1037">
                  <c:v>43461</c:v>
                </c:pt>
                <c:pt idx="1038">
                  <c:v>43460</c:v>
                </c:pt>
                <c:pt idx="1039">
                  <c:v>43458</c:v>
                </c:pt>
                <c:pt idx="1040">
                  <c:v>43455</c:v>
                </c:pt>
                <c:pt idx="1041">
                  <c:v>43454</c:v>
                </c:pt>
                <c:pt idx="1042">
                  <c:v>43453</c:v>
                </c:pt>
                <c:pt idx="1043">
                  <c:v>43452</c:v>
                </c:pt>
                <c:pt idx="1044">
                  <c:v>43451</c:v>
                </c:pt>
                <c:pt idx="1045">
                  <c:v>43448</c:v>
                </c:pt>
                <c:pt idx="1046">
                  <c:v>43447</c:v>
                </c:pt>
                <c:pt idx="1047">
                  <c:v>43446</c:v>
                </c:pt>
                <c:pt idx="1048">
                  <c:v>43445</c:v>
                </c:pt>
                <c:pt idx="1049">
                  <c:v>43444</c:v>
                </c:pt>
                <c:pt idx="1050">
                  <c:v>43441</c:v>
                </c:pt>
                <c:pt idx="1051">
                  <c:v>43440</c:v>
                </c:pt>
                <c:pt idx="1052">
                  <c:v>43439</c:v>
                </c:pt>
                <c:pt idx="1053">
                  <c:v>43438</c:v>
                </c:pt>
                <c:pt idx="1054">
                  <c:v>43437</c:v>
                </c:pt>
                <c:pt idx="1055">
                  <c:v>43434</c:v>
                </c:pt>
                <c:pt idx="1056">
                  <c:v>43433</c:v>
                </c:pt>
                <c:pt idx="1057">
                  <c:v>43432</c:v>
                </c:pt>
                <c:pt idx="1058">
                  <c:v>43431</c:v>
                </c:pt>
                <c:pt idx="1059">
                  <c:v>43430</c:v>
                </c:pt>
                <c:pt idx="1060">
                  <c:v>43427</c:v>
                </c:pt>
                <c:pt idx="1061">
                  <c:v>43426</c:v>
                </c:pt>
                <c:pt idx="1062">
                  <c:v>43425</c:v>
                </c:pt>
                <c:pt idx="1063">
                  <c:v>43424</c:v>
                </c:pt>
                <c:pt idx="1064">
                  <c:v>43423</c:v>
                </c:pt>
                <c:pt idx="1065">
                  <c:v>43420</c:v>
                </c:pt>
                <c:pt idx="1066">
                  <c:v>43419</c:v>
                </c:pt>
                <c:pt idx="1067">
                  <c:v>43418</c:v>
                </c:pt>
                <c:pt idx="1068">
                  <c:v>43417</c:v>
                </c:pt>
                <c:pt idx="1069">
                  <c:v>43416</c:v>
                </c:pt>
                <c:pt idx="1070">
                  <c:v>43413</c:v>
                </c:pt>
                <c:pt idx="1071">
                  <c:v>43412</c:v>
                </c:pt>
                <c:pt idx="1072">
                  <c:v>43411</c:v>
                </c:pt>
                <c:pt idx="1073">
                  <c:v>43410</c:v>
                </c:pt>
                <c:pt idx="1074">
                  <c:v>43409</c:v>
                </c:pt>
                <c:pt idx="1075">
                  <c:v>43406</c:v>
                </c:pt>
                <c:pt idx="1076">
                  <c:v>43405</c:v>
                </c:pt>
                <c:pt idx="1077">
                  <c:v>43404</c:v>
                </c:pt>
                <c:pt idx="1078">
                  <c:v>43403</c:v>
                </c:pt>
                <c:pt idx="1079">
                  <c:v>43402</c:v>
                </c:pt>
                <c:pt idx="1080">
                  <c:v>43399</c:v>
                </c:pt>
                <c:pt idx="1081">
                  <c:v>43398</c:v>
                </c:pt>
                <c:pt idx="1082">
                  <c:v>43397</c:v>
                </c:pt>
                <c:pt idx="1083">
                  <c:v>43396</c:v>
                </c:pt>
                <c:pt idx="1084">
                  <c:v>43395</c:v>
                </c:pt>
                <c:pt idx="1085">
                  <c:v>43392</c:v>
                </c:pt>
                <c:pt idx="1086">
                  <c:v>43391</c:v>
                </c:pt>
                <c:pt idx="1087">
                  <c:v>43390</c:v>
                </c:pt>
                <c:pt idx="1088">
                  <c:v>43389</c:v>
                </c:pt>
                <c:pt idx="1089">
                  <c:v>43388</c:v>
                </c:pt>
                <c:pt idx="1090">
                  <c:v>43385</c:v>
                </c:pt>
                <c:pt idx="1091">
                  <c:v>43384</c:v>
                </c:pt>
                <c:pt idx="1092">
                  <c:v>43383</c:v>
                </c:pt>
                <c:pt idx="1093">
                  <c:v>43382</c:v>
                </c:pt>
                <c:pt idx="1094">
                  <c:v>43381</c:v>
                </c:pt>
                <c:pt idx="1095">
                  <c:v>43378</c:v>
                </c:pt>
                <c:pt idx="1096">
                  <c:v>43377</c:v>
                </c:pt>
                <c:pt idx="1097">
                  <c:v>43376</c:v>
                </c:pt>
                <c:pt idx="1098">
                  <c:v>43375</c:v>
                </c:pt>
                <c:pt idx="1099">
                  <c:v>43374</c:v>
                </c:pt>
                <c:pt idx="1100">
                  <c:v>43371</c:v>
                </c:pt>
                <c:pt idx="1101">
                  <c:v>43370</c:v>
                </c:pt>
                <c:pt idx="1102">
                  <c:v>43369</c:v>
                </c:pt>
                <c:pt idx="1103">
                  <c:v>43368</c:v>
                </c:pt>
                <c:pt idx="1104">
                  <c:v>43367</c:v>
                </c:pt>
                <c:pt idx="1105">
                  <c:v>43364</c:v>
                </c:pt>
                <c:pt idx="1106">
                  <c:v>43363</c:v>
                </c:pt>
                <c:pt idx="1107">
                  <c:v>43362</c:v>
                </c:pt>
                <c:pt idx="1108">
                  <c:v>43361</c:v>
                </c:pt>
                <c:pt idx="1109">
                  <c:v>43360</c:v>
                </c:pt>
                <c:pt idx="1110">
                  <c:v>43357</c:v>
                </c:pt>
                <c:pt idx="1111">
                  <c:v>43356</c:v>
                </c:pt>
                <c:pt idx="1112">
                  <c:v>43355</c:v>
                </c:pt>
                <c:pt idx="1113">
                  <c:v>43354</c:v>
                </c:pt>
                <c:pt idx="1114">
                  <c:v>43353</c:v>
                </c:pt>
                <c:pt idx="1115">
                  <c:v>43350</c:v>
                </c:pt>
                <c:pt idx="1116">
                  <c:v>43349</c:v>
                </c:pt>
                <c:pt idx="1117">
                  <c:v>43348</c:v>
                </c:pt>
                <c:pt idx="1118">
                  <c:v>43347</c:v>
                </c:pt>
                <c:pt idx="1119">
                  <c:v>43346</c:v>
                </c:pt>
                <c:pt idx="1120">
                  <c:v>43343</c:v>
                </c:pt>
                <c:pt idx="1121">
                  <c:v>43342</c:v>
                </c:pt>
                <c:pt idx="1122">
                  <c:v>43341</c:v>
                </c:pt>
                <c:pt idx="1123">
                  <c:v>43340</c:v>
                </c:pt>
                <c:pt idx="1124">
                  <c:v>43339</c:v>
                </c:pt>
                <c:pt idx="1125">
                  <c:v>43336</c:v>
                </c:pt>
                <c:pt idx="1126">
                  <c:v>43335</c:v>
                </c:pt>
                <c:pt idx="1127">
                  <c:v>43334</c:v>
                </c:pt>
                <c:pt idx="1128">
                  <c:v>43333</c:v>
                </c:pt>
                <c:pt idx="1129">
                  <c:v>43332</c:v>
                </c:pt>
                <c:pt idx="1130">
                  <c:v>43329</c:v>
                </c:pt>
                <c:pt idx="1131">
                  <c:v>43328</c:v>
                </c:pt>
                <c:pt idx="1132">
                  <c:v>43327</c:v>
                </c:pt>
                <c:pt idx="1133">
                  <c:v>43326</c:v>
                </c:pt>
                <c:pt idx="1134">
                  <c:v>43325</c:v>
                </c:pt>
                <c:pt idx="1135">
                  <c:v>43322</c:v>
                </c:pt>
                <c:pt idx="1136">
                  <c:v>43321</c:v>
                </c:pt>
                <c:pt idx="1137">
                  <c:v>43320</c:v>
                </c:pt>
                <c:pt idx="1138">
                  <c:v>43319</c:v>
                </c:pt>
                <c:pt idx="1139">
                  <c:v>43318</c:v>
                </c:pt>
                <c:pt idx="1140">
                  <c:v>43315</c:v>
                </c:pt>
                <c:pt idx="1141">
                  <c:v>43314</c:v>
                </c:pt>
                <c:pt idx="1142">
                  <c:v>43313</c:v>
                </c:pt>
                <c:pt idx="1143">
                  <c:v>43312</c:v>
                </c:pt>
                <c:pt idx="1144">
                  <c:v>43311</c:v>
                </c:pt>
                <c:pt idx="1145">
                  <c:v>43308</c:v>
                </c:pt>
                <c:pt idx="1146">
                  <c:v>43307</c:v>
                </c:pt>
                <c:pt idx="1147">
                  <c:v>43306</c:v>
                </c:pt>
                <c:pt idx="1148">
                  <c:v>43305</c:v>
                </c:pt>
                <c:pt idx="1149">
                  <c:v>43304</c:v>
                </c:pt>
                <c:pt idx="1150">
                  <c:v>43301</c:v>
                </c:pt>
                <c:pt idx="1151">
                  <c:v>43300</c:v>
                </c:pt>
                <c:pt idx="1152">
                  <c:v>43299</c:v>
                </c:pt>
                <c:pt idx="1153">
                  <c:v>43298</c:v>
                </c:pt>
                <c:pt idx="1154">
                  <c:v>43297</c:v>
                </c:pt>
                <c:pt idx="1155">
                  <c:v>43294</c:v>
                </c:pt>
                <c:pt idx="1156">
                  <c:v>43293</c:v>
                </c:pt>
                <c:pt idx="1157">
                  <c:v>43292</c:v>
                </c:pt>
                <c:pt idx="1158">
                  <c:v>43291</c:v>
                </c:pt>
                <c:pt idx="1159">
                  <c:v>43290</c:v>
                </c:pt>
                <c:pt idx="1160">
                  <c:v>43287</c:v>
                </c:pt>
                <c:pt idx="1161">
                  <c:v>43286</c:v>
                </c:pt>
                <c:pt idx="1162">
                  <c:v>43285</c:v>
                </c:pt>
                <c:pt idx="1163">
                  <c:v>43284</c:v>
                </c:pt>
                <c:pt idx="1164">
                  <c:v>43283</c:v>
                </c:pt>
                <c:pt idx="1165">
                  <c:v>43280</c:v>
                </c:pt>
                <c:pt idx="1166">
                  <c:v>43279</c:v>
                </c:pt>
                <c:pt idx="1167">
                  <c:v>43278</c:v>
                </c:pt>
                <c:pt idx="1168">
                  <c:v>43277</c:v>
                </c:pt>
                <c:pt idx="1169">
                  <c:v>43276</c:v>
                </c:pt>
                <c:pt idx="1170">
                  <c:v>43273</c:v>
                </c:pt>
                <c:pt idx="1171">
                  <c:v>43272</c:v>
                </c:pt>
                <c:pt idx="1172">
                  <c:v>43271</c:v>
                </c:pt>
                <c:pt idx="1173">
                  <c:v>43270</c:v>
                </c:pt>
                <c:pt idx="1174">
                  <c:v>43269</c:v>
                </c:pt>
                <c:pt idx="1175">
                  <c:v>43266</c:v>
                </c:pt>
                <c:pt idx="1176">
                  <c:v>43265</c:v>
                </c:pt>
                <c:pt idx="1177">
                  <c:v>43264</c:v>
                </c:pt>
                <c:pt idx="1178">
                  <c:v>43263</c:v>
                </c:pt>
                <c:pt idx="1179">
                  <c:v>43262</c:v>
                </c:pt>
                <c:pt idx="1180">
                  <c:v>43259</c:v>
                </c:pt>
                <c:pt idx="1181">
                  <c:v>43258</c:v>
                </c:pt>
                <c:pt idx="1182">
                  <c:v>43257</c:v>
                </c:pt>
                <c:pt idx="1183">
                  <c:v>43256</c:v>
                </c:pt>
                <c:pt idx="1184">
                  <c:v>43255</c:v>
                </c:pt>
                <c:pt idx="1185">
                  <c:v>43252</c:v>
                </c:pt>
                <c:pt idx="1186">
                  <c:v>43251</c:v>
                </c:pt>
                <c:pt idx="1187">
                  <c:v>43250</c:v>
                </c:pt>
                <c:pt idx="1188">
                  <c:v>43249</c:v>
                </c:pt>
                <c:pt idx="1189">
                  <c:v>43248</c:v>
                </c:pt>
                <c:pt idx="1190">
                  <c:v>43245</c:v>
                </c:pt>
                <c:pt idx="1191">
                  <c:v>43244</c:v>
                </c:pt>
                <c:pt idx="1192">
                  <c:v>43243</c:v>
                </c:pt>
                <c:pt idx="1193">
                  <c:v>43242</c:v>
                </c:pt>
                <c:pt idx="1194">
                  <c:v>43241</c:v>
                </c:pt>
                <c:pt idx="1195">
                  <c:v>43238</c:v>
                </c:pt>
                <c:pt idx="1196">
                  <c:v>43237</c:v>
                </c:pt>
                <c:pt idx="1197">
                  <c:v>43236</c:v>
                </c:pt>
                <c:pt idx="1198">
                  <c:v>43235</c:v>
                </c:pt>
                <c:pt idx="1199">
                  <c:v>43234</c:v>
                </c:pt>
                <c:pt idx="1200">
                  <c:v>43231</c:v>
                </c:pt>
                <c:pt idx="1201">
                  <c:v>43230</c:v>
                </c:pt>
                <c:pt idx="1202">
                  <c:v>43229</c:v>
                </c:pt>
                <c:pt idx="1203">
                  <c:v>43228</c:v>
                </c:pt>
                <c:pt idx="1204">
                  <c:v>43227</c:v>
                </c:pt>
                <c:pt idx="1205">
                  <c:v>43224</c:v>
                </c:pt>
                <c:pt idx="1206">
                  <c:v>43223</c:v>
                </c:pt>
                <c:pt idx="1207">
                  <c:v>43222</c:v>
                </c:pt>
                <c:pt idx="1208">
                  <c:v>43221</c:v>
                </c:pt>
                <c:pt idx="1209">
                  <c:v>43220</c:v>
                </c:pt>
                <c:pt idx="1210">
                  <c:v>43217</c:v>
                </c:pt>
                <c:pt idx="1211">
                  <c:v>43216</c:v>
                </c:pt>
                <c:pt idx="1212">
                  <c:v>43215</c:v>
                </c:pt>
                <c:pt idx="1213">
                  <c:v>43214</c:v>
                </c:pt>
                <c:pt idx="1214">
                  <c:v>43213</c:v>
                </c:pt>
                <c:pt idx="1215">
                  <c:v>43210</c:v>
                </c:pt>
                <c:pt idx="1216">
                  <c:v>43209</c:v>
                </c:pt>
                <c:pt idx="1217">
                  <c:v>43208</c:v>
                </c:pt>
                <c:pt idx="1218">
                  <c:v>43207</c:v>
                </c:pt>
                <c:pt idx="1219">
                  <c:v>43206</c:v>
                </c:pt>
                <c:pt idx="1220">
                  <c:v>43203</c:v>
                </c:pt>
                <c:pt idx="1221">
                  <c:v>43202</c:v>
                </c:pt>
                <c:pt idx="1222">
                  <c:v>43201</c:v>
                </c:pt>
                <c:pt idx="1223">
                  <c:v>43200</c:v>
                </c:pt>
                <c:pt idx="1224">
                  <c:v>43199</c:v>
                </c:pt>
                <c:pt idx="1225">
                  <c:v>43196</c:v>
                </c:pt>
                <c:pt idx="1226">
                  <c:v>43195</c:v>
                </c:pt>
                <c:pt idx="1227">
                  <c:v>43194</c:v>
                </c:pt>
                <c:pt idx="1228">
                  <c:v>43193</c:v>
                </c:pt>
                <c:pt idx="1229">
                  <c:v>43192</c:v>
                </c:pt>
                <c:pt idx="1230">
                  <c:v>43188</c:v>
                </c:pt>
                <c:pt idx="1231">
                  <c:v>43187</c:v>
                </c:pt>
                <c:pt idx="1232">
                  <c:v>43186</c:v>
                </c:pt>
                <c:pt idx="1233">
                  <c:v>43185</c:v>
                </c:pt>
                <c:pt idx="1234">
                  <c:v>43182</c:v>
                </c:pt>
                <c:pt idx="1235">
                  <c:v>43181</c:v>
                </c:pt>
                <c:pt idx="1236">
                  <c:v>43180</c:v>
                </c:pt>
                <c:pt idx="1237">
                  <c:v>43179</c:v>
                </c:pt>
                <c:pt idx="1238">
                  <c:v>43178</c:v>
                </c:pt>
                <c:pt idx="1239">
                  <c:v>43175</c:v>
                </c:pt>
                <c:pt idx="1240">
                  <c:v>43174</c:v>
                </c:pt>
                <c:pt idx="1241">
                  <c:v>43173</c:v>
                </c:pt>
                <c:pt idx="1242">
                  <c:v>43172</c:v>
                </c:pt>
                <c:pt idx="1243">
                  <c:v>43171</c:v>
                </c:pt>
                <c:pt idx="1244">
                  <c:v>43168</c:v>
                </c:pt>
                <c:pt idx="1245">
                  <c:v>43167</c:v>
                </c:pt>
                <c:pt idx="1246">
                  <c:v>43166</c:v>
                </c:pt>
                <c:pt idx="1247">
                  <c:v>43165</c:v>
                </c:pt>
                <c:pt idx="1248">
                  <c:v>43164</c:v>
                </c:pt>
                <c:pt idx="1249">
                  <c:v>43161</c:v>
                </c:pt>
                <c:pt idx="1250">
                  <c:v>43160</c:v>
                </c:pt>
                <c:pt idx="1251">
                  <c:v>43159</c:v>
                </c:pt>
                <c:pt idx="1252">
                  <c:v>43158</c:v>
                </c:pt>
                <c:pt idx="1253">
                  <c:v>43157</c:v>
                </c:pt>
                <c:pt idx="1254">
                  <c:v>43154</c:v>
                </c:pt>
                <c:pt idx="1255">
                  <c:v>43153</c:v>
                </c:pt>
                <c:pt idx="1256">
                  <c:v>43152</c:v>
                </c:pt>
                <c:pt idx="1257">
                  <c:v>43151</c:v>
                </c:pt>
                <c:pt idx="1258">
                  <c:v>43147</c:v>
                </c:pt>
                <c:pt idx="1259">
                  <c:v>43146</c:v>
                </c:pt>
                <c:pt idx="1260">
                  <c:v>43145</c:v>
                </c:pt>
                <c:pt idx="1261">
                  <c:v>43144</c:v>
                </c:pt>
                <c:pt idx="1262">
                  <c:v>43143</c:v>
                </c:pt>
                <c:pt idx="1263">
                  <c:v>43140</c:v>
                </c:pt>
                <c:pt idx="1264">
                  <c:v>43139</c:v>
                </c:pt>
                <c:pt idx="1265">
                  <c:v>43138</c:v>
                </c:pt>
                <c:pt idx="1266">
                  <c:v>43137</c:v>
                </c:pt>
                <c:pt idx="1267">
                  <c:v>43136</c:v>
                </c:pt>
                <c:pt idx="1268">
                  <c:v>43133</c:v>
                </c:pt>
                <c:pt idx="1269">
                  <c:v>43132</c:v>
                </c:pt>
                <c:pt idx="1270">
                  <c:v>43131</c:v>
                </c:pt>
                <c:pt idx="1271">
                  <c:v>43130</c:v>
                </c:pt>
                <c:pt idx="1272">
                  <c:v>43129</c:v>
                </c:pt>
                <c:pt idx="1273">
                  <c:v>43126</c:v>
                </c:pt>
                <c:pt idx="1274">
                  <c:v>43125</c:v>
                </c:pt>
                <c:pt idx="1275">
                  <c:v>43124</c:v>
                </c:pt>
                <c:pt idx="1276">
                  <c:v>43123</c:v>
                </c:pt>
                <c:pt idx="1277">
                  <c:v>43122</c:v>
                </c:pt>
                <c:pt idx="1278">
                  <c:v>43119</c:v>
                </c:pt>
                <c:pt idx="1279">
                  <c:v>43118</c:v>
                </c:pt>
                <c:pt idx="1280">
                  <c:v>43117</c:v>
                </c:pt>
                <c:pt idx="1281">
                  <c:v>43116</c:v>
                </c:pt>
                <c:pt idx="1282">
                  <c:v>43115</c:v>
                </c:pt>
                <c:pt idx="1283">
                  <c:v>43112</c:v>
                </c:pt>
                <c:pt idx="1284">
                  <c:v>43111</c:v>
                </c:pt>
                <c:pt idx="1285">
                  <c:v>43110</c:v>
                </c:pt>
                <c:pt idx="1286">
                  <c:v>43109</c:v>
                </c:pt>
                <c:pt idx="1287">
                  <c:v>43108</c:v>
                </c:pt>
                <c:pt idx="1288">
                  <c:v>43105</c:v>
                </c:pt>
                <c:pt idx="1289">
                  <c:v>43104</c:v>
                </c:pt>
                <c:pt idx="1290">
                  <c:v>43103</c:v>
                </c:pt>
                <c:pt idx="1291">
                  <c:v>43102</c:v>
                </c:pt>
                <c:pt idx="1292">
                  <c:v>43098</c:v>
                </c:pt>
                <c:pt idx="1293">
                  <c:v>43097</c:v>
                </c:pt>
                <c:pt idx="1294">
                  <c:v>43096</c:v>
                </c:pt>
                <c:pt idx="1295">
                  <c:v>43095</c:v>
                </c:pt>
                <c:pt idx="1296">
                  <c:v>43091</c:v>
                </c:pt>
                <c:pt idx="1297">
                  <c:v>43090</c:v>
                </c:pt>
                <c:pt idx="1298">
                  <c:v>43089</c:v>
                </c:pt>
                <c:pt idx="1299">
                  <c:v>43088</c:v>
                </c:pt>
                <c:pt idx="1300">
                  <c:v>43087</c:v>
                </c:pt>
                <c:pt idx="1301">
                  <c:v>43084</c:v>
                </c:pt>
                <c:pt idx="1302">
                  <c:v>43083</c:v>
                </c:pt>
                <c:pt idx="1303">
                  <c:v>43082</c:v>
                </c:pt>
                <c:pt idx="1304">
                  <c:v>43081</c:v>
                </c:pt>
                <c:pt idx="1305">
                  <c:v>43080</c:v>
                </c:pt>
                <c:pt idx="1306">
                  <c:v>43077</c:v>
                </c:pt>
                <c:pt idx="1307">
                  <c:v>43076</c:v>
                </c:pt>
                <c:pt idx="1308">
                  <c:v>43075</c:v>
                </c:pt>
                <c:pt idx="1309">
                  <c:v>43074</c:v>
                </c:pt>
                <c:pt idx="1310">
                  <c:v>43073</c:v>
                </c:pt>
                <c:pt idx="1311">
                  <c:v>43070</c:v>
                </c:pt>
                <c:pt idx="1312">
                  <c:v>43069</c:v>
                </c:pt>
                <c:pt idx="1313">
                  <c:v>43068</c:v>
                </c:pt>
                <c:pt idx="1314">
                  <c:v>43067</c:v>
                </c:pt>
                <c:pt idx="1315">
                  <c:v>43066</c:v>
                </c:pt>
                <c:pt idx="1316">
                  <c:v>43063</c:v>
                </c:pt>
                <c:pt idx="1317">
                  <c:v>43062</c:v>
                </c:pt>
                <c:pt idx="1318">
                  <c:v>43061</c:v>
                </c:pt>
                <c:pt idx="1319">
                  <c:v>43060</c:v>
                </c:pt>
                <c:pt idx="1320">
                  <c:v>43059</c:v>
                </c:pt>
                <c:pt idx="1321">
                  <c:v>43056</c:v>
                </c:pt>
                <c:pt idx="1322">
                  <c:v>43055</c:v>
                </c:pt>
                <c:pt idx="1323">
                  <c:v>43054</c:v>
                </c:pt>
                <c:pt idx="1324">
                  <c:v>43053</c:v>
                </c:pt>
                <c:pt idx="1325">
                  <c:v>43052</c:v>
                </c:pt>
                <c:pt idx="1326">
                  <c:v>43049</c:v>
                </c:pt>
                <c:pt idx="1327">
                  <c:v>43048</c:v>
                </c:pt>
                <c:pt idx="1328">
                  <c:v>43047</c:v>
                </c:pt>
                <c:pt idx="1329">
                  <c:v>43046</c:v>
                </c:pt>
                <c:pt idx="1330">
                  <c:v>43045</c:v>
                </c:pt>
                <c:pt idx="1331">
                  <c:v>43042</c:v>
                </c:pt>
                <c:pt idx="1332">
                  <c:v>43041</c:v>
                </c:pt>
                <c:pt idx="1333">
                  <c:v>43040</c:v>
                </c:pt>
                <c:pt idx="1334">
                  <c:v>43039</c:v>
                </c:pt>
                <c:pt idx="1335">
                  <c:v>43038</c:v>
                </c:pt>
                <c:pt idx="1336">
                  <c:v>43035</c:v>
                </c:pt>
                <c:pt idx="1337">
                  <c:v>43034</c:v>
                </c:pt>
                <c:pt idx="1338">
                  <c:v>43033</c:v>
                </c:pt>
                <c:pt idx="1339">
                  <c:v>43032</c:v>
                </c:pt>
                <c:pt idx="1340">
                  <c:v>43031</c:v>
                </c:pt>
                <c:pt idx="1341">
                  <c:v>43028</c:v>
                </c:pt>
                <c:pt idx="1342">
                  <c:v>43027</c:v>
                </c:pt>
                <c:pt idx="1343">
                  <c:v>43026</c:v>
                </c:pt>
                <c:pt idx="1344">
                  <c:v>43025</c:v>
                </c:pt>
                <c:pt idx="1345">
                  <c:v>43024</c:v>
                </c:pt>
                <c:pt idx="1346">
                  <c:v>43021</c:v>
                </c:pt>
                <c:pt idx="1347">
                  <c:v>43020</c:v>
                </c:pt>
                <c:pt idx="1348">
                  <c:v>43019</c:v>
                </c:pt>
                <c:pt idx="1349">
                  <c:v>43018</c:v>
                </c:pt>
                <c:pt idx="1350">
                  <c:v>43017</c:v>
                </c:pt>
                <c:pt idx="1351">
                  <c:v>43014</c:v>
                </c:pt>
                <c:pt idx="1352">
                  <c:v>43013</c:v>
                </c:pt>
                <c:pt idx="1353">
                  <c:v>43012</c:v>
                </c:pt>
                <c:pt idx="1354">
                  <c:v>43011</c:v>
                </c:pt>
                <c:pt idx="1355">
                  <c:v>43010</c:v>
                </c:pt>
                <c:pt idx="1356">
                  <c:v>43007</c:v>
                </c:pt>
                <c:pt idx="1357">
                  <c:v>43006</c:v>
                </c:pt>
                <c:pt idx="1358">
                  <c:v>43005</c:v>
                </c:pt>
                <c:pt idx="1359">
                  <c:v>43004</c:v>
                </c:pt>
                <c:pt idx="1360">
                  <c:v>43003</c:v>
                </c:pt>
                <c:pt idx="1361">
                  <c:v>43000</c:v>
                </c:pt>
                <c:pt idx="1362">
                  <c:v>42999</c:v>
                </c:pt>
                <c:pt idx="1363">
                  <c:v>42998</c:v>
                </c:pt>
                <c:pt idx="1364">
                  <c:v>42997</c:v>
                </c:pt>
                <c:pt idx="1365">
                  <c:v>42996</c:v>
                </c:pt>
                <c:pt idx="1366">
                  <c:v>42993</c:v>
                </c:pt>
                <c:pt idx="1367">
                  <c:v>42992</c:v>
                </c:pt>
                <c:pt idx="1368">
                  <c:v>42991</c:v>
                </c:pt>
                <c:pt idx="1369">
                  <c:v>42990</c:v>
                </c:pt>
                <c:pt idx="1370">
                  <c:v>42989</c:v>
                </c:pt>
                <c:pt idx="1371">
                  <c:v>42986</c:v>
                </c:pt>
                <c:pt idx="1372">
                  <c:v>42985</c:v>
                </c:pt>
                <c:pt idx="1373">
                  <c:v>42984</c:v>
                </c:pt>
                <c:pt idx="1374">
                  <c:v>42983</c:v>
                </c:pt>
                <c:pt idx="1375">
                  <c:v>42982</c:v>
                </c:pt>
                <c:pt idx="1376">
                  <c:v>42979</c:v>
                </c:pt>
                <c:pt idx="1377">
                  <c:v>42978</c:v>
                </c:pt>
                <c:pt idx="1378">
                  <c:v>42977</c:v>
                </c:pt>
                <c:pt idx="1379">
                  <c:v>42976</c:v>
                </c:pt>
                <c:pt idx="1380">
                  <c:v>42975</c:v>
                </c:pt>
                <c:pt idx="1381">
                  <c:v>42972</c:v>
                </c:pt>
                <c:pt idx="1382">
                  <c:v>42971</c:v>
                </c:pt>
                <c:pt idx="1383">
                  <c:v>42970</c:v>
                </c:pt>
                <c:pt idx="1384">
                  <c:v>42969</c:v>
                </c:pt>
                <c:pt idx="1385">
                  <c:v>42968</c:v>
                </c:pt>
                <c:pt idx="1386">
                  <c:v>42965</c:v>
                </c:pt>
                <c:pt idx="1387">
                  <c:v>42964</c:v>
                </c:pt>
                <c:pt idx="1388">
                  <c:v>42963</c:v>
                </c:pt>
                <c:pt idx="1389">
                  <c:v>42962</c:v>
                </c:pt>
                <c:pt idx="1390">
                  <c:v>42961</c:v>
                </c:pt>
                <c:pt idx="1391">
                  <c:v>42958</c:v>
                </c:pt>
                <c:pt idx="1392">
                  <c:v>42957</c:v>
                </c:pt>
                <c:pt idx="1393">
                  <c:v>42956</c:v>
                </c:pt>
                <c:pt idx="1394">
                  <c:v>42955</c:v>
                </c:pt>
                <c:pt idx="1395">
                  <c:v>42954</c:v>
                </c:pt>
                <c:pt idx="1396">
                  <c:v>42951</c:v>
                </c:pt>
                <c:pt idx="1397">
                  <c:v>42950</c:v>
                </c:pt>
                <c:pt idx="1398">
                  <c:v>42949</c:v>
                </c:pt>
                <c:pt idx="1399">
                  <c:v>42948</c:v>
                </c:pt>
                <c:pt idx="1400">
                  <c:v>42947</c:v>
                </c:pt>
                <c:pt idx="1401">
                  <c:v>42944</c:v>
                </c:pt>
                <c:pt idx="1402">
                  <c:v>42943</c:v>
                </c:pt>
                <c:pt idx="1403">
                  <c:v>42942</c:v>
                </c:pt>
                <c:pt idx="1404">
                  <c:v>42941</c:v>
                </c:pt>
                <c:pt idx="1405">
                  <c:v>42940</c:v>
                </c:pt>
                <c:pt idx="1406">
                  <c:v>42937</c:v>
                </c:pt>
                <c:pt idx="1407">
                  <c:v>42936</c:v>
                </c:pt>
                <c:pt idx="1408">
                  <c:v>42935</c:v>
                </c:pt>
                <c:pt idx="1409">
                  <c:v>42934</c:v>
                </c:pt>
                <c:pt idx="1410">
                  <c:v>42933</c:v>
                </c:pt>
                <c:pt idx="1411">
                  <c:v>42930</c:v>
                </c:pt>
                <c:pt idx="1412">
                  <c:v>42929</c:v>
                </c:pt>
                <c:pt idx="1413">
                  <c:v>42928</c:v>
                </c:pt>
                <c:pt idx="1414">
                  <c:v>42927</c:v>
                </c:pt>
                <c:pt idx="1415">
                  <c:v>42926</c:v>
                </c:pt>
                <c:pt idx="1416">
                  <c:v>42923</c:v>
                </c:pt>
                <c:pt idx="1417">
                  <c:v>42922</c:v>
                </c:pt>
                <c:pt idx="1418">
                  <c:v>42921</c:v>
                </c:pt>
                <c:pt idx="1419">
                  <c:v>42919</c:v>
                </c:pt>
                <c:pt idx="1420">
                  <c:v>42916</c:v>
                </c:pt>
                <c:pt idx="1421">
                  <c:v>42915</c:v>
                </c:pt>
                <c:pt idx="1422">
                  <c:v>42914</c:v>
                </c:pt>
                <c:pt idx="1423">
                  <c:v>42913</c:v>
                </c:pt>
                <c:pt idx="1424">
                  <c:v>42912</c:v>
                </c:pt>
                <c:pt idx="1425">
                  <c:v>42909</c:v>
                </c:pt>
                <c:pt idx="1426">
                  <c:v>42908</c:v>
                </c:pt>
                <c:pt idx="1427">
                  <c:v>42907</c:v>
                </c:pt>
                <c:pt idx="1428">
                  <c:v>42906</c:v>
                </c:pt>
                <c:pt idx="1429">
                  <c:v>42905</c:v>
                </c:pt>
                <c:pt idx="1430">
                  <c:v>42902</c:v>
                </c:pt>
                <c:pt idx="1431">
                  <c:v>42901</c:v>
                </c:pt>
                <c:pt idx="1432">
                  <c:v>42900</c:v>
                </c:pt>
                <c:pt idx="1433">
                  <c:v>42899</c:v>
                </c:pt>
                <c:pt idx="1434">
                  <c:v>42898</c:v>
                </c:pt>
                <c:pt idx="1435">
                  <c:v>42895</c:v>
                </c:pt>
                <c:pt idx="1436">
                  <c:v>42894</c:v>
                </c:pt>
                <c:pt idx="1437">
                  <c:v>42893</c:v>
                </c:pt>
                <c:pt idx="1438">
                  <c:v>42892</c:v>
                </c:pt>
                <c:pt idx="1439">
                  <c:v>42891</c:v>
                </c:pt>
                <c:pt idx="1440">
                  <c:v>42888</c:v>
                </c:pt>
                <c:pt idx="1441">
                  <c:v>42887</c:v>
                </c:pt>
                <c:pt idx="1442">
                  <c:v>42886</c:v>
                </c:pt>
                <c:pt idx="1443">
                  <c:v>42885</c:v>
                </c:pt>
                <c:pt idx="1444">
                  <c:v>42884</c:v>
                </c:pt>
                <c:pt idx="1445">
                  <c:v>42881</c:v>
                </c:pt>
                <c:pt idx="1446">
                  <c:v>42880</c:v>
                </c:pt>
                <c:pt idx="1447">
                  <c:v>42879</c:v>
                </c:pt>
                <c:pt idx="1448">
                  <c:v>42878</c:v>
                </c:pt>
                <c:pt idx="1449">
                  <c:v>42877</c:v>
                </c:pt>
                <c:pt idx="1450">
                  <c:v>42874</c:v>
                </c:pt>
                <c:pt idx="1451">
                  <c:v>42873</c:v>
                </c:pt>
                <c:pt idx="1452">
                  <c:v>42872</c:v>
                </c:pt>
                <c:pt idx="1453">
                  <c:v>42871</c:v>
                </c:pt>
                <c:pt idx="1454">
                  <c:v>42870</c:v>
                </c:pt>
                <c:pt idx="1455">
                  <c:v>42867</c:v>
                </c:pt>
                <c:pt idx="1456">
                  <c:v>42866</c:v>
                </c:pt>
                <c:pt idx="1457">
                  <c:v>42865</c:v>
                </c:pt>
                <c:pt idx="1458">
                  <c:v>42864</c:v>
                </c:pt>
                <c:pt idx="1459">
                  <c:v>42863</c:v>
                </c:pt>
                <c:pt idx="1460">
                  <c:v>42860</c:v>
                </c:pt>
                <c:pt idx="1461">
                  <c:v>42859</c:v>
                </c:pt>
                <c:pt idx="1462">
                  <c:v>42858</c:v>
                </c:pt>
                <c:pt idx="1463">
                  <c:v>42857</c:v>
                </c:pt>
                <c:pt idx="1464">
                  <c:v>42856</c:v>
                </c:pt>
                <c:pt idx="1465">
                  <c:v>42853</c:v>
                </c:pt>
                <c:pt idx="1466">
                  <c:v>42852</c:v>
                </c:pt>
                <c:pt idx="1467">
                  <c:v>42851</c:v>
                </c:pt>
                <c:pt idx="1468">
                  <c:v>42850</c:v>
                </c:pt>
                <c:pt idx="1469">
                  <c:v>42849</c:v>
                </c:pt>
                <c:pt idx="1470">
                  <c:v>42846</c:v>
                </c:pt>
                <c:pt idx="1471">
                  <c:v>42845</c:v>
                </c:pt>
                <c:pt idx="1472">
                  <c:v>42844</c:v>
                </c:pt>
                <c:pt idx="1473">
                  <c:v>42843</c:v>
                </c:pt>
                <c:pt idx="1474">
                  <c:v>42842</c:v>
                </c:pt>
                <c:pt idx="1475">
                  <c:v>42838</c:v>
                </c:pt>
                <c:pt idx="1476">
                  <c:v>42837</c:v>
                </c:pt>
                <c:pt idx="1477">
                  <c:v>42836</c:v>
                </c:pt>
                <c:pt idx="1478">
                  <c:v>42835</c:v>
                </c:pt>
                <c:pt idx="1479">
                  <c:v>42832</c:v>
                </c:pt>
                <c:pt idx="1480">
                  <c:v>42831</c:v>
                </c:pt>
                <c:pt idx="1481">
                  <c:v>42830</c:v>
                </c:pt>
                <c:pt idx="1482">
                  <c:v>42829</c:v>
                </c:pt>
                <c:pt idx="1483">
                  <c:v>42828</c:v>
                </c:pt>
                <c:pt idx="1484">
                  <c:v>42825</c:v>
                </c:pt>
                <c:pt idx="1485">
                  <c:v>42824</c:v>
                </c:pt>
                <c:pt idx="1486">
                  <c:v>42823</c:v>
                </c:pt>
                <c:pt idx="1487">
                  <c:v>42822</c:v>
                </c:pt>
                <c:pt idx="1488">
                  <c:v>42821</c:v>
                </c:pt>
                <c:pt idx="1489">
                  <c:v>42818</c:v>
                </c:pt>
                <c:pt idx="1490">
                  <c:v>42817</c:v>
                </c:pt>
                <c:pt idx="1491">
                  <c:v>42816</c:v>
                </c:pt>
                <c:pt idx="1492">
                  <c:v>42815</c:v>
                </c:pt>
                <c:pt idx="1493">
                  <c:v>42814</c:v>
                </c:pt>
                <c:pt idx="1494">
                  <c:v>42811</c:v>
                </c:pt>
                <c:pt idx="1495">
                  <c:v>42810</c:v>
                </c:pt>
                <c:pt idx="1496">
                  <c:v>42809</c:v>
                </c:pt>
                <c:pt idx="1497">
                  <c:v>42808</c:v>
                </c:pt>
                <c:pt idx="1498">
                  <c:v>42807</c:v>
                </c:pt>
                <c:pt idx="1499">
                  <c:v>42804</c:v>
                </c:pt>
                <c:pt idx="1500">
                  <c:v>42803</c:v>
                </c:pt>
                <c:pt idx="1501">
                  <c:v>42802</c:v>
                </c:pt>
                <c:pt idx="1502">
                  <c:v>42801</c:v>
                </c:pt>
                <c:pt idx="1503">
                  <c:v>42800</c:v>
                </c:pt>
                <c:pt idx="1504">
                  <c:v>42797</c:v>
                </c:pt>
                <c:pt idx="1505">
                  <c:v>42796</c:v>
                </c:pt>
                <c:pt idx="1506">
                  <c:v>42795</c:v>
                </c:pt>
                <c:pt idx="1507">
                  <c:v>42794</c:v>
                </c:pt>
                <c:pt idx="1508">
                  <c:v>42793</c:v>
                </c:pt>
                <c:pt idx="1509">
                  <c:v>42790</c:v>
                </c:pt>
                <c:pt idx="1510">
                  <c:v>42789</c:v>
                </c:pt>
                <c:pt idx="1511">
                  <c:v>42788</c:v>
                </c:pt>
                <c:pt idx="1512">
                  <c:v>42787</c:v>
                </c:pt>
                <c:pt idx="1513">
                  <c:v>42786</c:v>
                </c:pt>
                <c:pt idx="1514">
                  <c:v>42783</c:v>
                </c:pt>
                <c:pt idx="1515">
                  <c:v>42782</c:v>
                </c:pt>
                <c:pt idx="1516">
                  <c:v>42781</c:v>
                </c:pt>
                <c:pt idx="1517">
                  <c:v>42780</c:v>
                </c:pt>
                <c:pt idx="1518">
                  <c:v>42779</c:v>
                </c:pt>
                <c:pt idx="1519">
                  <c:v>42776</c:v>
                </c:pt>
                <c:pt idx="1520">
                  <c:v>42775</c:v>
                </c:pt>
                <c:pt idx="1521">
                  <c:v>42774</c:v>
                </c:pt>
                <c:pt idx="1522">
                  <c:v>42773</c:v>
                </c:pt>
                <c:pt idx="1523">
                  <c:v>42772</c:v>
                </c:pt>
                <c:pt idx="1524">
                  <c:v>42769</c:v>
                </c:pt>
                <c:pt idx="1525">
                  <c:v>42768</c:v>
                </c:pt>
                <c:pt idx="1526">
                  <c:v>42767</c:v>
                </c:pt>
                <c:pt idx="1527">
                  <c:v>42766</c:v>
                </c:pt>
                <c:pt idx="1528">
                  <c:v>42765</c:v>
                </c:pt>
                <c:pt idx="1529">
                  <c:v>42762</c:v>
                </c:pt>
                <c:pt idx="1530">
                  <c:v>42761</c:v>
                </c:pt>
                <c:pt idx="1531">
                  <c:v>42760</c:v>
                </c:pt>
                <c:pt idx="1532">
                  <c:v>42759</c:v>
                </c:pt>
                <c:pt idx="1533">
                  <c:v>42758</c:v>
                </c:pt>
                <c:pt idx="1534">
                  <c:v>42755</c:v>
                </c:pt>
                <c:pt idx="1535">
                  <c:v>42754</c:v>
                </c:pt>
                <c:pt idx="1536">
                  <c:v>42753</c:v>
                </c:pt>
                <c:pt idx="1537">
                  <c:v>42752</c:v>
                </c:pt>
                <c:pt idx="1538">
                  <c:v>42751</c:v>
                </c:pt>
                <c:pt idx="1539">
                  <c:v>42748</c:v>
                </c:pt>
                <c:pt idx="1540">
                  <c:v>42747</c:v>
                </c:pt>
                <c:pt idx="1541">
                  <c:v>42746</c:v>
                </c:pt>
                <c:pt idx="1542">
                  <c:v>42745</c:v>
                </c:pt>
                <c:pt idx="1543">
                  <c:v>42744</c:v>
                </c:pt>
                <c:pt idx="1544">
                  <c:v>42741</c:v>
                </c:pt>
                <c:pt idx="1545">
                  <c:v>42740</c:v>
                </c:pt>
                <c:pt idx="1546">
                  <c:v>42739</c:v>
                </c:pt>
                <c:pt idx="1547">
                  <c:v>42738</c:v>
                </c:pt>
                <c:pt idx="1548">
                  <c:v>42737</c:v>
                </c:pt>
                <c:pt idx="1549">
                  <c:v>42734</c:v>
                </c:pt>
                <c:pt idx="1550">
                  <c:v>42733</c:v>
                </c:pt>
                <c:pt idx="1551">
                  <c:v>42732</c:v>
                </c:pt>
                <c:pt idx="1552">
                  <c:v>42731</c:v>
                </c:pt>
                <c:pt idx="1553">
                  <c:v>42730</c:v>
                </c:pt>
                <c:pt idx="1554">
                  <c:v>42727</c:v>
                </c:pt>
                <c:pt idx="1555">
                  <c:v>42726</c:v>
                </c:pt>
                <c:pt idx="1556">
                  <c:v>42725</c:v>
                </c:pt>
                <c:pt idx="1557">
                  <c:v>42724</c:v>
                </c:pt>
                <c:pt idx="1558">
                  <c:v>42723</c:v>
                </c:pt>
                <c:pt idx="1559">
                  <c:v>42720</c:v>
                </c:pt>
                <c:pt idx="1560">
                  <c:v>42719</c:v>
                </c:pt>
                <c:pt idx="1561">
                  <c:v>42718</c:v>
                </c:pt>
                <c:pt idx="1562">
                  <c:v>42717</c:v>
                </c:pt>
                <c:pt idx="1563">
                  <c:v>42716</c:v>
                </c:pt>
                <c:pt idx="1564">
                  <c:v>42713</c:v>
                </c:pt>
                <c:pt idx="1565">
                  <c:v>42712</c:v>
                </c:pt>
                <c:pt idx="1566">
                  <c:v>42711</c:v>
                </c:pt>
                <c:pt idx="1567">
                  <c:v>42710</c:v>
                </c:pt>
                <c:pt idx="1568">
                  <c:v>42709</c:v>
                </c:pt>
                <c:pt idx="1569">
                  <c:v>42706</c:v>
                </c:pt>
                <c:pt idx="1570">
                  <c:v>42705</c:v>
                </c:pt>
                <c:pt idx="1571">
                  <c:v>42704</c:v>
                </c:pt>
                <c:pt idx="1572">
                  <c:v>42703</c:v>
                </c:pt>
                <c:pt idx="1573">
                  <c:v>42702</c:v>
                </c:pt>
                <c:pt idx="1574">
                  <c:v>42699</c:v>
                </c:pt>
                <c:pt idx="1575">
                  <c:v>42698</c:v>
                </c:pt>
                <c:pt idx="1576">
                  <c:v>42697</c:v>
                </c:pt>
                <c:pt idx="1577">
                  <c:v>42696</c:v>
                </c:pt>
                <c:pt idx="1578">
                  <c:v>42695</c:v>
                </c:pt>
                <c:pt idx="1579">
                  <c:v>42692</c:v>
                </c:pt>
                <c:pt idx="1580">
                  <c:v>42691</c:v>
                </c:pt>
                <c:pt idx="1581">
                  <c:v>42690</c:v>
                </c:pt>
                <c:pt idx="1582">
                  <c:v>42689</c:v>
                </c:pt>
                <c:pt idx="1583">
                  <c:v>42688</c:v>
                </c:pt>
                <c:pt idx="1584">
                  <c:v>42685</c:v>
                </c:pt>
                <c:pt idx="1585">
                  <c:v>42684</c:v>
                </c:pt>
                <c:pt idx="1586">
                  <c:v>42683</c:v>
                </c:pt>
                <c:pt idx="1587">
                  <c:v>42682</c:v>
                </c:pt>
                <c:pt idx="1588">
                  <c:v>42681</c:v>
                </c:pt>
                <c:pt idx="1589">
                  <c:v>42678</c:v>
                </c:pt>
                <c:pt idx="1590">
                  <c:v>42677</c:v>
                </c:pt>
                <c:pt idx="1591">
                  <c:v>42676</c:v>
                </c:pt>
                <c:pt idx="1592">
                  <c:v>42675</c:v>
                </c:pt>
                <c:pt idx="1593">
                  <c:v>42674</c:v>
                </c:pt>
                <c:pt idx="1594">
                  <c:v>42671</c:v>
                </c:pt>
                <c:pt idx="1595">
                  <c:v>42670</c:v>
                </c:pt>
                <c:pt idx="1596">
                  <c:v>42669</c:v>
                </c:pt>
                <c:pt idx="1597">
                  <c:v>42668</c:v>
                </c:pt>
                <c:pt idx="1598">
                  <c:v>42667</c:v>
                </c:pt>
                <c:pt idx="1599">
                  <c:v>42664</c:v>
                </c:pt>
                <c:pt idx="1600">
                  <c:v>42663</c:v>
                </c:pt>
                <c:pt idx="1601">
                  <c:v>42662</c:v>
                </c:pt>
                <c:pt idx="1602">
                  <c:v>42661</c:v>
                </c:pt>
                <c:pt idx="1603">
                  <c:v>42660</c:v>
                </c:pt>
                <c:pt idx="1604">
                  <c:v>42657</c:v>
                </c:pt>
                <c:pt idx="1605">
                  <c:v>42656</c:v>
                </c:pt>
                <c:pt idx="1606">
                  <c:v>42655</c:v>
                </c:pt>
                <c:pt idx="1607">
                  <c:v>42654</c:v>
                </c:pt>
                <c:pt idx="1608">
                  <c:v>42653</c:v>
                </c:pt>
                <c:pt idx="1609">
                  <c:v>42650</c:v>
                </c:pt>
                <c:pt idx="1610">
                  <c:v>42649</c:v>
                </c:pt>
                <c:pt idx="1611">
                  <c:v>42648</c:v>
                </c:pt>
                <c:pt idx="1612">
                  <c:v>42647</c:v>
                </c:pt>
                <c:pt idx="1613">
                  <c:v>42646</c:v>
                </c:pt>
                <c:pt idx="1614">
                  <c:v>42643</c:v>
                </c:pt>
                <c:pt idx="1615">
                  <c:v>42642</c:v>
                </c:pt>
                <c:pt idx="1616">
                  <c:v>42641</c:v>
                </c:pt>
                <c:pt idx="1617">
                  <c:v>42640</c:v>
                </c:pt>
                <c:pt idx="1618">
                  <c:v>42639</c:v>
                </c:pt>
                <c:pt idx="1619">
                  <c:v>42636</c:v>
                </c:pt>
                <c:pt idx="1620">
                  <c:v>42635</c:v>
                </c:pt>
                <c:pt idx="1621">
                  <c:v>42634</c:v>
                </c:pt>
                <c:pt idx="1622">
                  <c:v>42633</c:v>
                </c:pt>
                <c:pt idx="1623">
                  <c:v>42632</c:v>
                </c:pt>
                <c:pt idx="1624">
                  <c:v>42629</c:v>
                </c:pt>
                <c:pt idx="1625">
                  <c:v>42628</c:v>
                </c:pt>
                <c:pt idx="1626">
                  <c:v>42627</c:v>
                </c:pt>
                <c:pt idx="1627">
                  <c:v>42626</c:v>
                </c:pt>
                <c:pt idx="1628">
                  <c:v>42625</c:v>
                </c:pt>
                <c:pt idx="1629">
                  <c:v>42622</c:v>
                </c:pt>
                <c:pt idx="1630">
                  <c:v>42621</c:v>
                </c:pt>
                <c:pt idx="1631">
                  <c:v>42620</c:v>
                </c:pt>
                <c:pt idx="1632">
                  <c:v>42619</c:v>
                </c:pt>
                <c:pt idx="1633">
                  <c:v>42618</c:v>
                </c:pt>
                <c:pt idx="1634">
                  <c:v>42615</c:v>
                </c:pt>
                <c:pt idx="1635">
                  <c:v>42614</c:v>
                </c:pt>
                <c:pt idx="1636">
                  <c:v>42613</c:v>
                </c:pt>
                <c:pt idx="1637">
                  <c:v>42612</c:v>
                </c:pt>
                <c:pt idx="1638">
                  <c:v>42611</c:v>
                </c:pt>
                <c:pt idx="1639">
                  <c:v>42608</c:v>
                </c:pt>
                <c:pt idx="1640">
                  <c:v>42607</c:v>
                </c:pt>
                <c:pt idx="1641">
                  <c:v>42606</c:v>
                </c:pt>
                <c:pt idx="1642">
                  <c:v>42605</c:v>
                </c:pt>
                <c:pt idx="1643">
                  <c:v>42604</c:v>
                </c:pt>
                <c:pt idx="1644">
                  <c:v>42601</c:v>
                </c:pt>
                <c:pt idx="1645">
                  <c:v>42600</c:v>
                </c:pt>
                <c:pt idx="1646">
                  <c:v>42599</c:v>
                </c:pt>
                <c:pt idx="1647">
                  <c:v>42598</c:v>
                </c:pt>
                <c:pt idx="1648">
                  <c:v>42597</c:v>
                </c:pt>
                <c:pt idx="1649">
                  <c:v>42594</c:v>
                </c:pt>
                <c:pt idx="1650">
                  <c:v>42593</c:v>
                </c:pt>
                <c:pt idx="1651">
                  <c:v>42592</c:v>
                </c:pt>
                <c:pt idx="1652">
                  <c:v>42591</c:v>
                </c:pt>
                <c:pt idx="1653">
                  <c:v>42590</c:v>
                </c:pt>
                <c:pt idx="1654">
                  <c:v>42587</c:v>
                </c:pt>
                <c:pt idx="1655">
                  <c:v>42586</c:v>
                </c:pt>
                <c:pt idx="1656">
                  <c:v>42585</c:v>
                </c:pt>
                <c:pt idx="1657">
                  <c:v>42584</c:v>
                </c:pt>
                <c:pt idx="1658">
                  <c:v>42583</c:v>
                </c:pt>
                <c:pt idx="1659">
                  <c:v>42580</c:v>
                </c:pt>
                <c:pt idx="1660">
                  <c:v>42579</c:v>
                </c:pt>
                <c:pt idx="1661">
                  <c:v>42578</c:v>
                </c:pt>
                <c:pt idx="1662">
                  <c:v>42577</c:v>
                </c:pt>
                <c:pt idx="1663">
                  <c:v>42576</c:v>
                </c:pt>
                <c:pt idx="1664">
                  <c:v>42573</c:v>
                </c:pt>
                <c:pt idx="1665">
                  <c:v>42572</c:v>
                </c:pt>
                <c:pt idx="1666">
                  <c:v>42571</c:v>
                </c:pt>
                <c:pt idx="1667">
                  <c:v>42570</c:v>
                </c:pt>
                <c:pt idx="1668">
                  <c:v>42569</c:v>
                </c:pt>
                <c:pt idx="1669">
                  <c:v>42566</c:v>
                </c:pt>
                <c:pt idx="1670">
                  <c:v>42565</c:v>
                </c:pt>
                <c:pt idx="1671">
                  <c:v>42564</c:v>
                </c:pt>
                <c:pt idx="1672">
                  <c:v>42563</c:v>
                </c:pt>
                <c:pt idx="1673">
                  <c:v>42562</c:v>
                </c:pt>
                <c:pt idx="1674">
                  <c:v>42559</c:v>
                </c:pt>
                <c:pt idx="1675">
                  <c:v>42558</c:v>
                </c:pt>
                <c:pt idx="1676">
                  <c:v>42557</c:v>
                </c:pt>
                <c:pt idx="1677">
                  <c:v>42556</c:v>
                </c:pt>
                <c:pt idx="1678">
                  <c:v>42555</c:v>
                </c:pt>
                <c:pt idx="1679">
                  <c:v>42552</c:v>
                </c:pt>
                <c:pt idx="1680">
                  <c:v>42551</c:v>
                </c:pt>
                <c:pt idx="1681">
                  <c:v>42550</c:v>
                </c:pt>
                <c:pt idx="1682">
                  <c:v>42549</c:v>
                </c:pt>
                <c:pt idx="1683">
                  <c:v>42548</c:v>
                </c:pt>
                <c:pt idx="1684">
                  <c:v>42545</c:v>
                </c:pt>
                <c:pt idx="1685">
                  <c:v>42544</c:v>
                </c:pt>
                <c:pt idx="1686">
                  <c:v>42543</c:v>
                </c:pt>
                <c:pt idx="1687">
                  <c:v>42542</c:v>
                </c:pt>
                <c:pt idx="1688">
                  <c:v>42541</c:v>
                </c:pt>
                <c:pt idx="1689">
                  <c:v>42538</c:v>
                </c:pt>
                <c:pt idx="1690">
                  <c:v>42537</c:v>
                </c:pt>
                <c:pt idx="1691">
                  <c:v>42536</c:v>
                </c:pt>
                <c:pt idx="1692">
                  <c:v>42535</c:v>
                </c:pt>
                <c:pt idx="1693">
                  <c:v>42534</c:v>
                </c:pt>
                <c:pt idx="1694">
                  <c:v>42531</c:v>
                </c:pt>
                <c:pt idx="1695">
                  <c:v>42530</c:v>
                </c:pt>
                <c:pt idx="1696">
                  <c:v>42529</c:v>
                </c:pt>
                <c:pt idx="1697">
                  <c:v>42528</c:v>
                </c:pt>
                <c:pt idx="1698">
                  <c:v>42527</c:v>
                </c:pt>
                <c:pt idx="1699">
                  <c:v>42524</c:v>
                </c:pt>
                <c:pt idx="1700">
                  <c:v>42523</c:v>
                </c:pt>
                <c:pt idx="1701">
                  <c:v>42522</c:v>
                </c:pt>
                <c:pt idx="1702">
                  <c:v>42521</c:v>
                </c:pt>
                <c:pt idx="1703">
                  <c:v>42520</c:v>
                </c:pt>
                <c:pt idx="1704">
                  <c:v>42517</c:v>
                </c:pt>
                <c:pt idx="1705">
                  <c:v>42516</c:v>
                </c:pt>
                <c:pt idx="1706">
                  <c:v>42515</c:v>
                </c:pt>
                <c:pt idx="1707">
                  <c:v>42514</c:v>
                </c:pt>
                <c:pt idx="1708">
                  <c:v>42513</c:v>
                </c:pt>
                <c:pt idx="1709">
                  <c:v>42510</c:v>
                </c:pt>
                <c:pt idx="1710">
                  <c:v>42509</c:v>
                </c:pt>
                <c:pt idx="1711">
                  <c:v>42508</c:v>
                </c:pt>
                <c:pt idx="1712">
                  <c:v>42507</c:v>
                </c:pt>
                <c:pt idx="1713">
                  <c:v>42506</c:v>
                </c:pt>
                <c:pt idx="1714">
                  <c:v>42503</c:v>
                </c:pt>
                <c:pt idx="1715">
                  <c:v>42502</c:v>
                </c:pt>
                <c:pt idx="1716">
                  <c:v>42501</c:v>
                </c:pt>
                <c:pt idx="1717">
                  <c:v>42500</c:v>
                </c:pt>
                <c:pt idx="1718">
                  <c:v>42499</c:v>
                </c:pt>
                <c:pt idx="1719">
                  <c:v>42496</c:v>
                </c:pt>
                <c:pt idx="1720">
                  <c:v>42495</c:v>
                </c:pt>
                <c:pt idx="1721">
                  <c:v>42494</c:v>
                </c:pt>
                <c:pt idx="1722">
                  <c:v>42493</c:v>
                </c:pt>
                <c:pt idx="1723">
                  <c:v>42492</c:v>
                </c:pt>
                <c:pt idx="1724">
                  <c:v>42489</c:v>
                </c:pt>
                <c:pt idx="1725">
                  <c:v>42488</c:v>
                </c:pt>
                <c:pt idx="1726">
                  <c:v>42487</c:v>
                </c:pt>
                <c:pt idx="1727">
                  <c:v>42486</c:v>
                </c:pt>
                <c:pt idx="1728">
                  <c:v>42485</c:v>
                </c:pt>
                <c:pt idx="1729">
                  <c:v>42482</c:v>
                </c:pt>
                <c:pt idx="1730">
                  <c:v>42481</c:v>
                </c:pt>
                <c:pt idx="1731">
                  <c:v>42480</c:v>
                </c:pt>
                <c:pt idx="1732">
                  <c:v>42479</c:v>
                </c:pt>
                <c:pt idx="1733">
                  <c:v>42478</c:v>
                </c:pt>
                <c:pt idx="1734">
                  <c:v>42475</c:v>
                </c:pt>
                <c:pt idx="1735">
                  <c:v>42474</c:v>
                </c:pt>
                <c:pt idx="1736">
                  <c:v>42473</c:v>
                </c:pt>
                <c:pt idx="1737">
                  <c:v>42472</c:v>
                </c:pt>
                <c:pt idx="1738">
                  <c:v>42471</c:v>
                </c:pt>
                <c:pt idx="1739">
                  <c:v>42468</c:v>
                </c:pt>
                <c:pt idx="1740">
                  <c:v>42467</c:v>
                </c:pt>
                <c:pt idx="1741">
                  <c:v>42466</c:v>
                </c:pt>
                <c:pt idx="1742">
                  <c:v>42465</c:v>
                </c:pt>
                <c:pt idx="1743">
                  <c:v>42464</c:v>
                </c:pt>
                <c:pt idx="1744">
                  <c:v>42461</c:v>
                </c:pt>
                <c:pt idx="1745">
                  <c:v>42460</c:v>
                </c:pt>
                <c:pt idx="1746">
                  <c:v>42459</c:v>
                </c:pt>
                <c:pt idx="1747">
                  <c:v>42458</c:v>
                </c:pt>
                <c:pt idx="1748">
                  <c:v>42457</c:v>
                </c:pt>
                <c:pt idx="1749">
                  <c:v>42453</c:v>
                </c:pt>
                <c:pt idx="1750">
                  <c:v>42452</c:v>
                </c:pt>
                <c:pt idx="1751">
                  <c:v>42451</c:v>
                </c:pt>
                <c:pt idx="1752">
                  <c:v>42450</c:v>
                </c:pt>
                <c:pt idx="1753">
                  <c:v>42447</c:v>
                </c:pt>
                <c:pt idx="1754">
                  <c:v>42446</c:v>
                </c:pt>
                <c:pt idx="1755">
                  <c:v>42445</c:v>
                </c:pt>
                <c:pt idx="1756">
                  <c:v>42444</c:v>
                </c:pt>
                <c:pt idx="1757">
                  <c:v>42443</c:v>
                </c:pt>
                <c:pt idx="1758">
                  <c:v>42440</c:v>
                </c:pt>
                <c:pt idx="1759">
                  <c:v>42439</c:v>
                </c:pt>
                <c:pt idx="1760">
                  <c:v>42438</c:v>
                </c:pt>
                <c:pt idx="1761">
                  <c:v>42437</c:v>
                </c:pt>
                <c:pt idx="1762">
                  <c:v>42436</c:v>
                </c:pt>
                <c:pt idx="1763">
                  <c:v>42433</c:v>
                </c:pt>
                <c:pt idx="1764">
                  <c:v>42432</c:v>
                </c:pt>
                <c:pt idx="1765">
                  <c:v>42431</c:v>
                </c:pt>
                <c:pt idx="1766">
                  <c:v>42430</c:v>
                </c:pt>
                <c:pt idx="1767">
                  <c:v>42429</c:v>
                </c:pt>
                <c:pt idx="1768">
                  <c:v>42426</c:v>
                </c:pt>
                <c:pt idx="1769">
                  <c:v>42425</c:v>
                </c:pt>
                <c:pt idx="1770">
                  <c:v>42424</c:v>
                </c:pt>
                <c:pt idx="1771">
                  <c:v>42423</c:v>
                </c:pt>
                <c:pt idx="1772">
                  <c:v>42422</c:v>
                </c:pt>
                <c:pt idx="1773">
                  <c:v>42419</c:v>
                </c:pt>
                <c:pt idx="1774">
                  <c:v>42418</c:v>
                </c:pt>
                <c:pt idx="1775">
                  <c:v>42417</c:v>
                </c:pt>
                <c:pt idx="1776">
                  <c:v>42416</c:v>
                </c:pt>
                <c:pt idx="1777">
                  <c:v>42415</c:v>
                </c:pt>
                <c:pt idx="1778">
                  <c:v>42412</c:v>
                </c:pt>
                <c:pt idx="1779">
                  <c:v>42411</c:v>
                </c:pt>
                <c:pt idx="1780">
                  <c:v>42410</c:v>
                </c:pt>
                <c:pt idx="1781">
                  <c:v>42409</c:v>
                </c:pt>
                <c:pt idx="1782">
                  <c:v>42408</c:v>
                </c:pt>
                <c:pt idx="1783">
                  <c:v>42405</c:v>
                </c:pt>
                <c:pt idx="1784">
                  <c:v>42404</c:v>
                </c:pt>
                <c:pt idx="1785">
                  <c:v>42403</c:v>
                </c:pt>
                <c:pt idx="1786">
                  <c:v>42402</c:v>
                </c:pt>
                <c:pt idx="1787">
                  <c:v>42401</c:v>
                </c:pt>
                <c:pt idx="1788">
                  <c:v>42398</c:v>
                </c:pt>
                <c:pt idx="1789">
                  <c:v>42397</c:v>
                </c:pt>
                <c:pt idx="1790">
                  <c:v>42396</c:v>
                </c:pt>
                <c:pt idx="1791">
                  <c:v>42395</c:v>
                </c:pt>
                <c:pt idx="1792">
                  <c:v>42394</c:v>
                </c:pt>
                <c:pt idx="1793">
                  <c:v>42391</c:v>
                </c:pt>
                <c:pt idx="1794">
                  <c:v>42390</c:v>
                </c:pt>
                <c:pt idx="1795">
                  <c:v>42389</c:v>
                </c:pt>
                <c:pt idx="1796">
                  <c:v>42388</c:v>
                </c:pt>
                <c:pt idx="1797">
                  <c:v>42387</c:v>
                </c:pt>
                <c:pt idx="1798">
                  <c:v>42384</c:v>
                </c:pt>
                <c:pt idx="1799">
                  <c:v>42383</c:v>
                </c:pt>
                <c:pt idx="1800">
                  <c:v>42382</c:v>
                </c:pt>
                <c:pt idx="1801">
                  <c:v>42381</c:v>
                </c:pt>
                <c:pt idx="1802">
                  <c:v>42380</c:v>
                </c:pt>
                <c:pt idx="1803">
                  <c:v>42377</c:v>
                </c:pt>
                <c:pt idx="1804">
                  <c:v>42376</c:v>
                </c:pt>
                <c:pt idx="1805">
                  <c:v>42375</c:v>
                </c:pt>
                <c:pt idx="1806">
                  <c:v>42374</c:v>
                </c:pt>
                <c:pt idx="1807">
                  <c:v>42373</c:v>
                </c:pt>
                <c:pt idx="1808">
                  <c:v>42369</c:v>
                </c:pt>
                <c:pt idx="1809">
                  <c:v>42368</c:v>
                </c:pt>
                <c:pt idx="1810">
                  <c:v>42367</c:v>
                </c:pt>
                <c:pt idx="1811">
                  <c:v>42366</c:v>
                </c:pt>
                <c:pt idx="1812">
                  <c:v>42362</c:v>
                </c:pt>
                <c:pt idx="1813">
                  <c:v>42361</c:v>
                </c:pt>
                <c:pt idx="1814">
                  <c:v>42360</c:v>
                </c:pt>
                <c:pt idx="1815">
                  <c:v>42359</c:v>
                </c:pt>
                <c:pt idx="1816">
                  <c:v>42356</c:v>
                </c:pt>
                <c:pt idx="1817">
                  <c:v>42355</c:v>
                </c:pt>
                <c:pt idx="1818">
                  <c:v>42354</c:v>
                </c:pt>
                <c:pt idx="1819">
                  <c:v>42353</c:v>
                </c:pt>
                <c:pt idx="1820">
                  <c:v>42352</c:v>
                </c:pt>
                <c:pt idx="1821">
                  <c:v>42349</c:v>
                </c:pt>
                <c:pt idx="1822">
                  <c:v>42348</c:v>
                </c:pt>
                <c:pt idx="1823">
                  <c:v>42347</c:v>
                </c:pt>
                <c:pt idx="1824">
                  <c:v>42346</c:v>
                </c:pt>
                <c:pt idx="1825">
                  <c:v>42345</c:v>
                </c:pt>
                <c:pt idx="1826">
                  <c:v>42342</c:v>
                </c:pt>
                <c:pt idx="1827">
                  <c:v>42341</c:v>
                </c:pt>
                <c:pt idx="1828">
                  <c:v>42340</c:v>
                </c:pt>
                <c:pt idx="1829">
                  <c:v>42339</c:v>
                </c:pt>
                <c:pt idx="1830">
                  <c:v>42338</c:v>
                </c:pt>
                <c:pt idx="1831">
                  <c:v>42335</c:v>
                </c:pt>
                <c:pt idx="1832">
                  <c:v>42334</c:v>
                </c:pt>
                <c:pt idx="1833">
                  <c:v>42333</c:v>
                </c:pt>
                <c:pt idx="1834">
                  <c:v>42332</c:v>
                </c:pt>
                <c:pt idx="1835">
                  <c:v>42331</c:v>
                </c:pt>
                <c:pt idx="1836">
                  <c:v>42328</c:v>
                </c:pt>
                <c:pt idx="1837">
                  <c:v>42327</c:v>
                </c:pt>
                <c:pt idx="1838">
                  <c:v>42326</c:v>
                </c:pt>
                <c:pt idx="1839">
                  <c:v>42325</c:v>
                </c:pt>
                <c:pt idx="1840">
                  <c:v>42324</c:v>
                </c:pt>
                <c:pt idx="1841">
                  <c:v>42321</c:v>
                </c:pt>
                <c:pt idx="1842">
                  <c:v>42320</c:v>
                </c:pt>
                <c:pt idx="1843">
                  <c:v>42319</c:v>
                </c:pt>
                <c:pt idx="1844">
                  <c:v>42318</c:v>
                </c:pt>
                <c:pt idx="1845">
                  <c:v>42317</c:v>
                </c:pt>
                <c:pt idx="1846">
                  <c:v>42314</c:v>
                </c:pt>
                <c:pt idx="1847">
                  <c:v>42313</c:v>
                </c:pt>
                <c:pt idx="1848">
                  <c:v>42312</c:v>
                </c:pt>
                <c:pt idx="1849">
                  <c:v>42311</c:v>
                </c:pt>
                <c:pt idx="1850">
                  <c:v>42310</c:v>
                </c:pt>
                <c:pt idx="1851">
                  <c:v>42307</c:v>
                </c:pt>
                <c:pt idx="1852">
                  <c:v>42306</c:v>
                </c:pt>
                <c:pt idx="1853">
                  <c:v>42305</c:v>
                </c:pt>
                <c:pt idx="1854">
                  <c:v>42304</c:v>
                </c:pt>
                <c:pt idx="1855">
                  <c:v>42303</c:v>
                </c:pt>
                <c:pt idx="1856">
                  <c:v>42300</c:v>
                </c:pt>
                <c:pt idx="1857">
                  <c:v>42299</c:v>
                </c:pt>
                <c:pt idx="1858">
                  <c:v>42298</c:v>
                </c:pt>
                <c:pt idx="1859">
                  <c:v>42297</c:v>
                </c:pt>
                <c:pt idx="1860">
                  <c:v>42296</c:v>
                </c:pt>
                <c:pt idx="1861">
                  <c:v>42293</c:v>
                </c:pt>
                <c:pt idx="1862">
                  <c:v>42292</c:v>
                </c:pt>
                <c:pt idx="1863">
                  <c:v>42291</c:v>
                </c:pt>
                <c:pt idx="1864">
                  <c:v>42290</c:v>
                </c:pt>
                <c:pt idx="1865">
                  <c:v>42289</c:v>
                </c:pt>
                <c:pt idx="1866">
                  <c:v>42286</c:v>
                </c:pt>
                <c:pt idx="1867">
                  <c:v>42285</c:v>
                </c:pt>
                <c:pt idx="1868">
                  <c:v>42284</c:v>
                </c:pt>
                <c:pt idx="1869">
                  <c:v>42283</c:v>
                </c:pt>
                <c:pt idx="1870">
                  <c:v>42282</c:v>
                </c:pt>
                <c:pt idx="1871">
                  <c:v>42279</c:v>
                </c:pt>
                <c:pt idx="1872">
                  <c:v>42278</c:v>
                </c:pt>
                <c:pt idx="1873">
                  <c:v>42277</c:v>
                </c:pt>
                <c:pt idx="1874">
                  <c:v>42276</c:v>
                </c:pt>
                <c:pt idx="1875">
                  <c:v>42275</c:v>
                </c:pt>
                <c:pt idx="1876">
                  <c:v>42272</c:v>
                </c:pt>
                <c:pt idx="1877">
                  <c:v>42271</c:v>
                </c:pt>
                <c:pt idx="1878">
                  <c:v>42270</c:v>
                </c:pt>
                <c:pt idx="1879">
                  <c:v>42269</c:v>
                </c:pt>
                <c:pt idx="1880">
                  <c:v>42268</c:v>
                </c:pt>
                <c:pt idx="1881">
                  <c:v>42265</c:v>
                </c:pt>
                <c:pt idx="1882">
                  <c:v>42264</c:v>
                </c:pt>
                <c:pt idx="1883">
                  <c:v>42263</c:v>
                </c:pt>
                <c:pt idx="1884">
                  <c:v>42262</c:v>
                </c:pt>
                <c:pt idx="1885">
                  <c:v>42261</c:v>
                </c:pt>
                <c:pt idx="1886">
                  <c:v>42258</c:v>
                </c:pt>
                <c:pt idx="1887">
                  <c:v>42257</c:v>
                </c:pt>
                <c:pt idx="1888">
                  <c:v>42256</c:v>
                </c:pt>
                <c:pt idx="1889">
                  <c:v>42255</c:v>
                </c:pt>
                <c:pt idx="1890">
                  <c:v>42254</c:v>
                </c:pt>
                <c:pt idx="1891">
                  <c:v>42251</c:v>
                </c:pt>
                <c:pt idx="1892">
                  <c:v>42250</c:v>
                </c:pt>
                <c:pt idx="1893">
                  <c:v>42249</c:v>
                </c:pt>
                <c:pt idx="1894">
                  <c:v>42248</c:v>
                </c:pt>
                <c:pt idx="1895">
                  <c:v>42247</c:v>
                </c:pt>
                <c:pt idx="1896">
                  <c:v>42244</c:v>
                </c:pt>
                <c:pt idx="1897">
                  <c:v>42243</c:v>
                </c:pt>
                <c:pt idx="1898">
                  <c:v>42242</c:v>
                </c:pt>
                <c:pt idx="1899">
                  <c:v>42241</c:v>
                </c:pt>
                <c:pt idx="1900">
                  <c:v>42240</c:v>
                </c:pt>
                <c:pt idx="1901">
                  <c:v>42237</c:v>
                </c:pt>
                <c:pt idx="1902">
                  <c:v>42236</c:v>
                </c:pt>
                <c:pt idx="1903">
                  <c:v>42235</c:v>
                </c:pt>
                <c:pt idx="1904">
                  <c:v>42234</c:v>
                </c:pt>
                <c:pt idx="1905">
                  <c:v>42233</c:v>
                </c:pt>
                <c:pt idx="1906">
                  <c:v>42230</c:v>
                </c:pt>
                <c:pt idx="1907">
                  <c:v>42229</c:v>
                </c:pt>
                <c:pt idx="1908">
                  <c:v>42228</c:v>
                </c:pt>
                <c:pt idx="1909">
                  <c:v>42227</c:v>
                </c:pt>
                <c:pt idx="1910">
                  <c:v>42226</c:v>
                </c:pt>
                <c:pt idx="1911">
                  <c:v>42223</c:v>
                </c:pt>
                <c:pt idx="1912">
                  <c:v>42222</c:v>
                </c:pt>
                <c:pt idx="1913">
                  <c:v>42221</c:v>
                </c:pt>
                <c:pt idx="1914">
                  <c:v>42220</c:v>
                </c:pt>
                <c:pt idx="1915">
                  <c:v>42219</c:v>
                </c:pt>
                <c:pt idx="1916">
                  <c:v>42216</c:v>
                </c:pt>
                <c:pt idx="1917">
                  <c:v>42215</c:v>
                </c:pt>
                <c:pt idx="1918">
                  <c:v>42214</c:v>
                </c:pt>
                <c:pt idx="1919">
                  <c:v>42213</c:v>
                </c:pt>
                <c:pt idx="1920">
                  <c:v>42212</c:v>
                </c:pt>
                <c:pt idx="1921">
                  <c:v>42209</c:v>
                </c:pt>
                <c:pt idx="1922">
                  <c:v>42208</c:v>
                </c:pt>
                <c:pt idx="1923">
                  <c:v>42207</c:v>
                </c:pt>
                <c:pt idx="1924">
                  <c:v>42206</c:v>
                </c:pt>
                <c:pt idx="1925">
                  <c:v>42205</c:v>
                </c:pt>
                <c:pt idx="1926">
                  <c:v>42202</c:v>
                </c:pt>
                <c:pt idx="1927">
                  <c:v>42201</c:v>
                </c:pt>
                <c:pt idx="1928">
                  <c:v>42200</c:v>
                </c:pt>
                <c:pt idx="1929">
                  <c:v>42199</c:v>
                </c:pt>
                <c:pt idx="1930">
                  <c:v>42198</c:v>
                </c:pt>
                <c:pt idx="1931">
                  <c:v>42195</c:v>
                </c:pt>
                <c:pt idx="1932">
                  <c:v>42194</c:v>
                </c:pt>
                <c:pt idx="1933">
                  <c:v>42193</c:v>
                </c:pt>
                <c:pt idx="1934">
                  <c:v>42192</c:v>
                </c:pt>
                <c:pt idx="1935">
                  <c:v>42191</c:v>
                </c:pt>
                <c:pt idx="1936">
                  <c:v>42188</c:v>
                </c:pt>
                <c:pt idx="1937">
                  <c:v>42187</c:v>
                </c:pt>
                <c:pt idx="1938">
                  <c:v>42186</c:v>
                </c:pt>
                <c:pt idx="1939">
                  <c:v>42185</c:v>
                </c:pt>
                <c:pt idx="1940">
                  <c:v>42184</c:v>
                </c:pt>
                <c:pt idx="1941">
                  <c:v>42181</c:v>
                </c:pt>
                <c:pt idx="1942">
                  <c:v>42180</c:v>
                </c:pt>
                <c:pt idx="1943">
                  <c:v>42179</c:v>
                </c:pt>
                <c:pt idx="1944">
                  <c:v>42178</c:v>
                </c:pt>
                <c:pt idx="1945">
                  <c:v>42177</c:v>
                </c:pt>
                <c:pt idx="1946">
                  <c:v>42174</c:v>
                </c:pt>
                <c:pt idx="1947">
                  <c:v>42173</c:v>
                </c:pt>
                <c:pt idx="1948">
                  <c:v>42172</c:v>
                </c:pt>
                <c:pt idx="1949">
                  <c:v>42171</c:v>
                </c:pt>
                <c:pt idx="1950">
                  <c:v>42170</c:v>
                </c:pt>
                <c:pt idx="1951">
                  <c:v>42167</c:v>
                </c:pt>
                <c:pt idx="1952">
                  <c:v>42166</c:v>
                </c:pt>
                <c:pt idx="1953">
                  <c:v>42165</c:v>
                </c:pt>
                <c:pt idx="1954">
                  <c:v>42164</c:v>
                </c:pt>
                <c:pt idx="1955">
                  <c:v>42163</c:v>
                </c:pt>
                <c:pt idx="1956">
                  <c:v>42160</c:v>
                </c:pt>
                <c:pt idx="1957">
                  <c:v>42159</c:v>
                </c:pt>
                <c:pt idx="1958">
                  <c:v>42158</c:v>
                </c:pt>
                <c:pt idx="1959">
                  <c:v>42157</c:v>
                </c:pt>
                <c:pt idx="1960">
                  <c:v>42156</c:v>
                </c:pt>
                <c:pt idx="1961">
                  <c:v>42153</c:v>
                </c:pt>
                <c:pt idx="1962">
                  <c:v>42152</c:v>
                </c:pt>
                <c:pt idx="1963">
                  <c:v>42151</c:v>
                </c:pt>
                <c:pt idx="1964">
                  <c:v>42150</c:v>
                </c:pt>
                <c:pt idx="1965">
                  <c:v>42149</c:v>
                </c:pt>
                <c:pt idx="1966">
                  <c:v>42146</c:v>
                </c:pt>
                <c:pt idx="1967">
                  <c:v>42145</c:v>
                </c:pt>
                <c:pt idx="1968">
                  <c:v>42144</c:v>
                </c:pt>
                <c:pt idx="1969">
                  <c:v>42143</c:v>
                </c:pt>
                <c:pt idx="1970">
                  <c:v>42142</c:v>
                </c:pt>
                <c:pt idx="1971">
                  <c:v>42139</c:v>
                </c:pt>
                <c:pt idx="1972">
                  <c:v>42138</c:v>
                </c:pt>
                <c:pt idx="1973">
                  <c:v>42137</c:v>
                </c:pt>
                <c:pt idx="1974">
                  <c:v>42136</c:v>
                </c:pt>
                <c:pt idx="1975">
                  <c:v>42135</c:v>
                </c:pt>
                <c:pt idx="1976">
                  <c:v>42132</c:v>
                </c:pt>
                <c:pt idx="1977">
                  <c:v>42131</c:v>
                </c:pt>
                <c:pt idx="1978">
                  <c:v>42130</c:v>
                </c:pt>
                <c:pt idx="1979">
                  <c:v>42129</c:v>
                </c:pt>
                <c:pt idx="1980">
                  <c:v>42128</c:v>
                </c:pt>
                <c:pt idx="1981">
                  <c:v>42125</c:v>
                </c:pt>
                <c:pt idx="1982">
                  <c:v>42124</c:v>
                </c:pt>
                <c:pt idx="1983">
                  <c:v>42123</c:v>
                </c:pt>
                <c:pt idx="1984">
                  <c:v>42122</c:v>
                </c:pt>
                <c:pt idx="1985">
                  <c:v>42121</c:v>
                </c:pt>
                <c:pt idx="1986">
                  <c:v>42118</c:v>
                </c:pt>
                <c:pt idx="1987">
                  <c:v>42117</c:v>
                </c:pt>
                <c:pt idx="1988">
                  <c:v>42116</c:v>
                </c:pt>
                <c:pt idx="1989">
                  <c:v>42115</c:v>
                </c:pt>
                <c:pt idx="1990">
                  <c:v>42114</c:v>
                </c:pt>
                <c:pt idx="1991">
                  <c:v>42111</c:v>
                </c:pt>
                <c:pt idx="1992">
                  <c:v>42110</c:v>
                </c:pt>
                <c:pt idx="1993">
                  <c:v>42109</c:v>
                </c:pt>
                <c:pt idx="1994">
                  <c:v>42108</c:v>
                </c:pt>
                <c:pt idx="1995">
                  <c:v>42107</c:v>
                </c:pt>
                <c:pt idx="1996">
                  <c:v>42104</c:v>
                </c:pt>
                <c:pt idx="1997">
                  <c:v>42103</c:v>
                </c:pt>
                <c:pt idx="1998">
                  <c:v>42102</c:v>
                </c:pt>
                <c:pt idx="1999">
                  <c:v>42101</c:v>
                </c:pt>
                <c:pt idx="2000">
                  <c:v>42100</c:v>
                </c:pt>
                <c:pt idx="2001">
                  <c:v>42097</c:v>
                </c:pt>
                <c:pt idx="2002">
                  <c:v>42096</c:v>
                </c:pt>
                <c:pt idx="2003">
                  <c:v>42095</c:v>
                </c:pt>
                <c:pt idx="2004">
                  <c:v>42094</c:v>
                </c:pt>
                <c:pt idx="2005">
                  <c:v>42093</c:v>
                </c:pt>
                <c:pt idx="2006">
                  <c:v>42090</c:v>
                </c:pt>
                <c:pt idx="2007">
                  <c:v>42089</c:v>
                </c:pt>
                <c:pt idx="2008">
                  <c:v>42088</c:v>
                </c:pt>
                <c:pt idx="2009">
                  <c:v>42087</c:v>
                </c:pt>
                <c:pt idx="2010">
                  <c:v>42086</c:v>
                </c:pt>
                <c:pt idx="2011">
                  <c:v>42083</c:v>
                </c:pt>
                <c:pt idx="2012">
                  <c:v>42082</c:v>
                </c:pt>
                <c:pt idx="2013">
                  <c:v>42081</c:v>
                </c:pt>
                <c:pt idx="2014">
                  <c:v>42080</c:v>
                </c:pt>
                <c:pt idx="2015">
                  <c:v>42079</c:v>
                </c:pt>
                <c:pt idx="2016">
                  <c:v>42076</c:v>
                </c:pt>
                <c:pt idx="2017">
                  <c:v>42075</c:v>
                </c:pt>
                <c:pt idx="2018">
                  <c:v>42074</c:v>
                </c:pt>
                <c:pt idx="2019">
                  <c:v>42073</c:v>
                </c:pt>
                <c:pt idx="2020">
                  <c:v>42072</c:v>
                </c:pt>
                <c:pt idx="2021">
                  <c:v>42069</c:v>
                </c:pt>
                <c:pt idx="2022">
                  <c:v>42068</c:v>
                </c:pt>
                <c:pt idx="2023">
                  <c:v>42067</c:v>
                </c:pt>
                <c:pt idx="2024">
                  <c:v>42066</c:v>
                </c:pt>
                <c:pt idx="2025">
                  <c:v>42065</c:v>
                </c:pt>
                <c:pt idx="2026">
                  <c:v>42062</c:v>
                </c:pt>
                <c:pt idx="2027">
                  <c:v>42061</c:v>
                </c:pt>
                <c:pt idx="2028">
                  <c:v>42060</c:v>
                </c:pt>
                <c:pt idx="2029">
                  <c:v>42059</c:v>
                </c:pt>
                <c:pt idx="2030">
                  <c:v>42058</c:v>
                </c:pt>
                <c:pt idx="2031">
                  <c:v>42055</c:v>
                </c:pt>
                <c:pt idx="2032">
                  <c:v>42054</c:v>
                </c:pt>
                <c:pt idx="2033">
                  <c:v>42053</c:v>
                </c:pt>
                <c:pt idx="2034">
                  <c:v>42052</c:v>
                </c:pt>
                <c:pt idx="2035">
                  <c:v>42051</c:v>
                </c:pt>
                <c:pt idx="2036">
                  <c:v>42048</c:v>
                </c:pt>
                <c:pt idx="2037">
                  <c:v>42047</c:v>
                </c:pt>
                <c:pt idx="2038">
                  <c:v>42046</c:v>
                </c:pt>
                <c:pt idx="2039">
                  <c:v>42045</c:v>
                </c:pt>
                <c:pt idx="2040">
                  <c:v>42044</c:v>
                </c:pt>
                <c:pt idx="2041">
                  <c:v>42041</c:v>
                </c:pt>
                <c:pt idx="2042">
                  <c:v>42040</c:v>
                </c:pt>
                <c:pt idx="2043">
                  <c:v>42039</c:v>
                </c:pt>
                <c:pt idx="2044">
                  <c:v>42038</c:v>
                </c:pt>
                <c:pt idx="2045">
                  <c:v>42037</c:v>
                </c:pt>
                <c:pt idx="2046">
                  <c:v>42034</c:v>
                </c:pt>
                <c:pt idx="2047">
                  <c:v>42033</c:v>
                </c:pt>
                <c:pt idx="2048">
                  <c:v>42032</c:v>
                </c:pt>
                <c:pt idx="2049">
                  <c:v>42031</c:v>
                </c:pt>
                <c:pt idx="2050">
                  <c:v>42030</c:v>
                </c:pt>
                <c:pt idx="2051">
                  <c:v>42027</c:v>
                </c:pt>
                <c:pt idx="2052">
                  <c:v>42026</c:v>
                </c:pt>
                <c:pt idx="2053">
                  <c:v>42025</c:v>
                </c:pt>
                <c:pt idx="2054">
                  <c:v>42024</c:v>
                </c:pt>
                <c:pt idx="2055">
                  <c:v>42023</c:v>
                </c:pt>
                <c:pt idx="2056">
                  <c:v>42020</c:v>
                </c:pt>
                <c:pt idx="2057">
                  <c:v>42019</c:v>
                </c:pt>
                <c:pt idx="2058">
                  <c:v>42018</c:v>
                </c:pt>
                <c:pt idx="2059">
                  <c:v>42017</c:v>
                </c:pt>
                <c:pt idx="2060">
                  <c:v>42016</c:v>
                </c:pt>
                <c:pt idx="2061">
                  <c:v>42013</c:v>
                </c:pt>
                <c:pt idx="2062">
                  <c:v>42012</c:v>
                </c:pt>
                <c:pt idx="2063">
                  <c:v>42011</c:v>
                </c:pt>
                <c:pt idx="2064">
                  <c:v>42010</c:v>
                </c:pt>
                <c:pt idx="2065">
                  <c:v>42009</c:v>
                </c:pt>
                <c:pt idx="2066">
                  <c:v>42006</c:v>
                </c:pt>
                <c:pt idx="2067">
                  <c:v>42004</c:v>
                </c:pt>
                <c:pt idx="2068">
                  <c:v>42003</c:v>
                </c:pt>
                <c:pt idx="2069">
                  <c:v>42002</c:v>
                </c:pt>
                <c:pt idx="2070">
                  <c:v>41999</c:v>
                </c:pt>
                <c:pt idx="2071">
                  <c:v>41997</c:v>
                </c:pt>
                <c:pt idx="2072">
                  <c:v>41996</c:v>
                </c:pt>
                <c:pt idx="2073">
                  <c:v>41995</c:v>
                </c:pt>
                <c:pt idx="2074">
                  <c:v>41992</c:v>
                </c:pt>
                <c:pt idx="2075">
                  <c:v>41991</c:v>
                </c:pt>
                <c:pt idx="2076">
                  <c:v>41990</c:v>
                </c:pt>
                <c:pt idx="2077">
                  <c:v>41989</c:v>
                </c:pt>
                <c:pt idx="2078">
                  <c:v>41988</c:v>
                </c:pt>
                <c:pt idx="2079">
                  <c:v>41985</c:v>
                </c:pt>
                <c:pt idx="2080">
                  <c:v>41984</c:v>
                </c:pt>
                <c:pt idx="2081">
                  <c:v>41983</c:v>
                </c:pt>
                <c:pt idx="2082">
                  <c:v>41982</c:v>
                </c:pt>
                <c:pt idx="2083">
                  <c:v>41981</c:v>
                </c:pt>
                <c:pt idx="2084">
                  <c:v>41978</c:v>
                </c:pt>
                <c:pt idx="2085">
                  <c:v>41977</c:v>
                </c:pt>
                <c:pt idx="2086">
                  <c:v>41976</c:v>
                </c:pt>
                <c:pt idx="2087">
                  <c:v>41975</c:v>
                </c:pt>
                <c:pt idx="2088">
                  <c:v>41974</c:v>
                </c:pt>
                <c:pt idx="2089">
                  <c:v>41971</c:v>
                </c:pt>
                <c:pt idx="2090">
                  <c:v>41970</c:v>
                </c:pt>
                <c:pt idx="2091">
                  <c:v>41969</c:v>
                </c:pt>
                <c:pt idx="2092">
                  <c:v>41968</c:v>
                </c:pt>
                <c:pt idx="2093">
                  <c:v>41967</c:v>
                </c:pt>
                <c:pt idx="2094">
                  <c:v>41964</c:v>
                </c:pt>
                <c:pt idx="2095">
                  <c:v>41963</c:v>
                </c:pt>
                <c:pt idx="2096">
                  <c:v>41962</c:v>
                </c:pt>
                <c:pt idx="2097">
                  <c:v>41961</c:v>
                </c:pt>
                <c:pt idx="2098">
                  <c:v>41960</c:v>
                </c:pt>
                <c:pt idx="2099">
                  <c:v>41957</c:v>
                </c:pt>
                <c:pt idx="2100">
                  <c:v>41956</c:v>
                </c:pt>
                <c:pt idx="2101">
                  <c:v>41955</c:v>
                </c:pt>
                <c:pt idx="2102">
                  <c:v>41954</c:v>
                </c:pt>
                <c:pt idx="2103">
                  <c:v>41953</c:v>
                </c:pt>
                <c:pt idx="2104">
                  <c:v>41950</c:v>
                </c:pt>
                <c:pt idx="2105">
                  <c:v>41949</c:v>
                </c:pt>
                <c:pt idx="2106">
                  <c:v>41948</c:v>
                </c:pt>
                <c:pt idx="2107">
                  <c:v>41947</c:v>
                </c:pt>
                <c:pt idx="2108">
                  <c:v>41946</c:v>
                </c:pt>
                <c:pt idx="2109">
                  <c:v>41943</c:v>
                </c:pt>
                <c:pt idx="2110">
                  <c:v>41942</c:v>
                </c:pt>
                <c:pt idx="2111">
                  <c:v>41941</c:v>
                </c:pt>
                <c:pt idx="2112">
                  <c:v>41940</c:v>
                </c:pt>
                <c:pt idx="2113">
                  <c:v>41939</c:v>
                </c:pt>
                <c:pt idx="2114">
                  <c:v>41936</c:v>
                </c:pt>
                <c:pt idx="2115">
                  <c:v>41935</c:v>
                </c:pt>
                <c:pt idx="2116">
                  <c:v>41934</c:v>
                </c:pt>
                <c:pt idx="2117">
                  <c:v>41933</c:v>
                </c:pt>
                <c:pt idx="2118">
                  <c:v>41932</c:v>
                </c:pt>
                <c:pt idx="2119">
                  <c:v>41929</c:v>
                </c:pt>
                <c:pt idx="2120">
                  <c:v>41928</c:v>
                </c:pt>
                <c:pt idx="2121">
                  <c:v>41927</c:v>
                </c:pt>
                <c:pt idx="2122">
                  <c:v>41926</c:v>
                </c:pt>
                <c:pt idx="2123">
                  <c:v>41925</c:v>
                </c:pt>
                <c:pt idx="2124">
                  <c:v>41922</c:v>
                </c:pt>
                <c:pt idx="2125">
                  <c:v>41921</c:v>
                </c:pt>
                <c:pt idx="2126">
                  <c:v>41920</c:v>
                </c:pt>
                <c:pt idx="2127">
                  <c:v>41919</c:v>
                </c:pt>
                <c:pt idx="2128">
                  <c:v>41918</c:v>
                </c:pt>
                <c:pt idx="2129">
                  <c:v>41915</c:v>
                </c:pt>
                <c:pt idx="2130">
                  <c:v>41914</c:v>
                </c:pt>
                <c:pt idx="2131">
                  <c:v>41913</c:v>
                </c:pt>
                <c:pt idx="2132">
                  <c:v>41912</c:v>
                </c:pt>
                <c:pt idx="2133">
                  <c:v>41911</c:v>
                </c:pt>
                <c:pt idx="2134">
                  <c:v>41908</c:v>
                </c:pt>
                <c:pt idx="2135">
                  <c:v>41907</c:v>
                </c:pt>
                <c:pt idx="2136">
                  <c:v>41906</c:v>
                </c:pt>
                <c:pt idx="2137">
                  <c:v>41905</c:v>
                </c:pt>
                <c:pt idx="2138">
                  <c:v>41904</c:v>
                </c:pt>
                <c:pt idx="2139">
                  <c:v>41901</c:v>
                </c:pt>
                <c:pt idx="2140">
                  <c:v>41900</c:v>
                </c:pt>
                <c:pt idx="2141">
                  <c:v>41899</c:v>
                </c:pt>
                <c:pt idx="2142">
                  <c:v>41898</c:v>
                </c:pt>
                <c:pt idx="2143">
                  <c:v>41897</c:v>
                </c:pt>
                <c:pt idx="2144">
                  <c:v>41894</c:v>
                </c:pt>
                <c:pt idx="2145">
                  <c:v>41893</c:v>
                </c:pt>
                <c:pt idx="2146">
                  <c:v>41892</c:v>
                </c:pt>
                <c:pt idx="2147">
                  <c:v>41891</c:v>
                </c:pt>
                <c:pt idx="2148">
                  <c:v>41890</c:v>
                </c:pt>
                <c:pt idx="2149">
                  <c:v>41887</c:v>
                </c:pt>
                <c:pt idx="2150">
                  <c:v>41886</c:v>
                </c:pt>
                <c:pt idx="2151">
                  <c:v>41885</c:v>
                </c:pt>
                <c:pt idx="2152">
                  <c:v>41884</c:v>
                </c:pt>
                <c:pt idx="2153">
                  <c:v>41883</c:v>
                </c:pt>
                <c:pt idx="2154">
                  <c:v>41880</c:v>
                </c:pt>
                <c:pt idx="2155">
                  <c:v>41879</c:v>
                </c:pt>
                <c:pt idx="2156">
                  <c:v>41878</c:v>
                </c:pt>
                <c:pt idx="2157">
                  <c:v>41877</c:v>
                </c:pt>
                <c:pt idx="2158">
                  <c:v>41876</c:v>
                </c:pt>
                <c:pt idx="2159">
                  <c:v>41873</c:v>
                </c:pt>
                <c:pt idx="2160">
                  <c:v>41872</c:v>
                </c:pt>
                <c:pt idx="2161">
                  <c:v>41871</c:v>
                </c:pt>
                <c:pt idx="2162">
                  <c:v>41870</c:v>
                </c:pt>
                <c:pt idx="2163">
                  <c:v>41869</c:v>
                </c:pt>
                <c:pt idx="2164">
                  <c:v>41866</c:v>
                </c:pt>
                <c:pt idx="2165">
                  <c:v>41865</c:v>
                </c:pt>
                <c:pt idx="2166">
                  <c:v>41864</c:v>
                </c:pt>
                <c:pt idx="2167">
                  <c:v>41863</c:v>
                </c:pt>
                <c:pt idx="2168">
                  <c:v>41862</c:v>
                </c:pt>
                <c:pt idx="2169">
                  <c:v>41859</c:v>
                </c:pt>
                <c:pt idx="2170">
                  <c:v>41858</c:v>
                </c:pt>
                <c:pt idx="2171">
                  <c:v>41857</c:v>
                </c:pt>
                <c:pt idx="2172">
                  <c:v>41856</c:v>
                </c:pt>
                <c:pt idx="2173">
                  <c:v>41855</c:v>
                </c:pt>
                <c:pt idx="2174">
                  <c:v>41852</c:v>
                </c:pt>
                <c:pt idx="2175">
                  <c:v>41851</c:v>
                </c:pt>
                <c:pt idx="2176">
                  <c:v>41850</c:v>
                </c:pt>
                <c:pt idx="2177">
                  <c:v>41849</c:v>
                </c:pt>
                <c:pt idx="2178">
                  <c:v>41848</c:v>
                </c:pt>
                <c:pt idx="2179">
                  <c:v>41845</c:v>
                </c:pt>
                <c:pt idx="2180">
                  <c:v>41844</c:v>
                </c:pt>
                <c:pt idx="2181">
                  <c:v>41843</c:v>
                </c:pt>
                <c:pt idx="2182">
                  <c:v>41842</c:v>
                </c:pt>
                <c:pt idx="2183">
                  <c:v>41841</c:v>
                </c:pt>
                <c:pt idx="2184">
                  <c:v>41838</c:v>
                </c:pt>
                <c:pt idx="2185">
                  <c:v>41837</c:v>
                </c:pt>
                <c:pt idx="2186">
                  <c:v>41836</c:v>
                </c:pt>
                <c:pt idx="2187">
                  <c:v>41835</c:v>
                </c:pt>
                <c:pt idx="2188">
                  <c:v>41834</c:v>
                </c:pt>
                <c:pt idx="2189">
                  <c:v>41831</c:v>
                </c:pt>
                <c:pt idx="2190">
                  <c:v>41830</c:v>
                </c:pt>
                <c:pt idx="2191">
                  <c:v>41829</c:v>
                </c:pt>
                <c:pt idx="2192">
                  <c:v>41828</c:v>
                </c:pt>
                <c:pt idx="2193">
                  <c:v>41827</c:v>
                </c:pt>
                <c:pt idx="2194">
                  <c:v>41824</c:v>
                </c:pt>
                <c:pt idx="2195">
                  <c:v>41823</c:v>
                </c:pt>
                <c:pt idx="2196">
                  <c:v>41822</c:v>
                </c:pt>
                <c:pt idx="2197">
                  <c:v>41821</c:v>
                </c:pt>
                <c:pt idx="2198">
                  <c:v>41820</c:v>
                </c:pt>
                <c:pt idx="2199">
                  <c:v>41817</c:v>
                </c:pt>
                <c:pt idx="2200">
                  <c:v>41816</c:v>
                </c:pt>
                <c:pt idx="2201">
                  <c:v>41815</c:v>
                </c:pt>
                <c:pt idx="2202">
                  <c:v>41814</c:v>
                </c:pt>
                <c:pt idx="2203">
                  <c:v>41813</c:v>
                </c:pt>
                <c:pt idx="2204">
                  <c:v>41810</c:v>
                </c:pt>
                <c:pt idx="2205">
                  <c:v>41809</c:v>
                </c:pt>
                <c:pt idx="2206">
                  <c:v>41808</c:v>
                </c:pt>
                <c:pt idx="2207">
                  <c:v>41807</c:v>
                </c:pt>
                <c:pt idx="2208">
                  <c:v>41806</c:v>
                </c:pt>
                <c:pt idx="2209">
                  <c:v>41803</c:v>
                </c:pt>
                <c:pt idx="2210">
                  <c:v>41802</c:v>
                </c:pt>
                <c:pt idx="2211">
                  <c:v>41801</c:v>
                </c:pt>
                <c:pt idx="2212">
                  <c:v>41800</c:v>
                </c:pt>
                <c:pt idx="2213">
                  <c:v>41799</c:v>
                </c:pt>
                <c:pt idx="2214">
                  <c:v>41796</c:v>
                </c:pt>
                <c:pt idx="2215">
                  <c:v>41795</c:v>
                </c:pt>
                <c:pt idx="2216">
                  <c:v>41794</c:v>
                </c:pt>
                <c:pt idx="2217">
                  <c:v>41793</c:v>
                </c:pt>
                <c:pt idx="2218">
                  <c:v>41792</c:v>
                </c:pt>
                <c:pt idx="2219">
                  <c:v>41789</c:v>
                </c:pt>
                <c:pt idx="2220">
                  <c:v>41788</c:v>
                </c:pt>
                <c:pt idx="2221">
                  <c:v>41787</c:v>
                </c:pt>
                <c:pt idx="2222">
                  <c:v>41786</c:v>
                </c:pt>
                <c:pt idx="2223">
                  <c:v>41785</c:v>
                </c:pt>
                <c:pt idx="2224">
                  <c:v>41782</c:v>
                </c:pt>
                <c:pt idx="2225">
                  <c:v>41781</c:v>
                </c:pt>
                <c:pt idx="2226">
                  <c:v>41780</c:v>
                </c:pt>
                <c:pt idx="2227">
                  <c:v>41779</c:v>
                </c:pt>
                <c:pt idx="2228">
                  <c:v>41778</c:v>
                </c:pt>
                <c:pt idx="2229">
                  <c:v>41775</c:v>
                </c:pt>
                <c:pt idx="2230">
                  <c:v>41774</c:v>
                </c:pt>
                <c:pt idx="2231">
                  <c:v>41773</c:v>
                </c:pt>
                <c:pt idx="2232">
                  <c:v>41772</c:v>
                </c:pt>
                <c:pt idx="2233">
                  <c:v>41771</c:v>
                </c:pt>
                <c:pt idx="2234">
                  <c:v>41768</c:v>
                </c:pt>
                <c:pt idx="2235">
                  <c:v>41767</c:v>
                </c:pt>
                <c:pt idx="2236">
                  <c:v>41766</c:v>
                </c:pt>
                <c:pt idx="2237">
                  <c:v>41765</c:v>
                </c:pt>
                <c:pt idx="2238">
                  <c:v>41764</c:v>
                </c:pt>
                <c:pt idx="2239">
                  <c:v>41761</c:v>
                </c:pt>
                <c:pt idx="2240">
                  <c:v>41760</c:v>
                </c:pt>
                <c:pt idx="2241">
                  <c:v>41759</c:v>
                </c:pt>
                <c:pt idx="2242">
                  <c:v>41758</c:v>
                </c:pt>
                <c:pt idx="2243">
                  <c:v>41757</c:v>
                </c:pt>
                <c:pt idx="2244">
                  <c:v>41754</c:v>
                </c:pt>
                <c:pt idx="2245">
                  <c:v>41753</c:v>
                </c:pt>
                <c:pt idx="2246">
                  <c:v>41752</c:v>
                </c:pt>
                <c:pt idx="2247">
                  <c:v>41751</c:v>
                </c:pt>
                <c:pt idx="2248">
                  <c:v>41750</c:v>
                </c:pt>
                <c:pt idx="2249">
                  <c:v>41746</c:v>
                </c:pt>
                <c:pt idx="2250">
                  <c:v>41745</c:v>
                </c:pt>
                <c:pt idx="2251">
                  <c:v>41744</c:v>
                </c:pt>
                <c:pt idx="2252">
                  <c:v>41743</c:v>
                </c:pt>
                <c:pt idx="2253">
                  <c:v>41740</c:v>
                </c:pt>
                <c:pt idx="2254">
                  <c:v>41739</c:v>
                </c:pt>
                <c:pt idx="2255">
                  <c:v>41738</c:v>
                </c:pt>
                <c:pt idx="2256">
                  <c:v>41737</c:v>
                </c:pt>
                <c:pt idx="2257">
                  <c:v>41736</c:v>
                </c:pt>
                <c:pt idx="2258">
                  <c:v>41733</c:v>
                </c:pt>
                <c:pt idx="2259">
                  <c:v>41732</c:v>
                </c:pt>
                <c:pt idx="2260">
                  <c:v>41731</c:v>
                </c:pt>
                <c:pt idx="2261">
                  <c:v>41730</c:v>
                </c:pt>
                <c:pt idx="2262">
                  <c:v>41729</c:v>
                </c:pt>
                <c:pt idx="2263">
                  <c:v>41726</c:v>
                </c:pt>
                <c:pt idx="2264">
                  <c:v>41725</c:v>
                </c:pt>
                <c:pt idx="2265">
                  <c:v>41724</c:v>
                </c:pt>
                <c:pt idx="2266">
                  <c:v>41723</c:v>
                </c:pt>
                <c:pt idx="2267">
                  <c:v>41722</c:v>
                </c:pt>
                <c:pt idx="2268">
                  <c:v>41719</c:v>
                </c:pt>
                <c:pt idx="2269">
                  <c:v>41718</c:v>
                </c:pt>
                <c:pt idx="2270">
                  <c:v>41717</c:v>
                </c:pt>
                <c:pt idx="2271">
                  <c:v>41716</c:v>
                </c:pt>
                <c:pt idx="2272">
                  <c:v>41715</c:v>
                </c:pt>
                <c:pt idx="2273">
                  <c:v>41712</c:v>
                </c:pt>
                <c:pt idx="2274">
                  <c:v>41711</c:v>
                </c:pt>
                <c:pt idx="2275">
                  <c:v>41710</c:v>
                </c:pt>
                <c:pt idx="2276">
                  <c:v>41709</c:v>
                </c:pt>
                <c:pt idx="2277">
                  <c:v>41708</c:v>
                </c:pt>
                <c:pt idx="2278">
                  <c:v>41705</c:v>
                </c:pt>
                <c:pt idx="2279">
                  <c:v>41704</c:v>
                </c:pt>
                <c:pt idx="2280">
                  <c:v>41703</c:v>
                </c:pt>
                <c:pt idx="2281">
                  <c:v>41702</c:v>
                </c:pt>
                <c:pt idx="2282">
                  <c:v>41701</c:v>
                </c:pt>
                <c:pt idx="2283">
                  <c:v>41698</c:v>
                </c:pt>
                <c:pt idx="2284">
                  <c:v>41697</c:v>
                </c:pt>
                <c:pt idx="2285">
                  <c:v>41696</c:v>
                </c:pt>
                <c:pt idx="2286">
                  <c:v>41695</c:v>
                </c:pt>
                <c:pt idx="2287">
                  <c:v>41694</c:v>
                </c:pt>
                <c:pt idx="2288">
                  <c:v>41691</c:v>
                </c:pt>
                <c:pt idx="2289">
                  <c:v>41690</c:v>
                </c:pt>
                <c:pt idx="2290">
                  <c:v>41689</c:v>
                </c:pt>
                <c:pt idx="2291">
                  <c:v>41688</c:v>
                </c:pt>
                <c:pt idx="2292">
                  <c:v>41687</c:v>
                </c:pt>
                <c:pt idx="2293">
                  <c:v>41684</c:v>
                </c:pt>
                <c:pt idx="2294">
                  <c:v>41683</c:v>
                </c:pt>
                <c:pt idx="2295">
                  <c:v>41682</c:v>
                </c:pt>
                <c:pt idx="2296">
                  <c:v>41681</c:v>
                </c:pt>
                <c:pt idx="2297">
                  <c:v>41680</c:v>
                </c:pt>
                <c:pt idx="2298">
                  <c:v>41677</c:v>
                </c:pt>
                <c:pt idx="2299">
                  <c:v>41676</c:v>
                </c:pt>
                <c:pt idx="2300">
                  <c:v>41675</c:v>
                </c:pt>
                <c:pt idx="2301">
                  <c:v>41674</c:v>
                </c:pt>
                <c:pt idx="2302">
                  <c:v>41673</c:v>
                </c:pt>
                <c:pt idx="2303">
                  <c:v>41670</c:v>
                </c:pt>
                <c:pt idx="2304">
                  <c:v>41669</c:v>
                </c:pt>
                <c:pt idx="2305">
                  <c:v>41668</c:v>
                </c:pt>
                <c:pt idx="2306">
                  <c:v>41667</c:v>
                </c:pt>
                <c:pt idx="2307">
                  <c:v>41666</c:v>
                </c:pt>
                <c:pt idx="2308">
                  <c:v>41663</c:v>
                </c:pt>
                <c:pt idx="2309">
                  <c:v>41662</c:v>
                </c:pt>
                <c:pt idx="2310">
                  <c:v>41661</c:v>
                </c:pt>
                <c:pt idx="2311">
                  <c:v>41660</c:v>
                </c:pt>
                <c:pt idx="2312">
                  <c:v>41659</c:v>
                </c:pt>
                <c:pt idx="2313">
                  <c:v>41656</c:v>
                </c:pt>
                <c:pt idx="2314">
                  <c:v>41655</c:v>
                </c:pt>
                <c:pt idx="2315">
                  <c:v>41654</c:v>
                </c:pt>
                <c:pt idx="2316">
                  <c:v>41653</c:v>
                </c:pt>
                <c:pt idx="2317">
                  <c:v>41652</c:v>
                </c:pt>
                <c:pt idx="2318">
                  <c:v>41649</c:v>
                </c:pt>
                <c:pt idx="2319">
                  <c:v>41648</c:v>
                </c:pt>
                <c:pt idx="2320">
                  <c:v>41647</c:v>
                </c:pt>
                <c:pt idx="2321">
                  <c:v>41646</c:v>
                </c:pt>
                <c:pt idx="2322">
                  <c:v>41645</c:v>
                </c:pt>
                <c:pt idx="2323">
                  <c:v>41642</c:v>
                </c:pt>
                <c:pt idx="2324">
                  <c:v>41641</c:v>
                </c:pt>
                <c:pt idx="2325">
                  <c:v>41639</c:v>
                </c:pt>
                <c:pt idx="2326">
                  <c:v>41638</c:v>
                </c:pt>
                <c:pt idx="2327">
                  <c:v>41635</c:v>
                </c:pt>
                <c:pt idx="2328">
                  <c:v>41634</c:v>
                </c:pt>
                <c:pt idx="2329">
                  <c:v>41632</c:v>
                </c:pt>
                <c:pt idx="2330">
                  <c:v>41631</c:v>
                </c:pt>
                <c:pt idx="2331">
                  <c:v>41628</c:v>
                </c:pt>
                <c:pt idx="2332">
                  <c:v>41627</c:v>
                </c:pt>
                <c:pt idx="2333">
                  <c:v>41626</c:v>
                </c:pt>
                <c:pt idx="2334">
                  <c:v>41625</c:v>
                </c:pt>
                <c:pt idx="2335">
                  <c:v>41624</c:v>
                </c:pt>
                <c:pt idx="2336">
                  <c:v>41621</c:v>
                </c:pt>
                <c:pt idx="2337">
                  <c:v>41620</c:v>
                </c:pt>
                <c:pt idx="2338">
                  <c:v>41619</c:v>
                </c:pt>
                <c:pt idx="2339">
                  <c:v>41618</c:v>
                </c:pt>
                <c:pt idx="2340">
                  <c:v>41617</c:v>
                </c:pt>
                <c:pt idx="2341">
                  <c:v>41614</c:v>
                </c:pt>
                <c:pt idx="2342">
                  <c:v>41613</c:v>
                </c:pt>
                <c:pt idx="2343">
                  <c:v>41612</c:v>
                </c:pt>
                <c:pt idx="2344">
                  <c:v>41611</c:v>
                </c:pt>
                <c:pt idx="2345">
                  <c:v>41610</c:v>
                </c:pt>
                <c:pt idx="2346">
                  <c:v>41607</c:v>
                </c:pt>
                <c:pt idx="2347">
                  <c:v>41606</c:v>
                </c:pt>
                <c:pt idx="2348">
                  <c:v>41605</c:v>
                </c:pt>
                <c:pt idx="2349">
                  <c:v>41604</c:v>
                </c:pt>
                <c:pt idx="2350">
                  <c:v>41603</c:v>
                </c:pt>
                <c:pt idx="2351">
                  <c:v>41600</c:v>
                </c:pt>
                <c:pt idx="2352">
                  <c:v>41599</c:v>
                </c:pt>
                <c:pt idx="2353">
                  <c:v>41598</c:v>
                </c:pt>
                <c:pt idx="2354">
                  <c:v>41597</c:v>
                </c:pt>
                <c:pt idx="2355">
                  <c:v>41596</c:v>
                </c:pt>
                <c:pt idx="2356">
                  <c:v>41593</c:v>
                </c:pt>
                <c:pt idx="2357">
                  <c:v>41592</c:v>
                </c:pt>
                <c:pt idx="2358">
                  <c:v>41591</c:v>
                </c:pt>
                <c:pt idx="2359">
                  <c:v>41590</c:v>
                </c:pt>
                <c:pt idx="2360">
                  <c:v>41589</c:v>
                </c:pt>
                <c:pt idx="2361">
                  <c:v>41586</c:v>
                </c:pt>
                <c:pt idx="2362">
                  <c:v>41585</c:v>
                </c:pt>
                <c:pt idx="2363">
                  <c:v>41584</c:v>
                </c:pt>
                <c:pt idx="2364">
                  <c:v>41583</c:v>
                </c:pt>
                <c:pt idx="2365">
                  <c:v>41582</c:v>
                </c:pt>
                <c:pt idx="2366">
                  <c:v>41579</c:v>
                </c:pt>
                <c:pt idx="2367">
                  <c:v>41578</c:v>
                </c:pt>
                <c:pt idx="2368">
                  <c:v>41577</c:v>
                </c:pt>
                <c:pt idx="2369">
                  <c:v>41576</c:v>
                </c:pt>
                <c:pt idx="2370">
                  <c:v>41575</c:v>
                </c:pt>
                <c:pt idx="2371">
                  <c:v>41572</c:v>
                </c:pt>
                <c:pt idx="2372">
                  <c:v>41571</c:v>
                </c:pt>
                <c:pt idx="2373">
                  <c:v>41570</c:v>
                </c:pt>
                <c:pt idx="2374">
                  <c:v>41569</c:v>
                </c:pt>
                <c:pt idx="2375">
                  <c:v>41568</c:v>
                </c:pt>
                <c:pt idx="2376">
                  <c:v>41565</c:v>
                </c:pt>
                <c:pt idx="2377">
                  <c:v>41564</c:v>
                </c:pt>
                <c:pt idx="2378">
                  <c:v>41563</c:v>
                </c:pt>
                <c:pt idx="2379">
                  <c:v>41562</c:v>
                </c:pt>
                <c:pt idx="2380">
                  <c:v>41561</c:v>
                </c:pt>
                <c:pt idx="2381">
                  <c:v>41558</c:v>
                </c:pt>
                <c:pt idx="2382">
                  <c:v>41557</c:v>
                </c:pt>
                <c:pt idx="2383">
                  <c:v>41556</c:v>
                </c:pt>
                <c:pt idx="2384">
                  <c:v>41555</c:v>
                </c:pt>
                <c:pt idx="2385">
                  <c:v>41554</c:v>
                </c:pt>
                <c:pt idx="2386">
                  <c:v>41551</c:v>
                </c:pt>
                <c:pt idx="2387">
                  <c:v>41550</c:v>
                </c:pt>
                <c:pt idx="2388">
                  <c:v>41549</c:v>
                </c:pt>
                <c:pt idx="2389">
                  <c:v>41548</c:v>
                </c:pt>
                <c:pt idx="2390">
                  <c:v>41547</c:v>
                </c:pt>
                <c:pt idx="2391">
                  <c:v>41544</c:v>
                </c:pt>
                <c:pt idx="2392">
                  <c:v>41543</c:v>
                </c:pt>
                <c:pt idx="2393">
                  <c:v>41542</c:v>
                </c:pt>
                <c:pt idx="2394">
                  <c:v>41541</c:v>
                </c:pt>
                <c:pt idx="2395">
                  <c:v>41540</c:v>
                </c:pt>
                <c:pt idx="2396">
                  <c:v>41537</c:v>
                </c:pt>
                <c:pt idx="2397">
                  <c:v>41536</c:v>
                </c:pt>
                <c:pt idx="2398">
                  <c:v>41535</c:v>
                </c:pt>
                <c:pt idx="2399">
                  <c:v>41534</c:v>
                </c:pt>
                <c:pt idx="2400">
                  <c:v>41533</c:v>
                </c:pt>
                <c:pt idx="2401">
                  <c:v>41530</c:v>
                </c:pt>
                <c:pt idx="2402">
                  <c:v>41529</c:v>
                </c:pt>
                <c:pt idx="2403">
                  <c:v>41528</c:v>
                </c:pt>
                <c:pt idx="2404">
                  <c:v>41527</c:v>
                </c:pt>
                <c:pt idx="2405">
                  <c:v>41526</c:v>
                </c:pt>
                <c:pt idx="2406">
                  <c:v>41523</c:v>
                </c:pt>
                <c:pt idx="2407">
                  <c:v>41522</c:v>
                </c:pt>
                <c:pt idx="2408">
                  <c:v>41521</c:v>
                </c:pt>
                <c:pt idx="2409">
                  <c:v>41520</c:v>
                </c:pt>
                <c:pt idx="2410">
                  <c:v>41519</c:v>
                </c:pt>
                <c:pt idx="2411">
                  <c:v>41516</c:v>
                </c:pt>
                <c:pt idx="2412">
                  <c:v>41515</c:v>
                </c:pt>
                <c:pt idx="2413">
                  <c:v>41514</c:v>
                </c:pt>
                <c:pt idx="2414">
                  <c:v>41513</c:v>
                </c:pt>
                <c:pt idx="2415">
                  <c:v>41512</c:v>
                </c:pt>
                <c:pt idx="2416">
                  <c:v>41509</c:v>
                </c:pt>
                <c:pt idx="2417">
                  <c:v>41508</c:v>
                </c:pt>
                <c:pt idx="2418">
                  <c:v>41507</c:v>
                </c:pt>
                <c:pt idx="2419">
                  <c:v>41506</c:v>
                </c:pt>
                <c:pt idx="2420">
                  <c:v>41505</c:v>
                </c:pt>
                <c:pt idx="2421">
                  <c:v>41502</c:v>
                </c:pt>
                <c:pt idx="2422">
                  <c:v>41501</c:v>
                </c:pt>
                <c:pt idx="2423">
                  <c:v>41500</c:v>
                </c:pt>
                <c:pt idx="2424">
                  <c:v>41499</c:v>
                </c:pt>
                <c:pt idx="2425">
                  <c:v>41498</c:v>
                </c:pt>
                <c:pt idx="2426">
                  <c:v>41495</c:v>
                </c:pt>
                <c:pt idx="2427">
                  <c:v>41494</c:v>
                </c:pt>
                <c:pt idx="2428">
                  <c:v>41493</c:v>
                </c:pt>
                <c:pt idx="2429">
                  <c:v>41492</c:v>
                </c:pt>
                <c:pt idx="2430">
                  <c:v>41491</c:v>
                </c:pt>
                <c:pt idx="2431">
                  <c:v>41488</c:v>
                </c:pt>
                <c:pt idx="2432">
                  <c:v>41487</c:v>
                </c:pt>
                <c:pt idx="2433">
                  <c:v>41486</c:v>
                </c:pt>
                <c:pt idx="2434">
                  <c:v>41485</c:v>
                </c:pt>
                <c:pt idx="2435">
                  <c:v>41484</c:v>
                </c:pt>
                <c:pt idx="2436">
                  <c:v>41481</c:v>
                </c:pt>
                <c:pt idx="2437">
                  <c:v>41480</c:v>
                </c:pt>
                <c:pt idx="2438">
                  <c:v>41479</c:v>
                </c:pt>
                <c:pt idx="2439">
                  <c:v>41478</c:v>
                </c:pt>
                <c:pt idx="2440">
                  <c:v>41477</c:v>
                </c:pt>
                <c:pt idx="2441">
                  <c:v>41474</c:v>
                </c:pt>
                <c:pt idx="2442">
                  <c:v>41473</c:v>
                </c:pt>
                <c:pt idx="2443">
                  <c:v>41472</c:v>
                </c:pt>
                <c:pt idx="2444">
                  <c:v>41471</c:v>
                </c:pt>
                <c:pt idx="2445">
                  <c:v>41470</c:v>
                </c:pt>
                <c:pt idx="2446">
                  <c:v>41467</c:v>
                </c:pt>
                <c:pt idx="2447">
                  <c:v>41466</c:v>
                </c:pt>
                <c:pt idx="2448">
                  <c:v>41465</c:v>
                </c:pt>
                <c:pt idx="2449">
                  <c:v>41464</c:v>
                </c:pt>
                <c:pt idx="2450">
                  <c:v>41463</c:v>
                </c:pt>
                <c:pt idx="2451">
                  <c:v>41460</c:v>
                </c:pt>
                <c:pt idx="2452">
                  <c:v>41459</c:v>
                </c:pt>
                <c:pt idx="2453">
                  <c:v>41458</c:v>
                </c:pt>
                <c:pt idx="2454">
                  <c:v>41457</c:v>
                </c:pt>
                <c:pt idx="2455">
                  <c:v>41456</c:v>
                </c:pt>
                <c:pt idx="2456">
                  <c:v>41453</c:v>
                </c:pt>
                <c:pt idx="2457">
                  <c:v>41452</c:v>
                </c:pt>
                <c:pt idx="2458">
                  <c:v>41451</c:v>
                </c:pt>
                <c:pt idx="2459">
                  <c:v>41450</c:v>
                </c:pt>
                <c:pt idx="2460">
                  <c:v>41449</c:v>
                </c:pt>
                <c:pt idx="2461">
                  <c:v>41446</c:v>
                </c:pt>
                <c:pt idx="2462">
                  <c:v>41445</c:v>
                </c:pt>
                <c:pt idx="2463">
                  <c:v>41444</c:v>
                </c:pt>
                <c:pt idx="2464">
                  <c:v>41443</c:v>
                </c:pt>
                <c:pt idx="2465">
                  <c:v>41442</c:v>
                </c:pt>
                <c:pt idx="2466">
                  <c:v>41439</c:v>
                </c:pt>
                <c:pt idx="2467">
                  <c:v>41438</c:v>
                </c:pt>
                <c:pt idx="2468">
                  <c:v>41437</c:v>
                </c:pt>
                <c:pt idx="2469">
                  <c:v>41436</c:v>
                </c:pt>
                <c:pt idx="2470">
                  <c:v>41435</c:v>
                </c:pt>
                <c:pt idx="2471">
                  <c:v>41432</c:v>
                </c:pt>
                <c:pt idx="2472">
                  <c:v>41431</c:v>
                </c:pt>
                <c:pt idx="2473">
                  <c:v>41430</c:v>
                </c:pt>
                <c:pt idx="2474">
                  <c:v>41429</c:v>
                </c:pt>
                <c:pt idx="2475">
                  <c:v>41428</c:v>
                </c:pt>
                <c:pt idx="2476">
                  <c:v>41425</c:v>
                </c:pt>
                <c:pt idx="2477">
                  <c:v>41424</c:v>
                </c:pt>
                <c:pt idx="2478">
                  <c:v>41423</c:v>
                </c:pt>
                <c:pt idx="2479">
                  <c:v>41422</c:v>
                </c:pt>
                <c:pt idx="2480">
                  <c:v>41421</c:v>
                </c:pt>
                <c:pt idx="2481">
                  <c:v>41418</c:v>
                </c:pt>
                <c:pt idx="2482">
                  <c:v>41417</c:v>
                </c:pt>
                <c:pt idx="2483">
                  <c:v>41416</c:v>
                </c:pt>
                <c:pt idx="2484">
                  <c:v>41415</c:v>
                </c:pt>
                <c:pt idx="2485">
                  <c:v>41414</c:v>
                </c:pt>
                <c:pt idx="2486">
                  <c:v>41411</c:v>
                </c:pt>
                <c:pt idx="2487">
                  <c:v>41410</c:v>
                </c:pt>
                <c:pt idx="2488">
                  <c:v>41409</c:v>
                </c:pt>
                <c:pt idx="2489">
                  <c:v>41408</c:v>
                </c:pt>
                <c:pt idx="2490">
                  <c:v>41407</c:v>
                </c:pt>
                <c:pt idx="2491">
                  <c:v>41404</c:v>
                </c:pt>
                <c:pt idx="2492">
                  <c:v>41403</c:v>
                </c:pt>
                <c:pt idx="2493">
                  <c:v>41402</c:v>
                </c:pt>
                <c:pt idx="2494">
                  <c:v>41401</c:v>
                </c:pt>
                <c:pt idx="2495">
                  <c:v>41400</c:v>
                </c:pt>
                <c:pt idx="2496">
                  <c:v>41397</c:v>
                </c:pt>
                <c:pt idx="2497">
                  <c:v>41396</c:v>
                </c:pt>
                <c:pt idx="2498">
                  <c:v>41395</c:v>
                </c:pt>
                <c:pt idx="2499">
                  <c:v>41394</c:v>
                </c:pt>
                <c:pt idx="2500">
                  <c:v>41393</c:v>
                </c:pt>
                <c:pt idx="2501">
                  <c:v>41390</c:v>
                </c:pt>
                <c:pt idx="2502">
                  <c:v>41389</c:v>
                </c:pt>
                <c:pt idx="2503">
                  <c:v>41388</c:v>
                </c:pt>
                <c:pt idx="2504">
                  <c:v>41387</c:v>
                </c:pt>
                <c:pt idx="2505">
                  <c:v>41386</c:v>
                </c:pt>
                <c:pt idx="2506">
                  <c:v>41383</c:v>
                </c:pt>
                <c:pt idx="2507">
                  <c:v>41382</c:v>
                </c:pt>
                <c:pt idx="2508">
                  <c:v>41381</c:v>
                </c:pt>
                <c:pt idx="2509">
                  <c:v>41380</c:v>
                </c:pt>
                <c:pt idx="2510">
                  <c:v>41379</c:v>
                </c:pt>
                <c:pt idx="2511">
                  <c:v>41376</c:v>
                </c:pt>
                <c:pt idx="2512">
                  <c:v>41375</c:v>
                </c:pt>
                <c:pt idx="2513">
                  <c:v>41374</c:v>
                </c:pt>
                <c:pt idx="2514">
                  <c:v>41373</c:v>
                </c:pt>
                <c:pt idx="2515">
                  <c:v>41372</c:v>
                </c:pt>
                <c:pt idx="2516">
                  <c:v>41369</c:v>
                </c:pt>
                <c:pt idx="2517">
                  <c:v>41368</c:v>
                </c:pt>
                <c:pt idx="2518">
                  <c:v>41367</c:v>
                </c:pt>
                <c:pt idx="2519">
                  <c:v>41366</c:v>
                </c:pt>
                <c:pt idx="2520">
                  <c:v>41365</c:v>
                </c:pt>
                <c:pt idx="2521">
                  <c:v>41361</c:v>
                </c:pt>
                <c:pt idx="2522">
                  <c:v>41360</c:v>
                </c:pt>
                <c:pt idx="2523">
                  <c:v>41359</c:v>
                </c:pt>
                <c:pt idx="2524">
                  <c:v>41358</c:v>
                </c:pt>
                <c:pt idx="2525">
                  <c:v>41355</c:v>
                </c:pt>
                <c:pt idx="2526">
                  <c:v>41354</c:v>
                </c:pt>
                <c:pt idx="2527">
                  <c:v>41353</c:v>
                </c:pt>
                <c:pt idx="2528">
                  <c:v>41352</c:v>
                </c:pt>
                <c:pt idx="2529">
                  <c:v>41351</c:v>
                </c:pt>
                <c:pt idx="2530">
                  <c:v>41348</c:v>
                </c:pt>
                <c:pt idx="2531">
                  <c:v>41347</c:v>
                </c:pt>
                <c:pt idx="2532">
                  <c:v>41346</c:v>
                </c:pt>
                <c:pt idx="2533">
                  <c:v>41345</c:v>
                </c:pt>
                <c:pt idx="2534">
                  <c:v>41344</c:v>
                </c:pt>
                <c:pt idx="2535">
                  <c:v>41341</c:v>
                </c:pt>
                <c:pt idx="2536">
                  <c:v>41340</c:v>
                </c:pt>
                <c:pt idx="2537">
                  <c:v>41339</c:v>
                </c:pt>
                <c:pt idx="2538">
                  <c:v>41338</c:v>
                </c:pt>
                <c:pt idx="2539">
                  <c:v>41337</c:v>
                </c:pt>
                <c:pt idx="2540">
                  <c:v>41334</c:v>
                </c:pt>
                <c:pt idx="2541">
                  <c:v>41333</c:v>
                </c:pt>
                <c:pt idx="2542">
                  <c:v>41332</c:v>
                </c:pt>
                <c:pt idx="2543">
                  <c:v>41331</c:v>
                </c:pt>
                <c:pt idx="2544">
                  <c:v>41330</c:v>
                </c:pt>
                <c:pt idx="2545">
                  <c:v>41327</c:v>
                </c:pt>
                <c:pt idx="2546">
                  <c:v>41326</c:v>
                </c:pt>
                <c:pt idx="2547">
                  <c:v>41325</c:v>
                </c:pt>
                <c:pt idx="2548">
                  <c:v>41324</c:v>
                </c:pt>
                <c:pt idx="2549">
                  <c:v>41323</c:v>
                </c:pt>
                <c:pt idx="2550">
                  <c:v>41320</c:v>
                </c:pt>
                <c:pt idx="2551">
                  <c:v>41319</c:v>
                </c:pt>
                <c:pt idx="2552">
                  <c:v>41318</c:v>
                </c:pt>
                <c:pt idx="2553">
                  <c:v>41317</c:v>
                </c:pt>
                <c:pt idx="2554">
                  <c:v>41316</c:v>
                </c:pt>
                <c:pt idx="2555">
                  <c:v>41313</c:v>
                </c:pt>
                <c:pt idx="2556">
                  <c:v>41312</c:v>
                </c:pt>
                <c:pt idx="2557">
                  <c:v>41311</c:v>
                </c:pt>
                <c:pt idx="2558">
                  <c:v>41310</c:v>
                </c:pt>
                <c:pt idx="2559">
                  <c:v>41309</c:v>
                </c:pt>
                <c:pt idx="2560">
                  <c:v>41306</c:v>
                </c:pt>
                <c:pt idx="2561">
                  <c:v>41305</c:v>
                </c:pt>
                <c:pt idx="2562">
                  <c:v>41304</c:v>
                </c:pt>
                <c:pt idx="2563">
                  <c:v>41303</c:v>
                </c:pt>
                <c:pt idx="2564">
                  <c:v>41302</c:v>
                </c:pt>
                <c:pt idx="2565">
                  <c:v>41299</c:v>
                </c:pt>
                <c:pt idx="2566">
                  <c:v>41298</c:v>
                </c:pt>
                <c:pt idx="2567">
                  <c:v>41297</c:v>
                </c:pt>
                <c:pt idx="2568">
                  <c:v>41296</c:v>
                </c:pt>
                <c:pt idx="2569">
                  <c:v>41295</c:v>
                </c:pt>
                <c:pt idx="2570">
                  <c:v>41292</c:v>
                </c:pt>
                <c:pt idx="2571">
                  <c:v>41291</c:v>
                </c:pt>
                <c:pt idx="2572">
                  <c:v>41290</c:v>
                </c:pt>
                <c:pt idx="2573">
                  <c:v>41289</c:v>
                </c:pt>
                <c:pt idx="2574">
                  <c:v>41288</c:v>
                </c:pt>
                <c:pt idx="2575">
                  <c:v>41285</c:v>
                </c:pt>
                <c:pt idx="2576">
                  <c:v>41284</c:v>
                </c:pt>
                <c:pt idx="2577">
                  <c:v>41283</c:v>
                </c:pt>
                <c:pt idx="2578">
                  <c:v>41282</c:v>
                </c:pt>
                <c:pt idx="2579">
                  <c:v>41281</c:v>
                </c:pt>
                <c:pt idx="2580">
                  <c:v>41278</c:v>
                </c:pt>
                <c:pt idx="2581">
                  <c:v>41277</c:v>
                </c:pt>
                <c:pt idx="2582">
                  <c:v>41276</c:v>
                </c:pt>
                <c:pt idx="2583">
                  <c:v>41274</c:v>
                </c:pt>
                <c:pt idx="2584">
                  <c:v>41271</c:v>
                </c:pt>
                <c:pt idx="2585">
                  <c:v>41270</c:v>
                </c:pt>
                <c:pt idx="2586">
                  <c:v>41269</c:v>
                </c:pt>
                <c:pt idx="2587">
                  <c:v>41267</c:v>
                </c:pt>
                <c:pt idx="2588">
                  <c:v>41264</c:v>
                </c:pt>
                <c:pt idx="2589">
                  <c:v>41263</c:v>
                </c:pt>
                <c:pt idx="2590">
                  <c:v>41262</c:v>
                </c:pt>
                <c:pt idx="2591">
                  <c:v>41261</c:v>
                </c:pt>
                <c:pt idx="2592">
                  <c:v>41260</c:v>
                </c:pt>
                <c:pt idx="2593">
                  <c:v>41257</c:v>
                </c:pt>
                <c:pt idx="2594">
                  <c:v>41256</c:v>
                </c:pt>
                <c:pt idx="2595">
                  <c:v>41255</c:v>
                </c:pt>
                <c:pt idx="2596">
                  <c:v>41254</c:v>
                </c:pt>
                <c:pt idx="2597">
                  <c:v>41253</c:v>
                </c:pt>
                <c:pt idx="2598">
                  <c:v>41250</c:v>
                </c:pt>
                <c:pt idx="2599">
                  <c:v>41249</c:v>
                </c:pt>
                <c:pt idx="2600">
                  <c:v>41248</c:v>
                </c:pt>
                <c:pt idx="2601">
                  <c:v>41247</c:v>
                </c:pt>
                <c:pt idx="2602">
                  <c:v>41246</c:v>
                </c:pt>
                <c:pt idx="2603">
                  <c:v>41243</c:v>
                </c:pt>
                <c:pt idx="2604">
                  <c:v>41242</c:v>
                </c:pt>
                <c:pt idx="2605">
                  <c:v>41241</c:v>
                </c:pt>
                <c:pt idx="2606">
                  <c:v>41240</c:v>
                </c:pt>
                <c:pt idx="2607">
                  <c:v>41239</c:v>
                </c:pt>
                <c:pt idx="2608">
                  <c:v>41236</c:v>
                </c:pt>
                <c:pt idx="2609">
                  <c:v>41235</c:v>
                </c:pt>
                <c:pt idx="2610">
                  <c:v>41234</c:v>
                </c:pt>
                <c:pt idx="2611">
                  <c:v>41233</c:v>
                </c:pt>
                <c:pt idx="2612">
                  <c:v>41232</c:v>
                </c:pt>
                <c:pt idx="2613">
                  <c:v>41229</c:v>
                </c:pt>
                <c:pt idx="2614">
                  <c:v>41228</c:v>
                </c:pt>
                <c:pt idx="2615">
                  <c:v>41227</c:v>
                </c:pt>
                <c:pt idx="2616">
                  <c:v>41226</c:v>
                </c:pt>
                <c:pt idx="2617">
                  <c:v>41225</c:v>
                </c:pt>
                <c:pt idx="2618">
                  <c:v>41222</c:v>
                </c:pt>
                <c:pt idx="2619">
                  <c:v>41221</c:v>
                </c:pt>
                <c:pt idx="2620">
                  <c:v>41220</c:v>
                </c:pt>
                <c:pt idx="2621">
                  <c:v>41219</c:v>
                </c:pt>
                <c:pt idx="2622">
                  <c:v>41218</c:v>
                </c:pt>
                <c:pt idx="2623">
                  <c:v>41215</c:v>
                </c:pt>
                <c:pt idx="2624">
                  <c:v>41214</c:v>
                </c:pt>
                <c:pt idx="2625">
                  <c:v>41213</c:v>
                </c:pt>
                <c:pt idx="2626">
                  <c:v>41212</c:v>
                </c:pt>
                <c:pt idx="2627">
                  <c:v>41211</c:v>
                </c:pt>
                <c:pt idx="2628">
                  <c:v>41208</c:v>
                </c:pt>
                <c:pt idx="2629">
                  <c:v>41207</c:v>
                </c:pt>
                <c:pt idx="2630">
                  <c:v>41206</c:v>
                </c:pt>
                <c:pt idx="2631">
                  <c:v>41205</c:v>
                </c:pt>
                <c:pt idx="2632">
                  <c:v>41204</c:v>
                </c:pt>
                <c:pt idx="2633">
                  <c:v>41201</c:v>
                </c:pt>
                <c:pt idx="2634">
                  <c:v>41200</c:v>
                </c:pt>
                <c:pt idx="2635">
                  <c:v>41199</c:v>
                </c:pt>
                <c:pt idx="2636">
                  <c:v>41198</c:v>
                </c:pt>
                <c:pt idx="2637">
                  <c:v>41197</c:v>
                </c:pt>
                <c:pt idx="2638">
                  <c:v>41194</c:v>
                </c:pt>
                <c:pt idx="2639">
                  <c:v>41193</c:v>
                </c:pt>
                <c:pt idx="2640">
                  <c:v>41192</c:v>
                </c:pt>
                <c:pt idx="2641">
                  <c:v>41191</c:v>
                </c:pt>
                <c:pt idx="2642">
                  <c:v>41190</c:v>
                </c:pt>
                <c:pt idx="2643">
                  <c:v>41187</c:v>
                </c:pt>
                <c:pt idx="2644">
                  <c:v>41186</c:v>
                </c:pt>
                <c:pt idx="2645">
                  <c:v>41185</c:v>
                </c:pt>
                <c:pt idx="2646">
                  <c:v>41184</c:v>
                </c:pt>
                <c:pt idx="2647">
                  <c:v>41183</c:v>
                </c:pt>
                <c:pt idx="2648">
                  <c:v>41180</c:v>
                </c:pt>
                <c:pt idx="2649">
                  <c:v>41179</c:v>
                </c:pt>
                <c:pt idx="2650">
                  <c:v>41178</c:v>
                </c:pt>
                <c:pt idx="2651">
                  <c:v>41177</c:v>
                </c:pt>
                <c:pt idx="2652">
                  <c:v>41176</c:v>
                </c:pt>
                <c:pt idx="2653">
                  <c:v>41173</c:v>
                </c:pt>
                <c:pt idx="2654">
                  <c:v>41172</c:v>
                </c:pt>
                <c:pt idx="2655">
                  <c:v>41171</c:v>
                </c:pt>
                <c:pt idx="2656">
                  <c:v>41170</c:v>
                </c:pt>
                <c:pt idx="2657">
                  <c:v>41169</c:v>
                </c:pt>
                <c:pt idx="2658">
                  <c:v>41166</c:v>
                </c:pt>
                <c:pt idx="2659">
                  <c:v>41165</c:v>
                </c:pt>
                <c:pt idx="2660">
                  <c:v>41164</c:v>
                </c:pt>
                <c:pt idx="2661">
                  <c:v>41163</c:v>
                </c:pt>
                <c:pt idx="2662">
                  <c:v>41162</c:v>
                </c:pt>
                <c:pt idx="2663">
                  <c:v>41159</c:v>
                </c:pt>
                <c:pt idx="2664">
                  <c:v>41158</c:v>
                </c:pt>
                <c:pt idx="2665">
                  <c:v>41157</c:v>
                </c:pt>
                <c:pt idx="2666">
                  <c:v>41156</c:v>
                </c:pt>
                <c:pt idx="2667">
                  <c:v>41155</c:v>
                </c:pt>
                <c:pt idx="2668">
                  <c:v>41152</c:v>
                </c:pt>
                <c:pt idx="2669">
                  <c:v>41151</c:v>
                </c:pt>
                <c:pt idx="2670">
                  <c:v>41150</c:v>
                </c:pt>
                <c:pt idx="2671">
                  <c:v>41149</c:v>
                </c:pt>
                <c:pt idx="2672">
                  <c:v>41148</c:v>
                </c:pt>
                <c:pt idx="2673">
                  <c:v>41145</c:v>
                </c:pt>
                <c:pt idx="2674">
                  <c:v>41144</c:v>
                </c:pt>
                <c:pt idx="2675">
                  <c:v>41143</c:v>
                </c:pt>
                <c:pt idx="2676">
                  <c:v>41142</c:v>
                </c:pt>
                <c:pt idx="2677">
                  <c:v>41141</c:v>
                </c:pt>
                <c:pt idx="2678">
                  <c:v>41138</c:v>
                </c:pt>
                <c:pt idx="2679">
                  <c:v>41137</c:v>
                </c:pt>
                <c:pt idx="2680">
                  <c:v>41136</c:v>
                </c:pt>
                <c:pt idx="2681">
                  <c:v>41135</c:v>
                </c:pt>
                <c:pt idx="2682">
                  <c:v>41134</c:v>
                </c:pt>
                <c:pt idx="2683">
                  <c:v>41131</c:v>
                </c:pt>
                <c:pt idx="2684">
                  <c:v>41130</c:v>
                </c:pt>
                <c:pt idx="2685">
                  <c:v>41129</c:v>
                </c:pt>
                <c:pt idx="2686">
                  <c:v>41128</c:v>
                </c:pt>
                <c:pt idx="2687">
                  <c:v>41127</c:v>
                </c:pt>
                <c:pt idx="2688">
                  <c:v>41124</c:v>
                </c:pt>
                <c:pt idx="2689">
                  <c:v>41123</c:v>
                </c:pt>
                <c:pt idx="2690">
                  <c:v>41122</c:v>
                </c:pt>
                <c:pt idx="2691">
                  <c:v>41121</c:v>
                </c:pt>
                <c:pt idx="2692">
                  <c:v>41120</c:v>
                </c:pt>
                <c:pt idx="2693">
                  <c:v>41117</c:v>
                </c:pt>
                <c:pt idx="2694">
                  <c:v>41116</c:v>
                </c:pt>
                <c:pt idx="2695">
                  <c:v>41115</c:v>
                </c:pt>
                <c:pt idx="2696">
                  <c:v>41114</c:v>
                </c:pt>
                <c:pt idx="2697">
                  <c:v>41113</c:v>
                </c:pt>
                <c:pt idx="2698">
                  <c:v>41110</c:v>
                </c:pt>
                <c:pt idx="2699">
                  <c:v>41109</c:v>
                </c:pt>
                <c:pt idx="2700">
                  <c:v>41108</c:v>
                </c:pt>
                <c:pt idx="2701">
                  <c:v>41107</c:v>
                </c:pt>
                <c:pt idx="2702">
                  <c:v>41106</c:v>
                </c:pt>
                <c:pt idx="2703">
                  <c:v>41103</c:v>
                </c:pt>
                <c:pt idx="2704">
                  <c:v>41102</c:v>
                </c:pt>
                <c:pt idx="2705">
                  <c:v>41101</c:v>
                </c:pt>
                <c:pt idx="2706">
                  <c:v>41100</c:v>
                </c:pt>
                <c:pt idx="2707">
                  <c:v>41099</c:v>
                </c:pt>
                <c:pt idx="2708">
                  <c:v>41096</c:v>
                </c:pt>
                <c:pt idx="2709">
                  <c:v>41095</c:v>
                </c:pt>
                <c:pt idx="2710">
                  <c:v>41094</c:v>
                </c:pt>
                <c:pt idx="2711">
                  <c:v>41093</c:v>
                </c:pt>
                <c:pt idx="2712">
                  <c:v>41092</c:v>
                </c:pt>
                <c:pt idx="2713">
                  <c:v>41089</c:v>
                </c:pt>
                <c:pt idx="2714">
                  <c:v>41088</c:v>
                </c:pt>
                <c:pt idx="2715">
                  <c:v>41087</c:v>
                </c:pt>
                <c:pt idx="2716">
                  <c:v>41086</c:v>
                </c:pt>
                <c:pt idx="2717">
                  <c:v>41085</c:v>
                </c:pt>
                <c:pt idx="2718">
                  <c:v>41082</c:v>
                </c:pt>
                <c:pt idx="2719">
                  <c:v>41081</c:v>
                </c:pt>
                <c:pt idx="2720">
                  <c:v>41080</c:v>
                </c:pt>
                <c:pt idx="2721">
                  <c:v>41079</c:v>
                </c:pt>
                <c:pt idx="2722">
                  <c:v>41078</c:v>
                </c:pt>
                <c:pt idx="2723">
                  <c:v>41075</c:v>
                </c:pt>
                <c:pt idx="2724">
                  <c:v>41074</c:v>
                </c:pt>
                <c:pt idx="2725">
                  <c:v>41073</c:v>
                </c:pt>
                <c:pt idx="2726">
                  <c:v>41072</c:v>
                </c:pt>
                <c:pt idx="2727">
                  <c:v>41071</c:v>
                </c:pt>
                <c:pt idx="2728">
                  <c:v>41068</c:v>
                </c:pt>
                <c:pt idx="2729">
                  <c:v>41067</c:v>
                </c:pt>
                <c:pt idx="2730">
                  <c:v>41066</c:v>
                </c:pt>
                <c:pt idx="2731">
                  <c:v>41065</c:v>
                </c:pt>
                <c:pt idx="2732">
                  <c:v>41064</c:v>
                </c:pt>
                <c:pt idx="2733">
                  <c:v>41061</c:v>
                </c:pt>
                <c:pt idx="2734">
                  <c:v>41060</c:v>
                </c:pt>
                <c:pt idx="2735">
                  <c:v>41059</c:v>
                </c:pt>
                <c:pt idx="2736">
                  <c:v>41058</c:v>
                </c:pt>
                <c:pt idx="2737">
                  <c:v>41057</c:v>
                </c:pt>
                <c:pt idx="2738">
                  <c:v>41054</c:v>
                </c:pt>
                <c:pt idx="2739">
                  <c:v>41053</c:v>
                </c:pt>
                <c:pt idx="2740">
                  <c:v>41052</c:v>
                </c:pt>
                <c:pt idx="2741">
                  <c:v>41051</c:v>
                </c:pt>
                <c:pt idx="2742">
                  <c:v>41050</c:v>
                </c:pt>
                <c:pt idx="2743">
                  <c:v>41047</c:v>
                </c:pt>
                <c:pt idx="2744">
                  <c:v>41046</c:v>
                </c:pt>
                <c:pt idx="2745">
                  <c:v>41045</c:v>
                </c:pt>
                <c:pt idx="2746">
                  <c:v>41044</c:v>
                </c:pt>
                <c:pt idx="2747">
                  <c:v>41043</c:v>
                </c:pt>
                <c:pt idx="2748">
                  <c:v>41040</c:v>
                </c:pt>
                <c:pt idx="2749">
                  <c:v>41039</c:v>
                </c:pt>
                <c:pt idx="2750">
                  <c:v>41038</c:v>
                </c:pt>
                <c:pt idx="2751">
                  <c:v>41037</c:v>
                </c:pt>
                <c:pt idx="2752">
                  <c:v>41036</c:v>
                </c:pt>
                <c:pt idx="2753">
                  <c:v>41033</c:v>
                </c:pt>
                <c:pt idx="2754">
                  <c:v>41032</c:v>
                </c:pt>
                <c:pt idx="2755">
                  <c:v>41031</c:v>
                </c:pt>
                <c:pt idx="2756">
                  <c:v>41030</c:v>
                </c:pt>
                <c:pt idx="2757">
                  <c:v>41029</c:v>
                </c:pt>
                <c:pt idx="2758">
                  <c:v>41026</c:v>
                </c:pt>
                <c:pt idx="2759">
                  <c:v>41025</c:v>
                </c:pt>
                <c:pt idx="2760">
                  <c:v>41024</c:v>
                </c:pt>
                <c:pt idx="2761">
                  <c:v>41023</c:v>
                </c:pt>
                <c:pt idx="2762">
                  <c:v>41022</c:v>
                </c:pt>
                <c:pt idx="2763">
                  <c:v>41019</c:v>
                </c:pt>
                <c:pt idx="2764">
                  <c:v>41018</c:v>
                </c:pt>
                <c:pt idx="2765">
                  <c:v>41017</c:v>
                </c:pt>
                <c:pt idx="2766">
                  <c:v>41016</c:v>
                </c:pt>
                <c:pt idx="2767">
                  <c:v>41015</c:v>
                </c:pt>
                <c:pt idx="2768">
                  <c:v>41012</c:v>
                </c:pt>
                <c:pt idx="2769">
                  <c:v>41011</c:v>
                </c:pt>
                <c:pt idx="2770">
                  <c:v>41010</c:v>
                </c:pt>
                <c:pt idx="2771">
                  <c:v>41009</c:v>
                </c:pt>
                <c:pt idx="2772">
                  <c:v>41008</c:v>
                </c:pt>
                <c:pt idx="2773">
                  <c:v>41004</c:v>
                </c:pt>
                <c:pt idx="2774">
                  <c:v>41003</c:v>
                </c:pt>
                <c:pt idx="2775">
                  <c:v>41002</c:v>
                </c:pt>
                <c:pt idx="2776">
                  <c:v>41001</c:v>
                </c:pt>
                <c:pt idx="2777">
                  <c:v>40998</c:v>
                </c:pt>
                <c:pt idx="2778">
                  <c:v>40997</c:v>
                </c:pt>
                <c:pt idx="2779">
                  <c:v>40996</c:v>
                </c:pt>
                <c:pt idx="2780">
                  <c:v>40995</c:v>
                </c:pt>
                <c:pt idx="2781">
                  <c:v>40994</c:v>
                </c:pt>
                <c:pt idx="2782">
                  <c:v>40991</c:v>
                </c:pt>
                <c:pt idx="2783">
                  <c:v>40990</c:v>
                </c:pt>
                <c:pt idx="2784">
                  <c:v>40989</c:v>
                </c:pt>
                <c:pt idx="2785">
                  <c:v>40988</c:v>
                </c:pt>
                <c:pt idx="2786">
                  <c:v>40987</c:v>
                </c:pt>
                <c:pt idx="2787">
                  <c:v>40984</c:v>
                </c:pt>
                <c:pt idx="2788">
                  <c:v>40983</c:v>
                </c:pt>
                <c:pt idx="2789">
                  <c:v>40982</c:v>
                </c:pt>
                <c:pt idx="2790">
                  <c:v>40981</c:v>
                </c:pt>
                <c:pt idx="2791">
                  <c:v>40980</c:v>
                </c:pt>
                <c:pt idx="2792">
                  <c:v>40977</c:v>
                </c:pt>
                <c:pt idx="2793">
                  <c:v>40976</c:v>
                </c:pt>
                <c:pt idx="2794">
                  <c:v>40975</c:v>
                </c:pt>
                <c:pt idx="2795">
                  <c:v>40974</c:v>
                </c:pt>
                <c:pt idx="2796">
                  <c:v>40973</c:v>
                </c:pt>
                <c:pt idx="2797">
                  <c:v>40970</c:v>
                </c:pt>
                <c:pt idx="2798">
                  <c:v>40969</c:v>
                </c:pt>
                <c:pt idx="2799">
                  <c:v>40968</c:v>
                </c:pt>
                <c:pt idx="2800">
                  <c:v>40967</c:v>
                </c:pt>
                <c:pt idx="2801">
                  <c:v>40966</c:v>
                </c:pt>
                <c:pt idx="2802">
                  <c:v>40963</c:v>
                </c:pt>
                <c:pt idx="2803">
                  <c:v>40962</c:v>
                </c:pt>
                <c:pt idx="2804">
                  <c:v>40961</c:v>
                </c:pt>
                <c:pt idx="2805">
                  <c:v>40960</c:v>
                </c:pt>
                <c:pt idx="2806">
                  <c:v>40959</c:v>
                </c:pt>
                <c:pt idx="2807">
                  <c:v>40956</c:v>
                </c:pt>
                <c:pt idx="2808">
                  <c:v>40955</c:v>
                </c:pt>
                <c:pt idx="2809">
                  <c:v>40954</c:v>
                </c:pt>
                <c:pt idx="2810">
                  <c:v>40953</c:v>
                </c:pt>
                <c:pt idx="2811">
                  <c:v>40952</c:v>
                </c:pt>
                <c:pt idx="2812">
                  <c:v>40949</c:v>
                </c:pt>
                <c:pt idx="2813">
                  <c:v>40948</c:v>
                </c:pt>
                <c:pt idx="2814">
                  <c:v>40947</c:v>
                </c:pt>
                <c:pt idx="2815">
                  <c:v>40946</c:v>
                </c:pt>
                <c:pt idx="2816">
                  <c:v>40945</c:v>
                </c:pt>
                <c:pt idx="2817">
                  <c:v>40942</c:v>
                </c:pt>
                <c:pt idx="2818">
                  <c:v>40941</c:v>
                </c:pt>
                <c:pt idx="2819">
                  <c:v>40940</c:v>
                </c:pt>
                <c:pt idx="2820">
                  <c:v>40939</c:v>
                </c:pt>
                <c:pt idx="2821">
                  <c:v>40938</c:v>
                </c:pt>
                <c:pt idx="2822">
                  <c:v>40935</c:v>
                </c:pt>
                <c:pt idx="2823">
                  <c:v>40934</c:v>
                </c:pt>
                <c:pt idx="2824">
                  <c:v>40933</c:v>
                </c:pt>
                <c:pt idx="2825">
                  <c:v>40932</c:v>
                </c:pt>
                <c:pt idx="2826">
                  <c:v>40931</c:v>
                </c:pt>
                <c:pt idx="2827">
                  <c:v>40928</c:v>
                </c:pt>
                <c:pt idx="2828">
                  <c:v>40927</c:v>
                </c:pt>
                <c:pt idx="2829">
                  <c:v>40926</c:v>
                </c:pt>
                <c:pt idx="2830">
                  <c:v>40925</c:v>
                </c:pt>
                <c:pt idx="2831">
                  <c:v>40924</c:v>
                </c:pt>
                <c:pt idx="2832">
                  <c:v>40921</c:v>
                </c:pt>
                <c:pt idx="2833">
                  <c:v>40920</c:v>
                </c:pt>
                <c:pt idx="2834">
                  <c:v>40919</c:v>
                </c:pt>
                <c:pt idx="2835">
                  <c:v>40918</c:v>
                </c:pt>
                <c:pt idx="2836">
                  <c:v>40917</c:v>
                </c:pt>
                <c:pt idx="2837">
                  <c:v>40914</c:v>
                </c:pt>
                <c:pt idx="2838">
                  <c:v>40913</c:v>
                </c:pt>
                <c:pt idx="2839">
                  <c:v>40912</c:v>
                </c:pt>
                <c:pt idx="2840">
                  <c:v>40911</c:v>
                </c:pt>
                <c:pt idx="2841">
                  <c:v>40910</c:v>
                </c:pt>
                <c:pt idx="2842">
                  <c:v>40907</c:v>
                </c:pt>
                <c:pt idx="2843">
                  <c:v>40906</c:v>
                </c:pt>
                <c:pt idx="2844">
                  <c:v>40905</c:v>
                </c:pt>
                <c:pt idx="2845">
                  <c:v>40904</c:v>
                </c:pt>
                <c:pt idx="2846">
                  <c:v>40903</c:v>
                </c:pt>
                <c:pt idx="2847">
                  <c:v>40900</c:v>
                </c:pt>
                <c:pt idx="2848">
                  <c:v>40899</c:v>
                </c:pt>
                <c:pt idx="2849">
                  <c:v>40898</c:v>
                </c:pt>
                <c:pt idx="2850">
                  <c:v>40897</c:v>
                </c:pt>
                <c:pt idx="2851">
                  <c:v>40896</c:v>
                </c:pt>
                <c:pt idx="2852">
                  <c:v>40893</c:v>
                </c:pt>
                <c:pt idx="2853">
                  <c:v>40892</c:v>
                </c:pt>
                <c:pt idx="2854">
                  <c:v>40891</c:v>
                </c:pt>
                <c:pt idx="2855">
                  <c:v>40890</c:v>
                </c:pt>
                <c:pt idx="2856">
                  <c:v>40889</c:v>
                </c:pt>
                <c:pt idx="2857">
                  <c:v>40886</c:v>
                </c:pt>
                <c:pt idx="2858">
                  <c:v>40885</c:v>
                </c:pt>
                <c:pt idx="2859">
                  <c:v>40884</c:v>
                </c:pt>
                <c:pt idx="2860">
                  <c:v>40883</c:v>
                </c:pt>
                <c:pt idx="2861">
                  <c:v>40882</c:v>
                </c:pt>
                <c:pt idx="2862">
                  <c:v>40879</c:v>
                </c:pt>
                <c:pt idx="2863">
                  <c:v>40878</c:v>
                </c:pt>
                <c:pt idx="2864">
                  <c:v>40877</c:v>
                </c:pt>
                <c:pt idx="2865">
                  <c:v>40876</c:v>
                </c:pt>
                <c:pt idx="2866">
                  <c:v>40875</c:v>
                </c:pt>
                <c:pt idx="2867">
                  <c:v>40872</c:v>
                </c:pt>
                <c:pt idx="2868">
                  <c:v>40871</c:v>
                </c:pt>
                <c:pt idx="2869">
                  <c:v>40870</c:v>
                </c:pt>
                <c:pt idx="2870">
                  <c:v>40869</c:v>
                </c:pt>
                <c:pt idx="2871">
                  <c:v>40868</c:v>
                </c:pt>
                <c:pt idx="2872">
                  <c:v>40865</c:v>
                </c:pt>
                <c:pt idx="2873">
                  <c:v>40864</c:v>
                </c:pt>
                <c:pt idx="2874">
                  <c:v>40863</c:v>
                </c:pt>
                <c:pt idx="2875">
                  <c:v>40862</c:v>
                </c:pt>
                <c:pt idx="2876">
                  <c:v>40861</c:v>
                </c:pt>
                <c:pt idx="2877">
                  <c:v>40858</c:v>
                </c:pt>
                <c:pt idx="2878">
                  <c:v>40857</c:v>
                </c:pt>
                <c:pt idx="2879">
                  <c:v>40856</c:v>
                </c:pt>
                <c:pt idx="2880">
                  <c:v>40855</c:v>
                </c:pt>
                <c:pt idx="2881">
                  <c:v>40854</c:v>
                </c:pt>
                <c:pt idx="2882">
                  <c:v>40851</c:v>
                </c:pt>
                <c:pt idx="2883">
                  <c:v>40850</c:v>
                </c:pt>
                <c:pt idx="2884">
                  <c:v>40849</c:v>
                </c:pt>
                <c:pt idx="2885">
                  <c:v>40848</c:v>
                </c:pt>
                <c:pt idx="2886">
                  <c:v>40847</c:v>
                </c:pt>
                <c:pt idx="2887">
                  <c:v>40844</c:v>
                </c:pt>
                <c:pt idx="2888">
                  <c:v>40843</c:v>
                </c:pt>
                <c:pt idx="2889">
                  <c:v>40842</c:v>
                </c:pt>
                <c:pt idx="2890">
                  <c:v>40841</c:v>
                </c:pt>
                <c:pt idx="2891">
                  <c:v>40840</c:v>
                </c:pt>
                <c:pt idx="2892">
                  <c:v>40837</c:v>
                </c:pt>
                <c:pt idx="2893">
                  <c:v>40836</c:v>
                </c:pt>
                <c:pt idx="2894">
                  <c:v>40835</c:v>
                </c:pt>
                <c:pt idx="2895">
                  <c:v>40834</c:v>
                </c:pt>
                <c:pt idx="2896">
                  <c:v>40833</c:v>
                </c:pt>
                <c:pt idx="2897">
                  <c:v>40830</c:v>
                </c:pt>
                <c:pt idx="2898">
                  <c:v>40829</c:v>
                </c:pt>
                <c:pt idx="2899">
                  <c:v>40828</c:v>
                </c:pt>
                <c:pt idx="2900">
                  <c:v>40827</c:v>
                </c:pt>
                <c:pt idx="2901">
                  <c:v>40826</c:v>
                </c:pt>
                <c:pt idx="2902">
                  <c:v>40823</c:v>
                </c:pt>
                <c:pt idx="2903">
                  <c:v>40822</c:v>
                </c:pt>
                <c:pt idx="2904">
                  <c:v>40821</c:v>
                </c:pt>
                <c:pt idx="2905">
                  <c:v>40820</c:v>
                </c:pt>
                <c:pt idx="2906">
                  <c:v>40819</c:v>
                </c:pt>
                <c:pt idx="2907">
                  <c:v>40816</c:v>
                </c:pt>
                <c:pt idx="2908">
                  <c:v>40815</c:v>
                </c:pt>
                <c:pt idx="2909">
                  <c:v>40814</c:v>
                </c:pt>
                <c:pt idx="2910">
                  <c:v>40813</c:v>
                </c:pt>
                <c:pt idx="2911">
                  <c:v>40812</c:v>
                </c:pt>
                <c:pt idx="2912">
                  <c:v>40809</c:v>
                </c:pt>
                <c:pt idx="2913">
                  <c:v>40808</c:v>
                </c:pt>
                <c:pt idx="2914">
                  <c:v>40807</c:v>
                </c:pt>
                <c:pt idx="2915">
                  <c:v>40806</c:v>
                </c:pt>
                <c:pt idx="2916">
                  <c:v>40805</c:v>
                </c:pt>
                <c:pt idx="2917">
                  <c:v>40802</c:v>
                </c:pt>
                <c:pt idx="2918">
                  <c:v>40801</c:v>
                </c:pt>
                <c:pt idx="2919">
                  <c:v>40800</c:v>
                </c:pt>
                <c:pt idx="2920">
                  <c:v>40799</c:v>
                </c:pt>
                <c:pt idx="2921">
                  <c:v>40798</c:v>
                </c:pt>
                <c:pt idx="2922">
                  <c:v>40795</c:v>
                </c:pt>
                <c:pt idx="2923">
                  <c:v>40794</c:v>
                </c:pt>
                <c:pt idx="2924">
                  <c:v>40793</c:v>
                </c:pt>
                <c:pt idx="2925">
                  <c:v>40792</c:v>
                </c:pt>
                <c:pt idx="2926">
                  <c:v>40791</c:v>
                </c:pt>
                <c:pt idx="2927">
                  <c:v>40788</c:v>
                </c:pt>
                <c:pt idx="2928">
                  <c:v>40787</c:v>
                </c:pt>
                <c:pt idx="2929">
                  <c:v>40786</c:v>
                </c:pt>
                <c:pt idx="2930">
                  <c:v>40785</c:v>
                </c:pt>
                <c:pt idx="2931">
                  <c:v>40784</c:v>
                </c:pt>
                <c:pt idx="2932">
                  <c:v>40781</c:v>
                </c:pt>
                <c:pt idx="2933">
                  <c:v>40780</c:v>
                </c:pt>
                <c:pt idx="2934">
                  <c:v>40779</c:v>
                </c:pt>
                <c:pt idx="2935">
                  <c:v>40778</c:v>
                </c:pt>
                <c:pt idx="2936">
                  <c:v>40777</c:v>
                </c:pt>
                <c:pt idx="2937">
                  <c:v>40774</c:v>
                </c:pt>
                <c:pt idx="2938">
                  <c:v>40773</c:v>
                </c:pt>
                <c:pt idx="2939">
                  <c:v>40772</c:v>
                </c:pt>
                <c:pt idx="2940">
                  <c:v>40771</c:v>
                </c:pt>
                <c:pt idx="2941">
                  <c:v>40770</c:v>
                </c:pt>
                <c:pt idx="2942">
                  <c:v>40767</c:v>
                </c:pt>
                <c:pt idx="2943">
                  <c:v>40766</c:v>
                </c:pt>
                <c:pt idx="2944">
                  <c:v>40765</c:v>
                </c:pt>
                <c:pt idx="2945">
                  <c:v>40764</c:v>
                </c:pt>
                <c:pt idx="2946">
                  <c:v>40763</c:v>
                </c:pt>
                <c:pt idx="2947">
                  <c:v>40760</c:v>
                </c:pt>
                <c:pt idx="2948">
                  <c:v>40759</c:v>
                </c:pt>
                <c:pt idx="2949">
                  <c:v>40758</c:v>
                </c:pt>
                <c:pt idx="2950">
                  <c:v>40757</c:v>
                </c:pt>
                <c:pt idx="2951">
                  <c:v>40756</c:v>
                </c:pt>
                <c:pt idx="2952">
                  <c:v>40753</c:v>
                </c:pt>
                <c:pt idx="2953">
                  <c:v>40752</c:v>
                </c:pt>
                <c:pt idx="2954">
                  <c:v>40751</c:v>
                </c:pt>
                <c:pt idx="2955">
                  <c:v>40750</c:v>
                </c:pt>
                <c:pt idx="2956">
                  <c:v>40749</c:v>
                </c:pt>
                <c:pt idx="2957">
                  <c:v>40746</c:v>
                </c:pt>
                <c:pt idx="2958">
                  <c:v>40745</c:v>
                </c:pt>
                <c:pt idx="2959">
                  <c:v>40744</c:v>
                </c:pt>
                <c:pt idx="2960">
                  <c:v>40743</c:v>
                </c:pt>
                <c:pt idx="2961">
                  <c:v>40742</c:v>
                </c:pt>
                <c:pt idx="2962">
                  <c:v>40739</c:v>
                </c:pt>
                <c:pt idx="2963">
                  <c:v>40738</c:v>
                </c:pt>
                <c:pt idx="2964">
                  <c:v>40737</c:v>
                </c:pt>
                <c:pt idx="2965">
                  <c:v>40736</c:v>
                </c:pt>
                <c:pt idx="2966">
                  <c:v>40735</c:v>
                </c:pt>
                <c:pt idx="2967">
                  <c:v>40732</c:v>
                </c:pt>
                <c:pt idx="2968">
                  <c:v>40731</c:v>
                </c:pt>
                <c:pt idx="2969">
                  <c:v>40730</c:v>
                </c:pt>
                <c:pt idx="2970">
                  <c:v>40729</c:v>
                </c:pt>
                <c:pt idx="2971">
                  <c:v>40728</c:v>
                </c:pt>
                <c:pt idx="2972">
                  <c:v>40725</c:v>
                </c:pt>
                <c:pt idx="2973">
                  <c:v>40724</c:v>
                </c:pt>
                <c:pt idx="2974">
                  <c:v>40723</c:v>
                </c:pt>
                <c:pt idx="2975">
                  <c:v>40722</c:v>
                </c:pt>
                <c:pt idx="2976">
                  <c:v>40721</c:v>
                </c:pt>
                <c:pt idx="2977">
                  <c:v>40718</c:v>
                </c:pt>
                <c:pt idx="2978">
                  <c:v>40717</c:v>
                </c:pt>
                <c:pt idx="2979">
                  <c:v>40716</c:v>
                </c:pt>
                <c:pt idx="2980">
                  <c:v>40715</c:v>
                </c:pt>
                <c:pt idx="2981">
                  <c:v>40714</c:v>
                </c:pt>
                <c:pt idx="2982">
                  <c:v>40711</c:v>
                </c:pt>
                <c:pt idx="2983">
                  <c:v>40710</c:v>
                </c:pt>
                <c:pt idx="2984">
                  <c:v>40709</c:v>
                </c:pt>
                <c:pt idx="2985">
                  <c:v>40708</c:v>
                </c:pt>
                <c:pt idx="2986">
                  <c:v>40707</c:v>
                </c:pt>
                <c:pt idx="2987">
                  <c:v>40704</c:v>
                </c:pt>
                <c:pt idx="2988">
                  <c:v>40703</c:v>
                </c:pt>
                <c:pt idx="2989">
                  <c:v>40702</c:v>
                </c:pt>
                <c:pt idx="2990">
                  <c:v>40701</c:v>
                </c:pt>
                <c:pt idx="2991">
                  <c:v>40700</c:v>
                </c:pt>
                <c:pt idx="2992">
                  <c:v>40697</c:v>
                </c:pt>
                <c:pt idx="2993">
                  <c:v>40696</c:v>
                </c:pt>
                <c:pt idx="2994">
                  <c:v>40695</c:v>
                </c:pt>
                <c:pt idx="2995">
                  <c:v>40694</c:v>
                </c:pt>
                <c:pt idx="2996">
                  <c:v>40693</c:v>
                </c:pt>
                <c:pt idx="2997">
                  <c:v>40690</c:v>
                </c:pt>
                <c:pt idx="2998">
                  <c:v>40689</c:v>
                </c:pt>
                <c:pt idx="2999">
                  <c:v>40688</c:v>
                </c:pt>
                <c:pt idx="3000">
                  <c:v>40687</c:v>
                </c:pt>
                <c:pt idx="3001">
                  <c:v>40686</c:v>
                </c:pt>
                <c:pt idx="3002">
                  <c:v>40683</c:v>
                </c:pt>
                <c:pt idx="3003">
                  <c:v>40682</c:v>
                </c:pt>
                <c:pt idx="3004">
                  <c:v>40681</c:v>
                </c:pt>
                <c:pt idx="3005">
                  <c:v>40680</c:v>
                </c:pt>
                <c:pt idx="3006">
                  <c:v>40679</c:v>
                </c:pt>
                <c:pt idx="3007">
                  <c:v>40676</c:v>
                </c:pt>
                <c:pt idx="3008">
                  <c:v>40675</c:v>
                </c:pt>
                <c:pt idx="3009">
                  <c:v>40674</c:v>
                </c:pt>
                <c:pt idx="3010">
                  <c:v>40673</c:v>
                </c:pt>
                <c:pt idx="3011">
                  <c:v>40672</c:v>
                </c:pt>
                <c:pt idx="3012">
                  <c:v>40669</c:v>
                </c:pt>
                <c:pt idx="3013">
                  <c:v>40668</c:v>
                </c:pt>
                <c:pt idx="3014">
                  <c:v>40667</c:v>
                </c:pt>
                <c:pt idx="3015">
                  <c:v>40666</c:v>
                </c:pt>
                <c:pt idx="3016">
                  <c:v>40665</c:v>
                </c:pt>
                <c:pt idx="3017">
                  <c:v>40662</c:v>
                </c:pt>
                <c:pt idx="3018">
                  <c:v>40661</c:v>
                </c:pt>
                <c:pt idx="3019">
                  <c:v>40660</c:v>
                </c:pt>
                <c:pt idx="3020">
                  <c:v>40659</c:v>
                </c:pt>
                <c:pt idx="3021">
                  <c:v>40658</c:v>
                </c:pt>
                <c:pt idx="3022">
                  <c:v>40654</c:v>
                </c:pt>
                <c:pt idx="3023">
                  <c:v>40653</c:v>
                </c:pt>
                <c:pt idx="3024">
                  <c:v>40652</c:v>
                </c:pt>
                <c:pt idx="3025">
                  <c:v>40651</c:v>
                </c:pt>
                <c:pt idx="3026">
                  <c:v>40648</c:v>
                </c:pt>
                <c:pt idx="3027">
                  <c:v>40647</c:v>
                </c:pt>
                <c:pt idx="3028">
                  <c:v>40646</c:v>
                </c:pt>
                <c:pt idx="3029">
                  <c:v>40645</c:v>
                </c:pt>
                <c:pt idx="3030">
                  <c:v>40644</c:v>
                </c:pt>
                <c:pt idx="3031">
                  <c:v>40641</c:v>
                </c:pt>
                <c:pt idx="3032">
                  <c:v>40640</c:v>
                </c:pt>
                <c:pt idx="3033">
                  <c:v>40639</c:v>
                </c:pt>
                <c:pt idx="3034">
                  <c:v>40638</c:v>
                </c:pt>
                <c:pt idx="3035">
                  <c:v>40637</c:v>
                </c:pt>
                <c:pt idx="3036">
                  <c:v>40634</c:v>
                </c:pt>
                <c:pt idx="3037">
                  <c:v>40633</c:v>
                </c:pt>
                <c:pt idx="3038">
                  <c:v>40632</c:v>
                </c:pt>
                <c:pt idx="3039">
                  <c:v>40631</c:v>
                </c:pt>
                <c:pt idx="3040">
                  <c:v>40630</c:v>
                </c:pt>
                <c:pt idx="3041">
                  <c:v>40627</c:v>
                </c:pt>
                <c:pt idx="3042">
                  <c:v>40626</c:v>
                </c:pt>
                <c:pt idx="3043">
                  <c:v>40625</c:v>
                </c:pt>
                <c:pt idx="3044">
                  <c:v>40624</c:v>
                </c:pt>
                <c:pt idx="3045">
                  <c:v>40623</c:v>
                </c:pt>
                <c:pt idx="3046">
                  <c:v>40620</c:v>
                </c:pt>
                <c:pt idx="3047">
                  <c:v>40619</c:v>
                </c:pt>
                <c:pt idx="3048">
                  <c:v>40618</c:v>
                </c:pt>
                <c:pt idx="3049">
                  <c:v>40617</c:v>
                </c:pt>
                <c:pt idx="3050">
                  <c:v>40616</c:v>
                </c:pt>
                <c:pt idx="3051">
                  <c:v>40613</c:v>
                </c:pt>
                <c:pt idx="3052">
                  <c:v>40612</c:v>
                </c:pt>
                <c:pt idx="3053">
                  <c:v>40611</c:v>
                </c:pt>
                <c:pt idx="3054">
                  <c:v>40610</c:v>
                </c:pt>
                <c:pt idx="3055">
                  <c:v>40609</c:v>
                </c:pt>
                <c:pt idx="3056">
                  <c:v>40606</c:v>
                </c:pt>
                <c:pt idx="3057">
                  <c:v>40605</c:v>
                </c:pt>
                <c:pt idx="3058">
                  <c:v>40604</c:v>
                </c:pt>
                <c:pt idx="3059">
                  <c:v>40603</c:v>
                </c:pt>
                <c:pt idx="3060">
                  <c:v>40602</c:v>
                </c:pt>
                <c:pt idx="3061">
                  <c:v>40599</c:v>
                </c:pt>
                <c:pt idx="3062">
                  <c:v>40598</c:v>
                </c:pt>
                <c:pt idx="3063">
                  <c:v>40597</c:v>
                </c:pt>
                <c:pt idx="3064">
                  <c:v>40596</c:v>
                </c:pt>
                <c:pt idx="3065">
                  <c:v>40595</c:v>
                </c:pt>
                <c:pt idx="3066">
                  <c:v>40592</c:v>
                </c:pt>
                <c:pt idx="3067">
                  <c:v>40591</c:v>
                </c:pt>
                <c:pt idx="3068">
                  <c:v>40590</c:v>
                </c:pt>
                <c:pt idx="3069">
                  <c:v>40589</c:v>
                </c:pt>
                <c:pt idx="3070">
                  <c:v>40588</c:v>
                </c:pt>
                <c:pt idx="3071">
                  <c:v>40585</c:v>
                </c:pt>
                <c:pt idx="3072">
                  <c:v>40584</c:v>
                </c:pt>
                <c:pt idx="3073">
                  <c:v>40583</c:v>
                </c:pt>
                <c:pt idx="3074">
                  <c:v>40582</c:v>
                </c:pt>
                <c:pt idx="3075">
                  <c:v>40581</c:v>
                </c:pt>
                <c:pt idx="3076">
                  <c:v>40578</c:v>
                </c:pt>
                <c:pt idx="3077">
                  <c:v>40577</c:v>
                </c:pt>
                <c:pt idx="3078">
                  <c:v>40576</c:v>
                </c:pt>
                <c:pt idx="3079">
                  <c:v>40575</c:v>
                </c:pt>
                <c:pt idx="3080">
                  <c:v>40574</c:v>
                </c:pt>
                <c:pt idx="3081">
                  <c:v>40571</c:v>
                </c:pt>
                <c:pt idx="3082">
                  <c:v>40570</c:v>
                </c:pt>
                <c:pt idx="3083">
                  <c:v>40569</c:v>
                </c:pt>
                <c:pt idx="3084">
                  <c:v>40568</c:v>
                </c:pt>
                <c:pt idx="3085">
                  <c:v>40567</c:v>
                </c:pt>
                <c:pt idx="3086">
                  <c:v>40564</c:v>
                </c:pt>
                <c:pt idx="3087">
                  <c:v>40563</c:v>
                </c:pt>
                <c:pt idx="3088">
                  <c:v>40562</c:v>
                </c:pt>
                <c:pt idx="3089">
                  <c:v>40561</c:v>
                </c:pt>
                <c:pt idx="3090">
                  <c:v>40560</c:v>
                </c:pt>
                <c:pt idx="3091">
                  <c:v>40557</c:v>
                </c:pt>
                <c:pt idx="3092">
                  <c:v>40556</c:v>
                </c:pt>
                <c:pt idx="3093">
                  <c:v>40555</c:v>
                </c:pt>
                <c:pt idx="3094">
                  <c:v>40554</c:v>
                </c:pt>
                <c:pt idx="3095">
                  <c:v>40553</c:v>
                </c:pt>
                <c:pt idx="3096">
                  <c:v>40550</c:v>
                </c:pt>
                <c:pt idx="3097">
                  <c:v>40549</c:v>
                </c:pt>
                <c:pt idx="3098">
                  <c:v>40548</c:v>
                </c:pt>
                <c:pt idx="3099">
                  <c:v>40547</c:v>
                </c:pt>
                <c:pt idx="3100">
                  <c:v>40546</c:v>
                </c:pt>
              </c:numCache>
            </c:numRef>
          </c:cat>
          <c:val>
            <c:numRef>
              <c:f>'EMBI+'!$B$2:$B$3102</c:f>
              <c:numCache>
                <c:formatCode>General</c:formatCode>
                <c:ptCount val="3101"/>
                <c:pt idx="0">
                  <c:v>257</c:v>
                </c:pt>
                <c:pt idx="1">
                  <c:v>256</c:v>
                </c:pt>
                <c:pt idx="2">
                  <c:v>260</c:v>
                </c:pt>
                <c:pt idx="3">
                  <c:v>255</c:v>
                </c:pt>
                <c:pt idx="4">
                  <c:v>258</c:v>
                </c:pt>
                <c:pt idx="5">
                  <c:v>263</c:v>
                </c:pt>
                <c:pt idx="6">
                  <c:v>265</c:v>
                </c:pt>
                <c:pt idx="7">
                  <c:v>267</c:v>
                </c:pt>
                <c:pt idx="8">
                  <c:v>275</c:v>
                </c:pt>
                <c:pt idx="9">
                  <c:v>276</c:v>
                </c:pt>
                <c:pt idx="10">
                  <c:v>274</c:v>
                </c:pt>
                <c:pt idx="11">
                  <c:v>267</c:v>
                </c:pt>
                <c:pt idx="12">
                  <c:v>260</c:v>
                </c:pt>
                <c:pt idx="13">
                  <c:v>251</c:v>
                </c:pt>
                <c:pt idx="14">
                  <c:v>254</c:v>
                </c:pt>
                <c:pt idx="15">
                  <c:v>244</c:v>
                </c:pt>
                <c:pt idx="16">
                  <c:v>252</c:v>
                </c:pt>
                <c:pt idx="17">
                  <c:v>260</c:v>
                </c:pt>
                <c:pt idx="18">
                  <c:v>256</c:v>
                </c:pt>
                <c:pt idx="19">
                  <c:v>244</c:v>
                </c:pt>
                <c:pt idx="20">
                  <c:v>248</c:v>
                </c:pt>
                <c:pt idx="21">
                  <c:v>253</c:v>
                </c:pt>
                <c:pt idx="22">
                  <c:v>251</c:v>
                </c:pt>
                <c:pt idx="23">
                  <c:v>251</c:v>
                </c:pt>
                <c:pt idx="24">
                  <c:v>270</c:v>
                </c:pt>
                <c:pt idx="25">
                  <c:v>270</c:v>
                </c:pt>
                <c:pt idx="26">
                  <c:v>269</c:v>
                </c:pt>
                <c:pt idx="27">
                  <c:v>265</c:v>
                </c:pt>
                <c:pt idx="28">
                  <c:v>268</c:v>
                </c:pt>
                <c:pt idx="29">
                  <c:v>271</c:v>
                </c:pt>
                <c:pt idx="30">
                  <c:v>278</c:v>
                </c:pt>
                <c:pt idx="31">
                  <c:v>270</c:v>
                </c:pt>
                <c:pt idx="32">
                  <c:v>265</c:v>
                </c:pt>
                <c:pt idx="33">
                  <c:v>277</c:v>
                </c:pt>
                <c:pt idx="34">
                  <c:v>286</c:v>
                </c:pt>
                <c:pt idx="35">
                  <c:v>279</c:v>
                </c:pt>
                <c:pt idx="36">
                  <c:v>264</c:v>
                </c:pt>
                <c:pt idx="37">
                  <c:v>252</c:v>
                </c:pt>
                <c:pt idx="38">
                  <c:v>259</c:v>
                </c:pt>
                <c:pt idx="39">
                  <c:v>263</c:v>
                </c:pt>
                <c:pt idx="40">
                  <c:v>260</c:v>
                </c:pt>
                <c:pt idx="41">
                  <c:v>261</c:v>
                </c:pt>
                <c:pt idx="42">
                  <c:v>255</c:v>
                </c:pt>
                <c:pt idx="43">
                  <c:v>272</c:v>
                </c:pt>
                <c:pt idx="44">
                  <c:v>259</c:v>
                </c:pt>
                <c:pt idx="45">
                  <c:v>253</c:v>
                </c:pt>
                <c:pt idx="46">
                  <c:v>246</c:v>
                </c:pt>
                <c:pt idx="47">
                  <c:v>246</c:v>
                </c:pt>
                <c:pt idx="48">
                  <c:v>255</c:v>
                </c:pt>
                <c:pt idx="49">
                  <c:v>264</c:v>
                </c:pt>
                <c:pt idx="50">
                  <c:v>276</c:v>
                </c:pt>
                <c:pt idx="51">
                  <c:v>278</c:v>
                </c:pt>
                <c:pt idx="52">
                  <c:v>283</c:v>
                </c:pt>
                <c:pt idx="53">
                  <c:v>288</c:v>
                </c:pt>
                <c:pt idx="54">
                  <c:v>291</c:v>
                </c:pt>
                <c:pt idx="55">
                  <c:v>288</c:v>
                </c:pt>
                <c:pt idx="56">
                  <c:v>282</c:v>
                </c:pt>
                <c:pt idx="57">
                  <c:v>276</c:v>
                </c:pt>
                <c:pt idx="58">
                  <c:v>271</c:v>
                </c:pt>
                <c:pt idx="59">
                  <c:v>272</c:v>
                </c:pt>
                <c:pt idx="60">
                  <c:v>266</c:v>
                </c:pt>
                <c:pt idx="61">
                  <c:v>280</c:v>
                </c:pt>
                <c:pt idx="62">
                  <c:v>288</c:v>
                </c:pt>
                <c:pt idx="63">
                  <c:v>301</c:v>
                </c:pt>
                <c:pt idx="64">
                  <c:v>299</c:v>
                </c:pt>
                <c:pt idx="65">
                  <c:v>297</c:v>
                </c:pt>
                <c:pt idx="66">
                  <c:v>292</c:v>
                </c:pt>
                <c:pt idx="67">
                  <c:v>278</c:v>
                </c:pt>
                <c:pt idx="68">
                  <c:v>266</c:v>
                </c:pt>
                <c:pt idx="69">
                  <c:v>270</c:v>
                </c:pt>
                <c:pt idx="70">
                  <c:v>270</c:v>
                </c:pt>
                <c:pt idx="71">
                  <c:v>266</c:v>
                </c:pt>
                <c:pt idx="72">
                  <c:v>269</c:v>
                </c:pt>
                <c:pt idx="73">
                  <c:v>261</c:v>
                </c:pt>
                <c:pt idx="74">
                  <c:v>263</c:v>
                </c:pt>
                <c:pt idx="75">
                  <c:v>259</c:v>
                </c:pt>
                <c:pt idx="76">
                  <c:v>255</c:v>
                </c:pt>
                <c:pt idx="77">
                  <c:v>259</c:v>
                </c:pt>
                <c:pt idx="78">
                  <c:v>264</c:v>
                </c:pt>
                <c:pt idx="79">
                  <c:v>273</c:v>
                </c:pt>
                <c:pt idx="80">
                  <c:v>274</c:v>
                </c:pt>
                <c:pt idx="81">
                  <c:v>281</c:v>
                </c:pt>
                <c:pt idx="82">
                  <c:v>281</c:v>
                </c:pt>
                <c:pt idx="83">
                  <c:v>281</c:v>
                </c:pt>
                <c:pt idx="84">
                  <c:v>285</c:v>
                </c:pt>
                <c:pt idx="85">
                  <c:v>293</c:v>
                </c:pt>
                <c:pt idx="86">
                  <c:v>297</c:v>
                </c:pt>
                <c:pt idx="87">
                  <c:v>291</c:v>
                </c:pt>
                <c:pt idx="88">
                  <c:v>288</c:v>
                </c:pt>
                <c:pt idx="89">
                  <c:v>288</c:v>
                </c:pt>
                <c:pt idx="90">
                  <c:v>299</c:v>
                </c:pt>
                <c:pt idx="91">
                  <c:v>303</c:v>
                </c:pt>
                <c:pt idx="92">
                  <c:v>297</c:v>
                </c:pt>
                <c:pt idx="93">
                  <c:v>292</c:v>
                </c:pt>
                <c:pt idx="94">
                  <c:v>295</c:v>
                </c:pt>
                <c:pt idx="95">
                  <c:v>291</c:v>
                </c:pt>
                <c:pt idx="96">
                  <c:v>286</c:v>
                </c:pt>
                <c:pt idx="97">
                  <c:v>285</c:v>
                </c:pt>
                <c:pt idx="98">
                  <c:v>282</c:v>
                </c:pt>
                <c:pt idx="99">
                  <c:v>290</c:v>
                </c:pt>
                <c:pt idx="100">
                  <c:v>305</c:v>
                </c:pt>
                <c:pt idx="101">
                  <c:v>294</c:v>
                </c:pt>
                <c:pt idx="102">
                  <c:v>297</c:v>
                </c:pt>
                <c:pt idx="103">
                  <c:v>300</c:v>
                </c:pt>
                <c:pt idx="104">
                  <c:v>311</c:v>
                </c:pt>
                <c:pt idx="105">
                  <c:v>307</c:v>
                </c:pt>
                <c:pt idx="106">
                  <c:v>312</c:v>
                </c:pt>
                <c:pt idx="107">
                  <c:v>305</c:v>
                </c:pt>
                <c:pt idx="108">
                  <c:v>317</c:v>
                </c:pt>
                <c:pt idx="109">
                  <c:v>329</c:v>
                </c:pt>
                <c:pt idx="110">
                  <c:v>334</c:v>
                </c:pt>
                <c:pt idx="111">
                  <c:v>332</c:v>
                </c:pt>
                <c:pt idx="112">
                  <c:v>339</c:v>
                </c:pt>
                <c:pt idx="113">
                  <c:v>337</c:v>
                </c:pt>
                <c:pt idx="114">
                  <c:v>331</c:v>
                </c:pt>
                <c:pt idx="115">
                  <c:v>345</c:v>
                </c:pt>
                <c:pt idx="116">
                  <c:v>364</c:v>
                </c:pt>
                <c:pt idx="117">
                  <c:v>376</c:v>
                </c:pt>
                <c:pt idx="118">
                  <c:v>376</c:v>
                </c:pt>
                <c:pt idx="119">
                  <c:v>367</c:v>
                </c:pt>
                <c:pt idx="120">
                  <c:v>359</c:v>
                </c:pt>
                <c:pt idx="121">
                  <c:v>349</c:v>
                </c:pt>
                <c:pt idx="122">
                  <c:v>352</c:v>
                </c:pt>
                <c:pt idx="123">
                  <c:v>357</c:v>
                </c:pt>
                <c:pt idx="124">
                  <c:v>369</c:v>
                </c:pt>
                <c:pt idx="125">
                  <c:v>362</c:v>
                </c:pt>
                <c:pt idx="126">
                  <c:v>362</c:v>
                </c:pt>
                <c:pt idx="127">
                  <c:v>364</c:v>
                </c:pt>
                <c:pt idx="128">
                  <c:v>365</c:v>
                </c:pt>
                <c:pt idx="129">
                  <c:v>356</c:v>
                </c:pt>
                <c:pt idx="130">
                  <c:v>340</c:v>
                </c:pt>
                <c:pt idx="131">
                  <c:v>343</c:v>
                </c:pt>
                <c:pt idx="132">
                  <c:v>347</c:v>
                </c:pt>
                <c:pt idx="133">
                  <c:v>347</c:v>
                </c:pt>
                <c:pt idx="134">
                  <c:v>342</c:v>
                </c:pt>
                <c:pt idx="135">
                  <c:v>346</c:v>
                </c:pt>
                <c:pt idx="136">
                  <c:v>346</c:v>
                </c:pt>
                <c:pt idx="137">
                  <c:v>348</c:v>
                </c:pt>
                <c:pt idx="138">
                  <c:v>336</c:v>
                </c:pt>
                <c:pt idx="139">
                  <c:v>338</c:v>
                </c:pt>
                <c:pt idx="140">
                  <c:v>338</c:v>
                </c:pt>
                <c:pt idx="141">
                  <c:v>325</c:v>
                </c:pt>
                <c:pt idx="142">
                  <c:v>318</c:v>
                </c:pt>
                <c:pt idx="143">
                  <c:v>312</c:v>
                </c:pt>
                <c:pt idx="144">
                  <c:v>311</c:v>
                </c:pt>
                <c:pt idx="145">
                  <c:v>307</c:v>
                </c:pt>
                <c:pt idx="146">
                  <c:v>309</c:v>
                </c:pt>
                <c:pt idx="147">
                  <c:v>305</c:v>
                </c:pt>
                <c:pt idx="148">
                  <c:v>302</c:v>
                </c:pt>
                <c:pt idx="149">
                  <c:v>300</c:v>
                </c:pt>
                <c:pt idx="150">
                  <c:v>305</c:v>
                </c:pt>
                <c:pt idx="151">
                  <c:v>305</c:v>
                </c:pt>
                <c:pt idx="152">
                  <c:v>310</c:v>
                </c:pt>
                <c:pt idx="153">
                  <c:v>316</c:v>
                </c:pt>
                <c:pt idx="154">
                  <c:v>330</c:v>
                </c:pt>
                <c:pt idx="155">
                  <c:v>325</c:v>
                </c:pt>
                <c:pt idx="156">
                  <c:v>332</c:v>
                </c:pt>
                <c:pt idx="157">
                  <c:v>326</c:v>
                </c:pt>
                <c:pt idx="158">
                  <c:v>328</c:v>
                </c:pt>
                <c:pt idx="159">
                  <c:v>315</c:v>
                </c:pt>
                <c:pt idx="160">
                  <c:v>319</c:v>
                </c:pt>
                <c:pt idx="161">
                  <c:v>314</c:v>
                </c:pt>
                <c:pt idx="162">
                  <c:v>318</c:v>
                </c:pt>
                <c:pt idx="163">
                  <c:v>316</c:v>
                </c:pt>
                <c:pt idx="164">
                  <c:v>315</c:v>
                </c:pt>
                <c:pt idx="165">
                  <c:v>323</c:v>
                </c:pt>
                <c:pt idx="166">
                  <c:v>301</c:v>
                </c:pt>
                <c:pt idx="167">
                  <c:v>299</c:v>
                </c:pt>
                <c:pt idx="168">
                  <c:v>300</c:v>
                </c:pt>
                <c:pt idx="169">
                  <c:v>302</c:v>
                </c:pt>
                <c:pt idx="170">
                  <c:v>310</c:v>
                </c:pt>
                <c:pt idx="171">
                  <c:v>306</c:v>
                </c:pt>
                <c:pt idx="172">
                  <c:v>303</c:v>
                </c:pt>
                <c:pt idx="173">
                  <c:v>297</c:v>
                </c:pt>
                <c:pt idx="174">
                  <c:v>298</c:v>
                </c:pt>
                <c:pt idx="175">
                  <c:v>295</c:v>
                </c:pt>
                <c:pt idx="176">
                  <c:v>293</c:v>
                </c:pt>
                <c:pt idx="177">
                  <c:v>288</c:v>
                </c:pt>
                <c:pt idx="178">
                  <c:v>283</c:v>
                </c:pt>
                <c:pt idx="179">
                  <c:v>283</c:v>
                </c:pt>
                <c:pt idx="180">
                  <c:v>284</c:v>
                </c:pt>
                <c:pt idx="181">
                  <c:v>284</c:v>
                </c:pt>
                <c:pt idx="182">
                  <c:v>296</c:v>
                </c:pt>
                <c:pt idx="183">
                  <c:v>301</c:v>
                </c:pt>
                <c:pt idx="184">
                  <c:v>300</c:v>
                </c:pt>
                <c:pt idx="185">
                  <c:v>294</c:v>
                </c:pt>
                <c:pt idx="186">
                  <c:v>291</c:v>
                </c:pt>
                <c:pt idx="187">
                  <c:v>292</c:v>
                </c:pt>
                <c:pt idx="188">
                  <c:v>283</c:v>
                </c:pt>
                <c:pt idx="189">
                  <c:v>290</c:v>
                </c:pt>
                <c:pt idx="190">
                  <c:v>295</c:v>
                </c:pt>
                <c:pt idx="191">
                  <c:v>294</c:v>
                </c:pt>
                <c:pt idx="192">
                  <c:v>294</c:v>
                </c:pt>
                <c:pt idx="193">
                  <c:v>300</c:v>
                </c:pt>
                <c:pt idx="194">
                  <c:v>301</c:v>
                </c:pt>
                <c:pt idx="195">
                  <c:v>301</c:v>
                </c:pt>
                <c:pt idx="196">
                  <c:v>313</c:v>
                </c:pt>
                <c:pt idx="197">
                  <c:v>320</c:v>
                </c:pt>
                <c:pt idx="198">
                  <c:v>309</c:v>
                </c:pt>
                <c:pt idx="199">
                  <c:v>309</c:v>
                </c:pt>
                <c:pt idx="200">
                  <c:v>313</c:v>
                </c:pt>
                <c:pt idx="201">
                  <c:v>310</c:v>
                </c:pt>
                <c:pt idx="202">
                  <c:v>324</c:v>
                </c:pt>
                <c:pt idx="203">
                  <c:v>331</c:v>
                </c:pt>
                <c:pt idx="204">
                  <c:v>331</c:v>
                </c:pt>
                <c:pt idx="205">
                  <c:v>330</c:v>
                </c:pt>
                <c:pt idx="206">
                  <c:v>332</c:v>
                </c:pt>
                <c:pt idx="207">
                  <c:v>332</c:v>
                </c:pt>
                <c:pt idx="208">
                  <c:v>346</c:v>
                </c:pt>
                <c:pt idx="209">
                  <c:v>347</c:v>
                </c:pt>
                <c:pt idx="210">
                  <c:v>343</c:v>
                </c:pt>
                <c:pt idx="211">
                  <c:v>330</c:v>
                </c:pt>
                <c:pt idx="212">
                  <c:v>327</c:v>
                </c:pt>
                <c:pt idx="213">
                  <c:v>339</c:v>
                </c:pt>
                <c:pt idx="214">
                  <c:v>338</c:v>
                </c:pt>
                <c:pt idx="215">
                  <c:v>328</c:v>
                </c:pt>
                <c:pt idx="216">
                  <c:v>338</c:v>
                </c:pt>
                <c:pt idx="217">
                  <c:v>340</c:v>
                </c:pt>
                <c:pt idx="218">
                  <c:v>341</c:v>
                </c:pt>
                <c:pt idx="219">
                  <c:v>340</c:v>
                </c:pt>
                <c:pt idx="220">
                  <c:v>335</c:v>
                </c:pt>
                <c:pt idx="221">
                  <c:v>328</c:v>
                </c:pt>
                <c:pt idx="222">
                  <c:v>325</c:v>
                </c:pt>
                <c:pt idx="223">
                  <c:v>335</c:v>
                </c:pt>
                <c:pt idx="224">
                  <c:v>337</c:v>
                </c:pt>
                <c:pt idx="225">
                  <c:v>318</c:v>
                </c:pt>
                <c:pt idx="226">
                  <c:v>318</c:v>
                </c:pt>
                <c:pt idx="227">
                  <c:v>325</c:v>
                </c:pt>
                <c:pt idx="228">
                  <c:v>328</c:v>
                </c:pt>
                <c:pt idx="229">
                  <c:v>326</c:v>
                </c:pt>
                <c:pt idx="230">
                  <c:v>325</c:v>
                </c:pt>
                <c:pt idx="231">
                  <c:v>327</c:v>
                </c:pt>
                <c:pt idx="232">
                  <c:v>331</c:v>
                </c:pt>
                <c:pt idx="233">
                  <c:v>334</c:v>
                </c:pt>
                <c:pt idx="234">
                  <c:v>339</c:v>
                </c:pt>
                <c:pt idx="235">
                  <c:v>333</c:v>
                </c:pt>
                <c:pt idx="236">
                  <c:v>329</c:v>
                </c:pt>
                <c:pt idx="237">
                  <c:v>334</c:v>
                </c:pt>
                <c:pt idx="238">
                  <c:v>336</c:v>
                </c:pt>
                <c:pt idx="239">
                  <c:v>335</c:v>
                </c:pt>
                <c:pt idx="240">
                  <c:v>328</c:v>
                </c:pt>
                <c:pt idx="241">
                  <c:v>332</c:v>
                </c:pt>
                <c:pt idx="242">
                  <c:v>336</c:v>
                </c:pt>
                <c:pt idx="243">
                  <c:v>336</c:v>
                </c:pt>
                <c:pt idx="244">
                  <c:v>336</c:v>
                </c:pt>
                <c:pt idx="245">
                  <c:v>337</c:v>
                </c:pt>
                <c:pt idx="246">
                  <c:v>333</c:v>
                </c:pt>
                <c:pt idx="247">
                  <c:v>336</c:v>
                </c:pt>
                <c:pt idx="248">
                  <c:v>335</c:v>
                </c:pt>
                <c:pt idx="249">
                  <c:v>333</c:v>
                </c:pt>
                <c:pt idx="250">
                  <c:v>333</c:v>
                </c:pt>
                <c:pt idx="251">
                  <c:v>323</c:v>
                </c:pt>
                <c:pt idx="252">
                  <c:v>323</c:v>
                </c:pt>
                <c:pt idx="253">
                  <c:v>320</c:v>
                </c:pt>
                <c:pt idx="254">
                  <c:v>326</c:v>
                </c:pt>
                <c:pt idx="255">
                  <c:v>326</c:v>
                </c:pt>
                <c:pt idx="256">
                  <c:v>325</c:v>
                </c:pt>
                <c:pt idx="257">
                  <c:v>331</c:v>
                </c:pt>
                <c:pt idx="258">
                  <c:v>334</c:v>
                </c:pt>
                <c:pt idx="259">
                  <c:v>335</c:v>
                </c:pt>
                <c:pt idx="260">
                  <c:v>335</c:v>
                </c:pt>
                <c:pt idx="261">
                  <c:v>342</c:v>
                </c:pt>
                <c:pt idx="262">
                  <c:v>341</c:v>
                </c:pt>
                <c:pt idx="263">
                  <c:v>345</c:v>
                </c:pt>
                <c:pt idx="264">
                  <c:v>343</c:v>
                </c:pt>
                <c:pt idx="265">
                  <c:v>342</c:v>
                </c:pt>
                <c:pt idx="266">
                  <c:v>339</c:v>
                </c:pt>
                <c:pt idx="267">
                  <c:v>338</c:v>
                </c:pt>
                <c:pt idx="268">
                  <c:v>337</c:v>
                </c:pt>
                <c:pt idx="269">
                  <c:v>333</c:v>
                </c:pt>
                <c:pt idx="270">
                  <c:v>333</c:v>
                </c:pt>
                <c:pt idx="271">
                  <c:v>327</c:v>
                </c:pt>
                <c:pt idx="272">
                  <c:v>330</c:v>
                </c:pt>
                <c:pt idx="273">
                  <c:v>343</c:v>
                </c:pt>
                <c:pt idx="274">
                  <c:v>349</c:v>
                </c:pt>
                <c:pt idx="275">
                  <c:v>345</c:v>
                </c:pt>
                <c:pt idx="276">
                  <c:v>355</c:v>
                </c:pt>
                <c:pt idx="277">
                  <c:v>366</c:v>
                </c:pt>
                <c:pt idx="278">
                  <c:v>366</c:v>
                </c:pt>
                <c:pt idx="279">
                  <c:v>375</c:v>
                </c:pt>
                <c:pt idx="280">
                  <c:v>349</c:v>
                </c:pt>
                <c:pt idx="281">
                  <c:v>349</c:v>
                </c:pt>
                <c:pt idx="282">
                  <c:v>345</c:v>
                </c:pt>
                <c:pt idx="283">
                  <c:v>339</c:v>
                </c:pt>
                <c:pt idx="284">
                  <c:v>341</c:v>
                </c:pt>
                <c:pt idx="285">
                  <c:v>340</c:v>
                </c:pt>
                <c:pt idx="286">
                  <c:v>338</c:v>
                </c:pt>
                <c:pt idx="287">
                  <c:v>336</c:v>
                </c:pt>
                <c:pt idx="288">
                  <c:v>336</c:v>
                </c:pt>
                <c:pt idx="289">
                  <c:v>339</c:v>
                </c:pt>
                <c:pt idx="290">
                  <c:v>338</c:v>
                </c:pt>
                <c:pt idx="291">
                  <c:v>341</c:v>
                </c:pt>
                <c:pt idx="292">
                  <c:v>346</c:v>
                </c:pt>
                <c:pt idx="293">
                  <c:v>343</c:v>
                </c:pt>
                <c:pt idx="294">
                  <c:v>355</c:v>
                </c:pt>
                <c:pt idx="295">
                  <c:v>356</c:v>
                </c:pt>
                <c:pt idx="296">
                  <c:v>361</c:v>
                </c:pt>
                <c:pt idx="297">
                  <c:v>370</c:v>
                </c:pt>
                <c:pt idx="298">
                  <c:v>366</c:v>
                </c:pt>
                <c:pt idx="299">
                  <c:v>362</c:v>
                </c:pt>
                <c:pt idx="300">
                  <c:v>347</c:v>
                </c:pt>
                <c:pt idx="301">
                  <c:v>346</c:v>
                </c:pt>
                <c:pt idx="302">
                  <c:v>346</c:v>
                </c:pt>
                <c:pt idx="303">
                  <c:v>348</c:v>
                </c:pt>
                <c:pt idx="304">
                  <c:v>353</c:v>
                </c:pt>
                <c:pt idx="305">
                  <c:v>350</c:v>
                </c:pt>
                <c:pt idx="306">
                  <c:v>336</c:v>
                </c:pt>
                <c:pt idx="307">
                  <c:v>329</c:v>
                </c:pt>
                <c:pt idx="308">
                  <c:v>327</c:v>
                </c:pt>
                <c:pt idx="309">
                  <c:v>324</c:v>
                </c:pt>
                <c:pt idx="310">
                  <c:v>328</c:v>
                </c:pt>
                <c:pt idx="311">
                  <c:v>330</c:v>
                </c:pt>
                <c:pt idx="312">
                  <c:v>332</c:v>
                </c:pt>
                <c:pt idx="313">
                  <c:v>327</c:v>
                </c:pt>
                <c:pt idx="314">
                  <c:v>326</c:v>
                </c:pt>
                <c:pt idx="315">
                  <c:v>326</c:v>
                </c:pt>
                <c:pt idx="316">
                  <c:v>334</c:v>
                </c:pt>
                <c:pt idx="317">
                  <c:v>332</c:v>
                </c:pt>
                <c:pt idx="318">
                  <c:v>334</c:v>
                </c:pt>
                <c:pt idx="319">
                  <c:v>333</c:v>
                </c:pt>
                <c:pt idx="320">
                  <c:v>327</c:v>
                </c:pt>
                <c:pt idx="321">
                  <c:v>320</c:v>
                </c:pt>
                <c:pt idx="322">
                  <c:v>325</c:v>
                </c:pt>
                <c:pt idx="323">
                  <c:v>322</c:v>
                </c:pt>
                <c:pt idx="324">
                  <c:v>320</c:v>
                </c:pt>
                <c:pt idx="325">
                  <c:v>317</c:v>
                </c:pt>
                <c:pt idx="326">
                  <c:v>318</c:v>
                </c:pt>
                <c:pt idx="327">
                  <c:v>318</c:v>
                </c:pt>
                <c:pt idx="328">
                  <c:v>322</c:v>
                </c:pt>
                <c:pt idx="329">
                  <c:v>311</c:v>
                </c:pt>
                <c:pt idx="330">
                  <c:v>312</c:v>
                </c:pt>
                <c:pt idx="331">
                  <c:v>314</c:v>
                </c:pt>
                <c:pt idx="332">
                  <c:v>318</c:v>
                </c:pt>
                <c:pt idx="333">
                  <c:v>314</c:v>
                </c:pt>
                <c:pt idx="334">
                  <c:v>310</c:v>
                </c:pt>
                <c:pt idx="335">
                  <c:v>317</c:v>
                </c:pt>
                <c:pt idx="336">
                  <c:v>312</c:v>
                </c:pt>
                <c:pt idx="337">
                  <c:v>304</c:v>
                </c:pt>
                <c:pt idx="338">
                  <c:v>304</c:v>
                </c:pt>
                <c:pt idx="339">
                  <c:v>304</c:v>
                </c:pt>
                <c:pt idx="340">
                  <c:v>305</c:v>
                </c:pt>
                <c:pt idx="341">
                  <c:v>304</c:v>
                </c:pt>
                <c:pt idx="342">
                  <c:v>304</c:v>
                </c:pt>
                <c:pt idx="343">
                  <c:v>304</c:v>
                </c:pt>
                <c:pt idx="344">
                  <c:v>309</c:v>
                </c:pt>
                <c:pt idx="345">
                  <c:v>311</c:v>
                </c:pt>
                <c:pt idx="346">
                  <c:v>310</c:v>
                </c:pt>
                <c:pt idx="347">
                  <c:v>315</c:v>
                </c:pt>
                <c:pt idx="348">
                  <c:v>318</c:v>
                </c:pt>
                <c:pt idx="349">
                  <c:v>320</c:v>
                </c:pt>
                <c:pt idx="350">
                  <c:v>321</c:v>
                </c:pt>
                <c:pt idx="351">
                  <c:v>313</c:v>
                </c:pt>
                <c:pt idx="352">
                  <c:v>309</c:v>
                </c:pt>
                <c:pt idx="353">
                  <c:v>307</c:v>
                </c:pt>
                <c:pt idx="354">
                  <c:v>304</c:v>
                </c:pt>
                <c:pt idx="355">
                  <c:v>300</c:v>
                </c:pt>
                <c:pt idx="356">
                  <c:v>301</c:v>
                </c:pt>
                <c:pt idx="357">
                  <c:v>301</c:v>
                </c:pt>
                <c:pt idx="358">
                  <c:v>301</c:v>
                </c:pt>
                <c:pt idx="359">
                  <c:v>301</c:v>
                </c:pt>
                <c:pt idx="360">
                  <c:v>301</c:v>
                </c:pt>
                <c:pt idx="361">
                  <c:v>305</c:v>
                </c:pt>
                <c:pt idx="362">
                  <c:v>304</c:v>
                </c:pt>
                <c:pt idx="363">
                  <c:v>302</c:v>
                </c:pt>
                <c:pt idx="364">
                  <c:v>300</c:v>
                </c:pt>
                <c:pt idx="365">
                  <c:v>298</c:v>
                </c:pt>
                <c:pt idx="366">
                  <c:v>300</c:v>
                </c:pt>
                <c:pt idx="367">
                  <c:v>300</c:v>
                </c:pt>
                <c:pt idx="368">
                  <c:v>294</c:v>
                </c:pt>
                <c:pt idx="369">
                  <c:v>294</c:v>
                </c:pt>
                <c:pt idx="370">
                  <c:v>296</c:v>
                </c:pt>
                <c:pt idx="371">
                  <c:v>296</c:v>
                </c:pt>
                <c:pt idx="372">
                  <c:v>299</c:v>
                </c:pt>
                <c:pt idx="373">
                  <c:v>303</c:v>
                </c:pt>
                <c:pt idx="374">
                  <c:v>291</c:v>
                </c:pt>
                <c:pt idx="375">
                  <c:v>292</c:v>
                </c:pt>
                <c:pt idx="376">
                  <c:v>289</c:v>
                </c:pt>
                <c:pt idx="377">
                  <c:v>285</c:v>
                </c:pt>
                <c:pt idx="378">
                  <c:v>288</c:v>
                </c:pt>
                <c:pt idx="379">
                  <c:v>289</c:v>
                </c:pt>
                <c:pt idx="380">
                  <c:v>294</c:v>
                </c:pt>
                <c:pt idx="381">
                  <c:v>291</c:v>
                </c:pt>
                <c:pt idx="382">
                  <c:v>287</c:v>
                </c:pt>
                <c:pt idx="383">
                  <c:v>279</c:v>
                </c:pt>
                <c:pt idx="384">
                  <c:v>279</c:v>
                </c:pt>
                <c:pt idx="385">
                  <c:v>276</c:v>
                </c:pt>
                <c:pt idx="386">
                  <c:v>275</c:v>
                </c:pt>
                <c:pt idx="387">
                  <c:v>270</c:v>
                </c:pt>
                <c:pt idx="388">
                  <c:v>266</c:v>
                </c:pt>
                <c:pt idx="389">
                  <c:v>262</c:v>
                </c:pt>
                <c:pt idx="390">
                  <c:v>265</c:v>
                </c:pt>
                <c:pt idx="391">
                  <c:v>264</c:v>
                </c:pt>
                <c:pt idx="392">
                  <c:v>267</c:v>
                </c:pt>
                <c:pt idx="393">
                  <c:v>263</c:v>
                </c:pt>
                <c:pt idx="394">
                  <c:v>267</c:v>
                </c:pt>
                <c:pt idx="395">
                  <c:v>263</c:v>
                </c:pt>
                <c:pt idx="396">
                  <c:v>266</c:v>
                </c:pt>
                <c:pt idx="397">
                  <c:v>266</c:v>
                </c:pt>
                <c:pt idx="398">
                  <c:v>263</c:v>
                </c:pt>
                <c:pt idx="399">
                  <c:v>262</c:v>
                </c:pt>
                <c:pt idx="400">
                  <c:v>266</c:v>
                </c:pt>
                <c:pt idx="401">
                  <c:v>264</c:v>
                </c:pt>
                <c:pt idx="402">
                  <c:v>263</c:v>
                </c:pt>
                <c:pt idx="403">
                  <c:v>261</c:v>
                </c:pt>
                <c:pt idx="404">
                  <c:v>263</c:v>
                </c:pt>
                <c:pt idx="405">
                  <c:v>260</c:v>
                </c:pt>
                <c:pt idx="406">
                  <c:v>258</c:v>
                </c:pt>
                <c:pt idx="407">
                  <c:v>260</c:v>
                </c:pt>
                <c:pt idx="408">
                  <c:v>262</c:v>
                </c:pt>
                <c:pt idx="409">
                  <c:v>261</c:v>
                </c:pt>
                <c:pt idx="410">
                  <c:v>264</c:v>
                </c:pt>
                <c:pt idx="411">
                  <c:v>265</c:v>
                </c:pt>
                <c:pt idx="412">
                  <c:v>271</c:v>
                </c:pt>
                <c:pt idx="413">
                  <c:v>268</c:v>
                </c:pt>
                <c:pt idx="414">
                  <c:v>266</c:v>
                </c:pt>
                <c:pt idx="415">
                  <c:v>266</c:v>
                </c:pt>
                <c:pt idx="416">
                  <c:v>262</c:v>
                </c:pt>
                <c:pt idx="417">
                  <c:v>260</c:v>
                </c:pt>
                <c:pt idx="418">
                  <c:v>260</c:v>
                </c:pt>
                <c:pt idx="419">
                  <c:v>258</c:v>
                </c:pt>
                <c:pt idx="420">
                  <c:v>257</c:v>
                </c:pt>
                <c:pt idx="421">
                  <c:v>256</c:v>
                </c:pt>
                <c:pt idx="422">
                  <c:v>256</c:v>
                </c:pt>
                <c:pt idx="423">
                  <c:v>254</c:v>
                </c:pt>
                <c:pt idx="424">
                  <c:v>261</c:v>
                </c:pt>
                <c:pt idx="425">
                  <c:v>272</c:v>
                </c:pt>
                <c:pt idx="426">
                  <c:v>276</c:v>
                </c:pt>
                <c:pt idx="427">
                  <c:v>277</c:v>
                </c:pt>
                <c:pt idx="428">
                  <c:v>277</c:v>
                </c:pt>
                <c:pt idx="429">
                  <c:v>277</c:v>
                </c:pt>
                <c:pt idx="430">
                  <c:v>277</c:v>
                </c:pt>
                <c:pt idx="431">
                  <c:v>281</c:v>
                </c:pt>
                <c:pt idx="432">
                  <c:v>282</c:v>
                </c:pt>
                <c:pt idx="433">
                  <c:v>283</c:v>
                </c:pt>
                <c:pt idx="434">
                  <c:v>283</c:v>
                </c:pt>
                <c:pt idx="435">
                  <c:v>287</c:v>
                </c:pt>
                <c:pt idx="436">
                  <c:v>286</c:v>
                </c:pt>
                <c:pt idx="437">
                  <c:v>286</c:v>
                </c:pt>
                <c:pt idx="438">
                  <c:v>281</c:v>
                </c:pt>
                <c:pt idx="439">
                  <c:v>285</c:v>
                </c:pt>
                <c:pt idx="440">
                  <c:v>290</c:v>
                </c:pt>
                <c:pt idx="441">
                  <c:v>291</c:v>
                </c:pt>
                <c:pt idx="442">
                  <c:v>296</c:v>
                </c:pt>
                <c:pt idx="443">
                  <c:v>292</c:v>
                </c:pt>
                <c:pt idx="444">
                  <c:v>289</c:v>
                </c:pt>
                <c:pt idx="445">
                  <c:v>289</c:v>
                </c:pt>
                <c:pt idx="446">
                  <c:v>286</c:v>
                </c:pt>
                <c:pt idx="447">
                  <c:v>288</c:v>
                </c:pt>
                <c:pt idx="448">
                  <c:v>289</c:v>
                </c:pt>
                <c:pt idx="449">
                  <c:v>292</c:v>
                </c:pt>
                <c:pt idx="450">
                  <c:v>290</c:v>
                </c:pt>
                <c:pt idx="451">
                  <c:v>299</c:v>
                </c:pt>
                <c:pt idx="452">
                  <c:v>295</c:v>
                </c:pt>
                <c:pt idx="453">
                  <c:v>299</c:v>
                </c:pt>
                <c:pt idx="454">
                  <c:v>301</c:v>
                </c:pt>
                <c:pt idx="455">
                  <c:v>294</c:v>
                </c:pt>
                <c:pt idx="456">
                  <c:v>289</c:v>
                </c:pt>
                <c:pt idx="457">
                  <c:v>289</c:v>
                </c:pt>
                <c:pt idx="458">
                  <c:v>288</c:v>
                </c:pt>
                <c:pt idx="459">
                  <c:v>289</c:v>
                </c:pt>
                <c:pt idx="460">
                  <c:v>294</c:v>
                </c:pt>
                <c:pt idx="461">
                  <c:v>295</c:v>
                </c:pt>
                <c:pt idx="462">
                  <c:v>302</c:v>
                </c:pt>
                <c:pt idx="463">
                  <c:v>302</c:v>
                </c:pt>
                <c:pt idx="464">
                  <c:v>310</c:v>
                </c:pt>
                <c:pt idx="465">
                  <c:v>320</c:v>
                </c:pt>
                <c:pt idx="466">
                  <c:v>324</c:v>
                </c:pt>
                <c:pt idx="467">
                  <c:v>323</c:v>
                </c:pt>
                <c:pt idx="468">
                  <c:v>306</c:v>
                </c:pt>
                <c:pt idx="469">
                  <c:v>299</c:v>
                </c:pt>
                <c:pt idx="470">
                  <c:v>304</c:v>
                </c:pt>
                <c:pt idx="471">
                  <c:v>303</c:v>
                </c:pt>
                <c:pt idx="472">
                  <c:v>296</c:v>
                </c:pt>
                <c:pt idx="473">
                  <c:v>299</c:v>
                </c:pt>
                <c:pt idx="474">
                  <c:v>285</c:v>
                </c:pt>
                <c:pt idx="475">
                  <c:v>280</c:v>
                </c:pt>
                <c:pt idx="476">
                  <c:v>288</c:v>
                </c:pt>
                <c:pt idx="477">
                  <c:v>292</c:v>
                </c:pt>
                <c:pt idx="478">
                  <c:v>274</c:v>
                </c:pt>
                <c:pt idx="479">
                  <c:v>279</c:v>
                </c:pt>
                <c:pt idx="480">
                  <c:v>271</c:v>
                </c:pt>
                <c:pt idx="481">
                  <c:v>270</c:v>
                </c:pt>
                <c:pt idx="482">
                  <c:v>269</c:v>
                </c:pt>
                <c:pt idx="483">
                  <c:v>269</c:v>
                </c:pt>
                <c:pt idx="484">
                  <c:v>271</c:v>
                </c:pt>
                <c:pt idx="485">
                  <c:v>273</c:v>
                </c:pt>
                <c:pt idx="486">
                  <c:v>270</c:v>
                </c:pt>
                <c:pt idx="487">
                  <c:v>268</c:v>
                </c:pt>
                <c:pt idx="488">
                  <c:v>266</c:v>
                </c:pt>
                <c:pt idx="489">
                  <c:v>270</c:v>
                </c:pt>
                <c:pt idx="490">
                  <c:v>276</c:v>
                </c:pt>
                <c:pt idx="491">
                  <c:v>276</c:v>
                </c:pt>
                <c:pt idx="492">
                  <c:v>283</c:v>
                </c:pt>
                <c:pt idx="493">
                  <c:v>288</c:v>
                </c:pt>
                <c:pt idx="494">
                  <c:v>287</c:v>
                </c:pt>
                <c:pt idx="495">
                  <c:v>294</c:v>
                </c:pt>
                <c:pt idx="496">
                  <c:v>290</c:v>
                </c:pt>
                <c:pt idx="497">
                  <c:v>291</c:v>
                </c:pt>
                <c:pt idx="498">
                  <c:v>287</c:v>
                </c:pt>
                <c:pt idx="499">
                  <c:v>283</c:v>
                </c:pt>
                <c:pt idx="500">
                  <c:v>283</c:v>
                </c:pt>
                <c:pt idx="501">
                  <c:v>283</c:v>
                </c:pt>
                <c:pt idx="502">
                  <c:v>280</c:v>
                </c:pt>
                <c:pt idx="503">
                  <c:v>280</c:v>
                </c:pt>
                <c:pt idx="504">
                  <c:v>272</c:v>
                </c:pt>
                <c:pt idx="505">
                  <c:v>273</c:v>
                </c:pt>
                <c:pt idx="506">
                  <c:v>273</c:v>
                </c:pt>
                <c:pt idx="507">
                  <c:v>270</c:v>
                </c:pt>
                <c:pt idx="508">
                  <c:v>265</c:v>
                </c:pt>
                <c:pt idx="509">
                  <c:v>268</c:v>
                </c:pt>
                <c:pt idx="510">
                  <c:v>266</c:v>
                </c:pt>
                <c:pt idx="511">
                  <c:v>264</c:v>
                </c:pt>
                <c:pt idx="512">
                  <c:v>261</c:v>
                </c:pt>
                <c:pt idx="513">
                  <c:v>260</c:v>
                </c:pt>
                <c:pt idx="514">
                  <c:v>259</c:v>
                </c:pt>
                <c:pt idx="515">
                  <c:v>259</c:v>
                </c:pt>
                <c:pt idx="516">
                  <c:v>261</c:v>
                </c:pt>
                <c:pt idx="517">
                  <c:v>261</c:v>
                </c:pt>
                <c:pt idx="518">
                  <c:v>259</c:v>
                </c:pt>
                <c:pt idx="519">
                  <c:v>263</c:v>
                </c:pt>
                <c:pt idx="520">
                  <c:v>261</c:v>
                </c:pt>
                <c:pt idx="521">
                  <c:v>256</c:v>
                </c:pt>
                <c:pt idx="522">
                  <c:v>258</c:v>
                </c:pt>
                <c:pt idx="523">
                  <c:v>260</c:v>
                </c:pt>
                <c:pt idx="524">
                  <c:v>263</c:v>
                </c:pt>
                <c:pt idx="525">
                  <c:v>268</c:v>
                </c:pt>
                <c:pt idx="526">
                  <c:v>269</c:v>
                </c:pt>
                <c:pt idx="527">
                  <c:v>268</c:v>
                </c:pt>
                <c:pt idx="528">
                  <c:v>267</c:v>
                </c:pt>
                <c:pt idx="529">
                  <c:v>270</c:v>
                </c:pt>
                <c:pt idx="530">
                  <c:v>266</c:v>
                </c:pt>
                <c:pt idx="531">
                  <c:v>262</c:v>
                </c:pt>
                <c:pt idx="532">
                  <c:v>267</c:v>
                </c:pt>
                <c:pt idx="533">
                  <c:v>266</c:v>
                </c:pt>
                <c:pt idx="534">
                  <c:v>264</c:v>
                </c:pt>
                <c:pt idx="535">
                  <c:v>275</c:v>
                </c:pt>
                <c:pt idx="536">
                  <c:v>259</c:v>
                </c:pt>
                <c:pt idx="537">
                  <c:v>261</c:v>
                </c:pt>
                <c:pt idx="538">
                  <c:v>275</c:v>
                </c:pt>
                <c:pt idx="539">
                  <c:v>271</c:v>
                </c:pt>
                <c:pt idx="540">
                  <c:v>271</c:v>
                </c:pt>
                <c:pt idx="541">
                  <c:v>272</c:v>
                </c:pt>
                <c:pt idx="542">
                  <c:v>275</c:v>
                </c:pt>
                <c:pt idx="543">
                  <c:v>263</c:v>
                </c:pt>
                <c:pt idx="544">
                  <c:v>261</c:v>
                </c:pt>
                <c:pt idx="545">
                  <c:v>276</c:v>
                </c:pt>
                <c:pt idx="546">
                  <c:v>277</c:v>
                </c:pt>
                <c:pt idx="547">
                  <c:v>275</c:v>
                </c:pt>
                <c:pt idx="548">
                  <c:v>279</c:v>
                </c:pt>
                <c:pt idx="549">
                  <c:v>276</c:v>
                </c:pt>
                <c:pt idx="550">
                  <c:v>279</c:v>
                </c:pt>
                <c:pt idx="551">
                  <c:v>279</c:v>
                </c:pt>
                <c:pt idx="552">
                  <c:v>273</c:v>
                </c:pt>
                <c:pt idx="553">
                  <c:v>273</c:v>
                </c:pt>
                <c:pt idx="554">
                  <c:v>271</c:v>
                </c:pt>
                <c:pt idx="555">
                  <c:v>289</c:v>
                </c:pt>
                <c:pt idx="556">
                  <c:v>290</c:v>
                </c:pt>
                <c:pt idx="557">
                  <c:v>296</c:v>
                </c:pt>
                <c:pt idx="558">
                  <c:v>307</c:v>
                </c:pt>
                <c:pt idx="559">
                  <c:v>317</c:v>
                </c:pt>
                <c:pt idx="560">
                  <c:v>318</c:v>
                </c:pt>
                <c:pt idx="561">
                  <c:v>319</c:v>
                </c:pt>
                <c:pt idx="562">
                  <c:v>321</c:v>
                </c:pt>
                <c:pt idx="563">
                  <c:v>315</c:v>
                </c:pt>
                <c:pt idx="564">
                  <c:v>317</c:v>
                </c:pt>
                <c:pt idx="565">
                  <c:v>310</c:v>
                </c:pt>
                <c:pt idx="566">
                  <c:v>306</c:v>
                </c:pt>
                <c:pt idx="567">
                  <c:v>306</c:v>
                </c:pt>
                <c:pt idx="568">
                  <c:v>305</c:v>
                </c:pt>
                <c:pt idx="569">
                  <c:v>306</c:v>
                </c:pt>
                <c:pt idx="570">
                  <c:v>307</c:v>
                </c:pt>
                <c:pt idx="571">
                  <c:v>310</c:v>
                </c:pt>
                <c:pt idx="572">
                  <c:v>309</c:v>
                </c:pt>
                <c:pt idx="573">
                  <c:v>311</c:v>
                </c:pt>
                <c:pt idx="574">
                  <c:v>308</c:v>
                </c:pt>
                <c:pt idx="575">
                  <c:v>309</c:v>
                </c:pt>
                <c:pt idx="576">
                  <c:v>315</c:v>
                </c:pt>
                <c:pt idx="577">
                  <c:v>320</c:v>
                </c:pt>
                <c:pt idx="578">
                  <c:v>328</c:v>
                </c:pt>
                <c:pt idx="579">
                  <c:v>331</c:v>
                </c:pt>
                <c:pt idx="580">
                  <c:v>341</c:v>
                </c:pt>
                <c:pt idx="581">
                  <c:v>343</c:v>
                </c:pt>
                <c:pt idx="582">
                  <c:v>343</c:v>
                </c:pt>
                <c:pt idx="583">
                  <c:v>353</c:v>
                </c:pt>
                <c:pt idx="584">
                  <c:v>347</c:v>
                </c:pt>
                <c:pt idx="585">
                  <c:v>346</c:v>
                </c:pt>
                <c:pt idx="586">
                  <c:v>348</c:v>
                </c:pt>
                <c:pt idx="587">
                  <c:v>348</c:v>
                </c:pt>
                <c:pt idx="588">
                  <c:v>332</c:v>
                </c:pt>
                <c:pt idx="589">
                  <c:v>327</c:v>
                </c:pt>
                <c:pt idx="590">
                  <c:v>313</c:v>
                </c:pt>
                <c:pt idx="591">
                  <c:v>310</c:v>
                </c:pt>
                <c:pt idx="592">
                  <c:v>306</c:v>
                </c:pt>
                <c:pt idx="593">
                  <c:v>307</c:v>
                </c:pt>
                <c:pt idx="594">
                  <c:v>310</c:v>
                </c:pt>
                <c:pt idx="595">
                  <c:v>311</c:v>
                </c:pt>
                <c:pt idx="596">
                  <c:v>308</c:v>
                </c:pt>
                <c:pt idx="597">
                  <c:v>311</c:v>
                </c:pt>
                <c:pt idx="598">
                  <c:v>317</c:v>
                </c:pt>
                <c:pt idx="599">
                  <c:v>312</c:v>
                </c:pt>
                <c:pt idx="600">
                  <c:v>312</c:v>
                </c:pt>
                <c:pt idx="601">
                  <c:v>318</c:v>
                </c:pt>
                <c:pt idx="602">
                  <c:v>312</c:v>
                </c:pt>
                <c:pt idx="603">
                  <c:v>314</c:v>
                </c:pt>
                <c:pt idx="604">
                  <c:v>319</c:v>
                </c:pt>
                <c:pt idx="605">
                  <c:v>320</c:v>
                </c:pt>
                <c:pt idx="606">
                  <c:v>327</c:v>
                </c:pt>
                <c:pt idx="607">
                  <c:v>334</c:v>
                </c:pt>
                <c:pt idx="608">
                  <c:v>334</c:v>
                </c:pt>
                <c:pt idx="609">
                  <c:v>329</c:v>
                </c:pt>
                <c:pt idx="610">
                  <c:v>333</c:v>
                </c:pt>
                <c:pt idx="611">
                  <c:v>338</c:v>
                </c:pt>
                <c:pt idx="612">
                  <c:v>327</c:v>
                </c:pt>
                <c:pt idx="613">
                  <c:v>325</c:v>
                </c:pt>
                <c:pt idx="614">
                  <c:v>321</c:v>
                </c:pt>
                <c:pt idx="615">
                  <c:v>317</c:v>
                </c:pt>
                <c:pt idx="616">
                  <c:v>307</c:v>
                </c:pt>
                <c:pt idx="617">
                  <c:v>307</c:v>
                </c:pt>
                <c:pt idx="618">
                  <c:v>298</c:v>
                </c:pt>
                <c:pt idx="619">
                  <c:v>309</c:v>
                </c:pt>
                <c:pt idx="620">
                  <c:v>317</c:v>
                </c:pt>
                <c:pt idx="621">
                  <c:v>323</c:v>
                </c:pt>
                <c:pt idx="622">
                  <c:v>323</c:v>
                </c:pt>
                <c:pt idx="623">
                  <c:v>333</c:v>
                </c:pt>
                <c:pt idx="624">
                  <c:v>329</c:v>
                </c:pt>
                <c:pt idx="625">
                  <c:v>334</c:v>
                </c:pt>
                <c:pt idx="626">
                  <c:v>342</c:v>
                </c:pt>
                <c:pt idx="627">
                  <c:v>340</c:v>
                </c:pt>
                <c:pt idx="628">
                  <c:v>349</c:v>
                </c:pt>
                <c:pt idx="629">
                  <c:v>346</c:v>
                </c:pt>
                <c:pt idx="630">
                  <c:v>352</c:v>
                </c:pt>
                <c:pt idx="631">
                  <c:v>351</c:v>
                </c:pt>
                <c:pt idx="632">
                  <c:v>342</c:v>
                </c:pt>
                <c:pt idx="633">
                  <c:v>346</c:v>
                </c:pt>
                <c:pt idx="634">
                  <c:v>355</c:v>
                </c:pt>
                <c:pt idx="635">
                  <c:v>364</c:v>
                </c:pt>
                <c:pt idx="636">
                  <c:v>375</c:v>
                </c:pt>
                <c:pt idx="637">
                  <c:v>376</c:v>
                </c:pt>
                <c:pt idx="638">
                  <c:v>385</c:v>
                </c:pt>
                <c:pt idx="639">
                  <c:v>377</c:v>
                </c:pt>
                <c:pt idx="640">
                  <c:v>382</c:v>
                </c:pt>
                <c:pt idx="641">
                  <c:v>382</c:v>
                </c:pt>
                <c:pt idx="642">
                  <c:v>374</c:v>
                </c:pt>
                <c:pt idx="643">
                  <c:v>375</c:v>
                </c:pt>
                <c:pt idx="644">
                  <c:v>362</c:v>
                </c:pt>
                <c:pt idx="645">
                  <c:v>366</c:v>
                </c:pt>
                <c:pt idx="646">
                  <c:v>366</c:v>
                </c:pt>
                <c:pt idx="647">
                  <c:v>372</c:v>
                </c:pt>
                <c:pt idx="648">
                  <c:v>380</c:v>
                </c:pt>
                <c:pt idx="649">
                  <c:v>384</c:v>
                </c:pt>
                <c:pt idx="650">
                  <c:v>384</c:v>
                </c:pt>
                <c:pt idx="651">
                  <c:v>377</c:v>
                </c:pt>
                <c:pt idx="652">
                  <c:v>376</c:v>
                </c:pt>
                <c:pt idx="653">
                  <c:v>375</c:v>
                </c:pt>
                <c:pt idx="654">
                  <c:v>375</c:v>
                </c:pt>
                <c:pt idx="655">
                  <c:v>377</c:v>
                </c:pt>
                <c:pt idx="656">
                  <c:v>380</c:v>
                </c:pt>
                <c:pt idx="657">
                  <c:v>374</c:v>
                </c:pt>
                <c:pt idx="658">
                  <c:v>367</c:v>
                </c:pt>
                <c:pt idx="659">
                  <c:v>387</c:v>
                </c:pt>
                <c:pt idx="660">
                  <c:v>384</c:v>
                </c:pt>
                <c:pt idx="661">
                  <c:v>389</c:v>
                </c:pt>
                <c:pt idx="662">
                  <c:v>355</c:v>
                </c:pt>
                <c:pt idx="663">
                  <c:v>344</c:v>
                </c:pt>
                <c:pt idx="664">
                  <c:v>332</c:v>
                </c:pt>
                <c:pt idx="665">
                  <c:v>334</c:v>
                </c:pt>
                <c:pt idx="666">
                  <c:v>348</c:v>
                </c:pt>
                <c:pt idx="667">
                  <c:v>351</c:v>
                </c:pt>
                <c:pt idx="668">
                  <c:v>375</c:v>
                </c:pt>
                <c:pt idx="669">
                  <c:v>386</c:v>
                </c:pt>
                <c:pt idx="670">
                  <c:v>392</c:v>
                </c:pt>
                <c:pt idx="671">
                  <c:v>379</c:v>
                </c:pt>
                <c:pt idx="672">
                  <c:v>384</c:v>
                </c:pt>
                <c:pt idx="673">
                  <c:v>387</c:v>
                </c:pt>
                <c:pt idx="674">
                  <c:v>405</c:v>
                </c:pt>
                <c:pt idx="675">
                  <c:v>405</c:v>
                </c:pt>
                <c:pt idx="676">
                  <c:v>405</c:v>
                </c:pt>
                <c:pt idx="677">
                  <c:v>420</c:v>
                </c:pt>
                <c:pt idx="678">
                  <c:v>429</c:v>
                </c:pt>
                <c:pt idx="679">
                  <c:v>427</c:v>
                </c:pt>
                <c:pt idx="680">
                  <c:v>451</c:v>
                </c:pt>
                <c:pt idx="681">
                  <c:v>450</c:v>
                </c:pt>
                <c:pt idx="682">
                  <c:v>438</c:v>
                </c:pt>
                <c:pt idx="683">
                  <c:v>420</c:v>
                </c:pt>
                <c:pt idx="684">
                  <c:v>414</c:v>
                </c:pt>
                <c:pt idx="685">
                  <c:v>419</c:v>
                </c:pt>
                <c:pt idx="686">
                  <c:v>432</c:v>
                </c:pt>
                <c:pt idx="687">
                  <c:v>429</c:v>
                </c:pt>
                <c:pt idx="688">
                  <c:v>423</c:v>
                </c:pt>
                <c:pt idx="689">
                  <c:v>426</c:v>
                </c:pt>
                <c:pt idx="690">
                  <c:v>422</c:v>
                </c:pt>
                <c:pt idx="691">
                  <c:v>422</c:v>
                </c:pt>
                <c:pt idx="692">
                  <c:v>446</c:v>
                </c:pt>
                <c:pt idx="693">
                  <c:v>470</c:v>
                </c:pt>
                <c:pt idx="694">
                  <c:v>475</c:v>
                </c:pt>
                <c:pt idx="695">
                  <c:v>473</c:v>
                </c:pt>
                <c:pt idx="696">
                  <c:v>442</c:v>
                </c:pt>
                <c:pt idx="697">
                  <c:v>426</c:v>
                </c:pt>
                <c:pt idx="698">
                  <c:v>421</c:v>
                </c:pt>
                <c:pt idx="699">
                  <c:v>403</c:v>
                </c:pt>
                <c:pt idx="700">
                  <c:v>397</c:v>
                </c:pt>
                <c:pt idx="701">
                  <c:v>400</c:v>
                </c:pt>
                <c:pt idx="702">
                  <c:v>394</c:v>
                </c:pt>
                <c:pt idx="703">
                  <c:v>366</c:v>
                </c:pt>
                <c:pt idx="704">
                  <c:v>374</c:v>
                </c:pt>
                <c:pt idx="705">
                  <c:v>390</c:v>
                </c:pt>
                <c:pt idx="706">
                  <c:v>415</c:v>
                </c:pt>
                <c:pt idx="707">
                  <c:v>418</c:v>
                </c:pt>
                <c:pt idx="708">
                  <c:v>437</c:v>
                </c:pt>
                <c:pt idx="709">
                  <c:v>445</c:v>
                </c:pt>
                <c:pt idx="710">
                  <c:v>427</c:v>
                </c:pt>
                <c:pt idx="711">
                  <c:v>414</c:v>
                </c:pt>
                <c:pt idx="712">
                  <c:v>389</c:v>
                </c:pt>
                <c:pt idx="713">
                  <c:v>393</c:v>
                </c:pt>
                <c:pt idx="714">
                  <c:v>375</c:v>
                </c:pt>
                <c:pt idx="715">
                  <c:v>343</c:v>
                </c:pt>
                <c:pt idx="716">
                  <c:v>370</c:v>
                </c:pt>
                <c:pt idx="717">
                  <c:v>427</c:v>
                </c:pt>
                <c:pt idx="718">
                  <c:v>476</c:v>
                </c:pt>
                <c:pt idx="719">
                  <c:v>453</c:v>
                </c:pt>
                <c:pt idx="720">
                  <c:v>465</c:v>
                </c:pt>
                <c:pt idx="721">
                  <c:v>441</c:v>
                </c:pt>
                <c:pt idx="722">
                  <c:v>374</c:v>
                </c:pt>
                <c:pt idx="723">
                  <c:v>395</c:v>
                </c:pt>
                <c:pt idx="724">
                  <c:v>335</c:v>
                </c:pt>
                <c:pt idx="725">
                  <c:v>367</c:v>
                </c:pt>
                <c:pt idx="726">
                  <c:v>302</c:v>
                </c:pt>
                <c:pt idx="727">
                  <c:v>284</c:v>
                </c:pt>
                <c:pt idx="728">
                  <c:v>312</c:v>
                </c:pt>
                <c:pt idx="729">
                  <c:v>262</c:v>
                </c:pt>
                <c:pt idx="730">
                  <c:v>239</c:v>
                </c:pt>
                <c:pt idx="731">
                  <c:v>223</c:v>
                </c:pt>
                <c:pt idx="732">
                  <c:v>240</c:v>
                </c:pt>
                <c:pt idx="733">
                  <c:v>247</c:v>
                </c:pt>
                <c:pt idx="734">
                  <c:v>252</c:v>
                </c:pt>
                <c:pt idx="735">
                  <c:v>233</c:v>
                </c:pt>
                <c:pt idx="736">
                  <c:v>218</c:v>
                </c:pt>
                <c:pt idx="737">
                  <c:v>214</c:v>
                </c:pt>
                <c:pt idx="738">
                  <c:v>208</c:v>
                </c:pt>
                <c:pt idx="739">
                  <c:v>202</c:v>
                </c:pt>
                <c:pt idx="740">
                  <c:v>193</c:v>
                </c:pt>
                <c:pt idx="741">
                  <c:v>189</c:v>
                </c:pt>
                <c:pt idx="742">
                  <c:v>198</c:v>
                </c:pt>
                <c:pt idx="743">
                  <c:v>196</c:v>
                </c:pt>
                <c:pt idx="744">
                  <c:v>196</c:v>
                </c:pt>
                <c:pt idx="745">
                  <c:v>203</c:v>
                </c:pt>
                <c:pt idx="746">
                  <c:v>203</c:v>
                </c:pt>
                <c:pt idx="747">
                  <c:v>209</c:v>
                </c:pt>
                <c:pt idx="748">
                  <c:v>216</c:v>
                </c:pt>
                <c:pt idx="749">
                  <c:v>217</c:v>
                </c:pt>
                <c:pt idx="750">
                  <c:v>213</c:v>
                </c:pt>
                <c:pt idx="751">
                  <c:v>214</c:v>
                </c:pt>
                <c:pt idx="752">
                  <c:v>219</c:v>
                </c:pt>
                <c:pt idx="753">
                  <c:v>226</c:v>
                </c:pt>
                <c:pt idx="754">
                  <c:v>225</c:v>
                </c:pt>
                <c:pt idx="755">
                  <c:v>224</c:v>
                </c:pt>
                <c:pt idx="756">
                  <c:v>225</c:v>
                </c:pt>
                <c:pt idx="757">
                  <c:v>227</c:v>
                </c:pt>
                <c:pt idx="758">
                  <c:v>232</c:v>
                </c:pt>
                <c:pt idx="759">
                  <c:v>225</c:v>
                </c:pt>
                <c:pt idx="760">
                  <c:v>220</c:v>
                </c:pt>
                <c:pt idx="761">
                  <c:v>216</c:v>
                </c:pt>
                <c:pt idx="762">
                  <c:v>214</c:v>
                </c:pt>
                <c:pt idx="763">
                  <c:v>209</c:v>
                </c:pt>
                <c:pt idx="764">
                  <c:v>209</c:v>
                </c:pt>
                <c:pt idx="765">
                  <c:v>211</c:v>
                </c:pt>
                <c:pt idx="766">
                  <c:v>217</c:v>
                </c:pt>
                <c:pt idx="767">
                  <c:v>215</c:v>
                </c:pt>
                <c:pt idx="768">
                  <c:v>213</c:v>
                </c:pt>
                <c:pt idx="769">
                  <c:v>213</c:v>
                </c:pt>
                <c:pt idx="770">
                  <c:v>215</c:v>
                </c:pt>
                <c:pt idx="771">
                  <c:v>215</c:v>
                </c:pt>
                <c:pt idx="772">
                  <c:v>220</c:v>
                </c:pt>
                <c:pt idx="773">
                  <c:v>222</c:v>
                </c:pt>
                <c:pt idx="774">
                  <c:v>225</c:v>
                </c:pt>
                <c:pt idx="775">
                  <c:v>218</c:v>
                </c:pt>
                <c:pt idx="776">
                  <c:v>214</c:v>
                </c:pt>
                <c:pt idx="777">
                  <c:v>215</c:v>
                </c:pt>
                <c:pt idx="778">
                  <c:v>215</c:v>
                </c:pt>
                <c:pt idx="779">
                  <c:v>214</c:v>
                </c:pt>
                <c:pt idx="780">
                  <c:v>215</c:v>
                </c:pt>
                <c:pt idx="781">
                  <c:v>212</c:v>
                </c:pt>
                <c:pt idx="782">
                  <c:v>214</c:v>
                </c:pt>
                <c:pt idx="783">
                  <c:v>213</c:v>
                </c:pt>
                <c:pt idx="784">
                  <c:v>208</c:v>
                </c:pt>
                <c:pt idx="785">
                  <c:v>211</c:v>
                </c:pt>
                <c:pt idx="786">
                  <c:v>212</c:v>
                </c:pt>
                <c:pt idx="787">
                  <c:v>218</c:v>
                </c:pt>
                <c:pt idx="788">
                  <c:v>215</c:v>
                </c:pt>
                <c:pt idx="789">
                  <c:v>230</c:v>
                </c:pt>
                <c:pt idx="790">
                  <c:v>228</c:v>
                </c:pt>
                <c:pt idx="791">
                  <c:v>231</c:v>
                </c:pt>
                <c:pt idx="792">
                  <c:v>231</c:v>
                </c:pt>
                <c:pt idx="793">
                  <c:v>238</c:v>
                </c:pt>
                <c:pt idx="794">
                  <c:v>240</c:v>
                </c:pt>
                <c:pt idx="795">
                  <c:v>250</c:v>
                </c:pt>
                <c:pt idx="796">
                  <c:v>240</c:v>
                </c:pt>
                <c:pt idx="797">
                  <c:v>239</c:v>
                </c:pt>
                <c:pt idx="798">
                  <c:v>244</c:v>
                </c:pt>
                <c:pt idx="799">
                  <c:v>244</c:v>
                </c:pt>
                <c:pt idx="800">
                  <c:v>246</c:v>
                </c:pt>
                <c:pt idx="801">
                  <c:v>242</c:v>
                </c:pt>
                <c:pt idx="802">
                  <c:v>241</c:v>
                </c:pt>
                <c:pt idx="803">
                  <c:v>245</c:v>
                </c:pt>
                <c:pt idx="804">
                  <c:v>249</c:v>
                </c:pt>
                <c:pt idx="805">
                  <c:v>246</c:v>
                </c:pt>
                <c:pt idx="806">
                  <c:v>240</c:v>
                </c:pt>
                <c:pt idx="807">
                  <c:v>238</c:v>
                </c:pt>
                <c:pt idx="808">
                  <c:v>238</c:v>
                </c:pt>
                <c:pt idx="809">
                  <c:v>235</c:v>
                </c:pt>
                <c:pt idx="810">
                  <c:v>232</c:v>
                </c:pt>
                <c:pt idx="811">
                  <c:v>229</c:v>
                </c:pt>
                <c:pt idx="812">
                  <c:v>229</c:v>
                </c:pt>
                <c:pt idx="813">
                  <c:v>230</c:v>
                </c:pt>
                <c:pt idx="814">
                  <c:v>235</c:v>
                </c:pt>
                <c:pt idx="815">
                  <c:v>231</c:v>
                </c:pt>
                <c:pt idx="816">
                  <c:v>229</c:v>
                </c:pt>
                <c:pt idx="817">
                  <c:v>231</c:v>
                </c:pt>
                <c:pt idx="818">
                  <c:v>240</c:v>
                </c:pt>
                <c:pt idx="819">
                  <c:v>237</c:v>
                </c:pt>
                <c:pt idx="820">
                  <c:v>228</c:v>
                </c:pt>
                <c:pt idx="821">
                  <c:v>227</c:v>
                </c:pt>
                <c:pt idx="822">
                  <c:v>231</c:v>
                </c:pt>
                <c:pt idx="823">
                  <c:v>235</c:v>
                </c:pt>
                <c:pt idx="824">
                  <c:v>237</c:v>
                </c:pt>
                <c:pt idx="825">
                  <c:v>237</c:v>
                </c:pt>
                <c:pt idx="826">
                  <c:v>235</c:v>
                </c:pt>
                <c:pt idx="827">
                  <c:v>238</c:v>
                </c:pt>
                <c:pt idx="828">
                  <c:v>238</c:v>
                </c:pt>
                <c:pt idx="829">
                  <c:v>239</c:v>
                </c:pt>
                <c:pt idx="830">
                  <c:v>237</c:v>
                </c:pt>
                <c:pt idx="831">
                  <c:v>240</c:v>
                </c:pt>
                <c:pt idx="832">
                  <c:v>240</c:v>
                </c:pt>
                <c:pt idx="833">
                  <c:v>247</c:v>
                </c:pt>
                <c:pt idx="834">
                  <c:v>255</c:v>
                </c:pt>
                <c:pt idx="835">
                  <c:v>262</c:v>
                </c:pt>
                <c:pt idx="836">
                  <c:v>259</c:v>
                </c:pt>
                <c:pt idx="837">
                  <c:v>264</c:v>
                </c:pt>
                <c:pt idx="838">
                  <c:v>264</c:v>
                </c:pt>
                <c:pt idx="839">
                  <c:v>259</c:v>
                </c:pt>
                <c:pt idx="840">
                  <c:v>252</c:v>
                </c:pt>
                <c:pt idx="841">
                  <c:v>247</c:v>
                </c:pt>
                <c:pt idx="842">
                  <c:v>246</c:v>
                </c:pt>
                <c:pt idx="843">
                  <c:v>243</c:v>
                </c:pt>
                <c:pt idx="844">
                  <c:v>240</c:v>
                </c:pt>
                <c:pt idx="845">
                  <c:v>243</c:v>
                </c:pt>
                <c:pt idx="846">
                  <c:v>234</c:v>
                </c:pt>
                <c:pt idx="847">
                  <c:v>232</c:v>
                </c:pt>
                <c:pt idx="848">
                  <c:v>227</c:v>
                </c:pt>
                <c:pt idx="849">
                  <c:v>225</c:v>
                </c:pt>
                <c:pt idx="850">
                  <c:v>227</c:v>
                </c:pt>
                <c:pt idx="851">
                  <c:v>224</c:v>
                </c:pt>
                <c:pt idx="852">
                  <c:v>219</c:v>
                </c:pt>
                <c:pt idx="853">
                  <c:v>222</c:v>
                </c:pt>
                <c:pt idx="854">
                  <c:v>228</c:v>
                </c:pt>
                <c:pt idx="855">
                  <c:v>229</c:v>
                </c:pt>
                <c:pt idx="856">
                  <c:v>234</c:v>
                </c:pt>
                <c:pt idx="857">
                  <c:v>240</c:v>
                </c:pt>
                <c:pt idx="858">
                  <c:v>238</c:v>
                </c:pt>
                <c:pt idx="859">
                  <c:v>247</c:v>
                </c:pt>
                <c:pt idx="860">
                  <c:v>249</c:v>
                </c:pt>
                <c:pt idx="861">
                  <c:v>248</c:v>
                </c:pt>
                <c:pt idx="862">
                  <c:v>248</c:v>
                </c:pt>
                <c:pt idx="863">
                  <c:v>247</c:v>
                </c:pt>
                <c:pt idx="864">
                  <c:v>252</c:v>
                </c:pt>
                <c:pt idx="865">
                  <c:v>250</c:v>
                </c:pt>
                <c:pt idx="866">
                  <c:v>245</c:v>
                </c:pt>
                <c:pt idx="867">
                  <c:v>246</c:v>
                </c:pt>
                <c:pt idx="868">
                  <c:v>240</c:v>
                </c:pt>
                <c:pt idx="869">
                  <c:v>244</c:v>
                </c:pt>
                <c:pt idx="870">
                  <c:v>247</c:v>
                </c:pt>
                <c:pt idx="871">
                  <c:v>243</c:v>
                </c:pt>
                <c:pt idx="872">
                  <c:v>248</c:v>
                </c:pt>
                <c:pt idx="873">
                  <c:v>251</c:v>
                </c:pt>
                <c:pt idx="874">
                  <c:v>244</c:v>
                </c:pt>
                <c:pt idx="875">
                  <c:v>236</c:v>
                </c:pt>
                <c:pt idx="876">
                  <c:v>239</c:v>
                </c:pt>
                <c:pt idx="877">
                  <c:v>226</c:v>
                </c:pt>
                <c:pt idx="878">
                  <c:v>229</c:v>
                </c:pt>
                <c:pt idx="879">
                  <c:v>232</c:v>
                </c:pt>
                <c:pt idx="880">
                  <c:v>233</c:v>
                </c:pt>
                <c:pt idx="881">
                  <c:v>235</c:v>
                </c:pt>
                <c:pt idx="882">
                  <c:v>222</c:v>
                </c:pt>
                <c:pt idx="883">
                  <c:v>221</c:v>
                </c:pt>
                <c:pt idx="884">
                  <c:v>212</c:v>
                </c:pt>
                <c:pt idx="885">
                  <c:v>209</c:v>
                </c:pt>
                <c:pt idx="886">
                  <c:v>207</c:v>
                </c:pt>
                <c:pt idx="887">
                  <c:v>207</c:v>
                </c:pt>
                <c:pt idx="888">
                  <c:v>208</c:v>
                </c:pt>
                <c:pt idx="889">
                  <c:v>213</c:v>
                </c:pt>
                <c:pt idx="890">
                  <c:v>213</c:v>
                </c:pt>
                <c:pt idx="891">
                  <c:v>216</c:v>
                </c:pt>
                <c:pt idx="892">
                  <c:v>220</c:v>
                </c:pt>
                <c:pt idx="893">
                  <c:v>222</c:v>
                </c:pt>
                <c:pt idx="894">
                  <c:v>221</c:v>
                </c:pt>
                <c:pt idx="895">
                  <c:v>215</c:v>
                </c:pt>
                <c:pt idx="896">
                  <c:v>217</c:v>
                </c:pt>
                <c:pt idx="897">
                  <c:v>217</c:v>
                </c:pt>
                <c:pt idx="898">
                  <c:v>218</c:v>
                </c:pt>
                <c:pt idx="899">
                  <c:v>224</c:v>
                </c:pt>
                <c:pt idx="900">
                  <c:v>228</c:v>
                </c:pt>
                <c:pt idx="901">
                  <c:v>232</c:v>
                </c:pt>
                <c:pt idx="902">
                  <c:v>233</c:v>
                </c:pt>
                <c:pt idx="903">
                  <c:v>238</c:v>
                </c:pt>
                <c:pt idx="904">
                  <c:v>238</c:v>
                </c:pt>
                <c:pt idx="905">
                  <c:v>238</c:v>
                </c:pt>
                <c:pt idx="906">
                  <c:v>234</c:v>
                </c:pt>
                <c:pt idx="907">
                  <c:v>239</c:v>
                </c:pt>
                <c:pt idx="908">
                  <c:v>242</c:v>
                </c:pt>
                <c:pt idx="909">
                  <c:v>240</c:v>
                </c:pt>
                <c:pt idx="910">
                  <c:v>243</c:v>
                </c:pt>
                <c:pt idx="911">
                  <c:v>239</c:v>
                </c:pt>
                <c:pt idx="912">
                  <c:v>236</c:v>
                </c:pt>
                <c:pt idx="913">
                  <c:v>237</c:v>
                </c:pt>
                <c:pt idx="914">
                  <c:v>246</c:v>
                </c:pt>
                <c:pt idx="915">
                  <c:v>247</c:v>
                </c:pt>
                <c:pt idx="916">
                  <c:v>252</c:v>
                </c:pt>
                <c:pt idx="917">
                  <c:v>250</c:v>
                </c:pt>
                <c:pt idx="918">
                  <c:v>248</c:v>
                </c:pt>
                <c:pt idx="919">
                  <c:v>247</c:v>
                </c:pt>
                <c:pt idx="920">
                  <c:v>248</c:v>
                </c:pt>
                <c:pt idx="921">
                  <c:v>250</c:v>
                </c:pt>
                <c:pt idx="922">
                  <c:v>254</c:v>
                </c:pt>
                <c:pt idx="923">
                  <c:v>255</c:v>
                </c:pt>
                <c:pt idx="924">
                  <c:v>256</c:v>
                </c:pt>
                <c:pt idx="925">
                  <c:v>261</c:v>
                </c:pt>
                <c:pt idx="926">
                  <c:v>276</c:v>
                </c:pt>
                <c:pt idx="927">
                  <c:v>274</c:v>
                </c:pt>
                <c:pt idx="928">
                  <c:v>270</c:v>
                </c:pt>
                <c:pt idx="929">
                  <c:v>269</c:v>
                </c:pt>
                <c:pt idx="930">
                  <c:v>267</c:v>
                </c:pt>
                <c:pt idx="931">
                  <c:v>265</c:v>
                </c:pt>
                <c:pt idx="932">
                  <c:v>265</c:v>
                </c:pt>
                <c:pt idx="933">
                  <c:v>266</c:v>
                </c:pt>
                <c:pt idx="934">
                  <c:v>258</c:v>
                </c:pt>
                <c:pt idx="935">
                  <c:v>257</c:v>
                </c:pt>
                <c:pt idx="936">
                  <c:v>260</c:v>
                </c:pt>
                <c:pt idx="937">
                  <c:v>263</c:v>
                </c:pt>
                <c:pt idx="938">
                  <c:v>261</c:v>
                </c:pt>
                <c:pt idx="939">
                  <c:v>260</c:v>
                </c:pt>
                <c:pt idx="940">
                  <c:v>256</c:v>
                </c:pt>
                <c:pt idx="941">
                  <c:v>260</c:v>
                </c:pt>
                <c:pt idx="942">
                  <c:v>252</c:v>
                </c:pt>
                <c:pt idx="943">
                  <c:v>253</c:v>
                </c:pt>
                <c:pt idx="944">
                  <c:v>250</c:v>
                </c:pt>
                <c:pt idx="945">
                  <c:v>255</c:v>
                </c:pt>
                <c:pt idx="946">
                  <c:v>250</c:v>
                </c:pt>
                <c:pt idx="947">
                  <c:v>248</c:v>
                </c:pt>
                <c:pt idx="948">
                  <c:v>250</c:v>
                </c:pt>
                <c:pt idx="949">
                  <c:v>250</c:v>
                </c:pt>
                <c:pt idx="950">
                  <c:v>252</c:v>
                </c:pt>
                <c:pt idx="951">
                  <c:v>248</c:v>
                </c:pt>
                <c:pt idx="952">
                  <c:v>252</c:v>
                </c:pt>
                <c:pt idx="953">
                  <c:v>252</c:v>
                </c:pt>
                <c:pt idx="954">
                  <c:v>251</c:v>
                </c:pt>
                <c:pt idx="955">
                  <c:v>247</c:v>
                </c:pt>
                <c:pt idx="956">
                  <c:v>250</c:v>
                </c:pt>
                <c:pt idx="957">
                  <c:v>253</c:v>
                </c:pt>
                <c:pt idx="958">
                  <c:v>253</c:v>
                </c:pt>
                <c:pt idx="959">
                  <c:v>249</c:v>
                </c:pt>
                <c:pt idx="960">
                  <c:v>248</c:v>
                </c:pt>
                <c:pt idx="961">
                  <c:v>254</c:v>
                </c:pt>
                <c:pt idx="962">
                  <c:v>252</c:v>
                </c:pt>
                <c:pt idx="963">
                  <c:v>253</c:v>
                </c:pt>
                <c:pt idx="964">
                  <c:v>253</c:v>
                </c:pt>
                <c:pt idx="965">
                  <c:v>251</c:v>
                </c:pt>
                <c:pt idx="966">
                  <c:v>250</c:v>
                </c:pt>
                <c:pt idx="967">
                  <c:v>250</c:v>
                </c:pt>
                <c:pt idx="968">
                  <c:v>250</c:v>
                </c:pt>
                <c:pt idx="969">
                  <c:v>249</c:v>
                </c:pt>
                <c:pt idx="970">
                  <c:v>253</c:v>
                </c:pt>
                <c:pt idx="971">
                  <c:v>248</c:v>
                </c:pt>
                <c:pt idx="972">
                  <c:v>253</c:v>
                </c:pt>
                <c:pt idx="973">
                  <c:v>258</c:v>
                </c:pt>
                <c:pt idx="974">
                  <c:v>262</c:v>
                </c:pt>
                <c:pt idx="975">
                  <c:v>255</c:v>
                </c:pt>
                <c:pt idx="976">
                  <c:v>255</c:v>
                </c:pt>
                <c:pt idx="977">
                  <c:v>255</c:v>
                </c:pt>
                <c:pt idx="978">
                  <c:v>239</c:v>
                </c:pt>
                <c:pt idx="979">
                  <c:v>240</c:v>
                </c:pt>
                <c:pt idx="980">
                  <c:v>240</c:v>
                </c:pt>
                <c:pt idx="981">
                  <c:v>242</c:v>
                </c:pt>
                <c:pt idx="982">
                  <c:v>246</c:v>
                </c:pt>
                <c:pt idx="983">
                  <c:v>245</c:v>
                </c:pt>
                <c:pt idx="984">
                  <c:v>249</c:v>
                </c:pt>
                <c:pt idx="985">
                  <c:v>245</c:v>
                </c:pt>
                <c:pt idx="986">
                  <c:v>243</c:v>
                </c:pt>
                <c:pt idx="987">
                  <c:v>251</c:v>
                </c:pt>
                <c:pt idx="988">
                  <c:v>249</c:v>
                </c:pt>
                <c:pt idx="989">
                  <c:v>245</c:v>
                </c:pt>
                <c:pt idx="990">
                  <c:v>242</c:v>
                </c:pt>
                <c:pt idx="991">
                  <c:v>240</c:v>
                </c:pt>
                <c:pt idx="992">
                  <c:v>236</c:v>
                </c:pt>
                <c:pt idx="993">
                  <c:v>235</c:v>
                </c:pt>
                <c:pt idx="994">
                  <c:v>236</c:v>
                </c:pt>
                <c:pt idx="995">
                  <c:v>239</c:v>
                </c:pt>
                <c:pt idx="996">
                  <c:v>240</c:v>
                </c:pt>
                <c:pt idx="997">
                  <c:v>241</c:v>
                </c:pt>
                <c:pt idx="998">
                  <c:v>242</c:v>
                </c:pt>
                <c:pt idx="999">
                  <c:v>241</c:v>
                </c:pt>
                <c:pt idx="1000">
                  <c:v>241</c:v>
                </c:pt>
                <c:pt idx="1001">
                  <c:v>241</c:v>
                </c:pt>
                <c:pt idx="1002">
                  <c:v>241</c:v>
                </c:pt>
                <c:pt idx="1003">
                  <c:v>240</c:v>
                </c:pt>
                <c:pt idx="1004">
                  <c:v>242</c:v>
                </c:pt>
                <c:pt idx="1005">
                  <c:v>244</c:v>
                </c:pt>
                <c:pt idx="1006">
                  <c:v>250</c:v>
                </c:pt>
                <c:pt idx="1007">
                  <c:v>249</c:v>
                </c:pt>
                <c:pt idx="1008">
                  <c:v>245</c:v>
                </c:pt>
                <c:pt idx="1009">
                  <c:v>239</c:v>
                </c:pt>
                <c:pt idx="1010">
                  <c:v>232</c:v>
                </c:pt>
                <c:pt idx="1011">
                  <c:v>234</c:v>
                </c:pt>
                <c:pt idx="1012">
                  <c:v>237</c:v>
                </c:pt>
                <c:pt idx="1013">
                  <c:v>238</c:v>
                </c:pt>
                <c:pt idx="1014">
                  <c:v>240</c:v>
                </c:pt>
                <c:pt idx="1015">
                  <c:v>244</c:v>
                </c:pt>
                <c:pt idx="1016">
                  <c:v>240</c:v>
                </c:pt>
                <c:pt idx="1017">
                  <c:v>239</c:v>
                </c:pt>
                <c:pt idx="1018">
                  <c:v>246</c:v>
                </c:pt>
                <c:pt idx="1019">
                  <c:v>247</c:v>
                </c:pt>
                <c:pt idx="1020">
                  <c:v>252</c:v>
                </c:pt>
                <c:pt idx="1021">
                  <c:v>245</c:v>
                </c:pt>
                <c:pt idx="1022">
                  <c:v>245</c:v>
                </c:pt>
                <c:pt idx="1023">
                  <c:v>255</c:v>
                </c:pt>
                <c:pt idx="1024">
                  <c:v>255</c:v>
                </c:pt>
                <c:pt idx="1025">
                  <c:v>255</c:v>
                </c:pt>
                <c:pt idx="1026">
                  <c:v>258</c:v>
                </c:pt>
                <c:pt idx="1027">
                  <c:v>258</c:v>
                </c:pt>
                <c:pt idx="1028">
                  <c:v>254</c:v>
                </c:pt>
                <c:pt idx="1029">
                  <c:v>250</c:v>
                </c:pt>
                <c:pt idx="1030">
                  <c:v>254</c:v>
                </c:pt>
                <c:pt idx="1031">
                  <c:v>256</c:v>
                </c:pt>
                <c:pt idx="1032">
                  <c:v>264</c:v>
                </c:pt>
                <c:pt idx="1033">
                  <c:v>278</c:v>
                </c:pt>
                <c:pt idx="1034">
                  <c:v>275</c:v>
                </c:pt>
                <c:pt idx="1035">
                  <c:v>276</c:v>
                </c:pt>
                <c:pt idx="1036">
                  <c:v>272</c:v>
                </c:pt>
                <c:pt idx="1037">
                  <c:v>274</c:v>
                </c:pt>
                <c:pt idx="1038">
                  <c:v>273</c:v>
                </c:pt>
                <c:pt idx="1039">
                  <c:v>276</c:v>
                </c:pt>
                <c:pt idx="1040">
                  <c:v>273</c:v>
                </c:pt>
                <c:pt idx="1041">
                  <c:v>268</c:v>
                </c:pt>
                <c:pt idx="1042">
                  <c:v>270</c:v>
                </c:pt>
                <c:pt idx="1043">
                  <c:v>265</c:v>
                </c:pt>
                <c:pt idx="1044">
                  <c:v>260</c:v>
                </c:pt>
                <c:pt idx="1045">
                  <c:v>261</c:v>
                </c:pt>
                <c:pt idx="1046">
                  <c:v>258</c:v>
                </c:pt>
                <c:pt idx="1047">
                  <c:v>261</c:v>
                </c:pt>
                <c:pt idx="1048">
                  <c:v>270</c:v>
                </c:pt>
                <c:pt idx="1049">
                  <c:v>276</c:v>
                </c:pt>
                <c:pt idx="1050">
                  <c:v>274</c:v>
                </c:pt>
                <c:pt idx="1051">
                  <c:v>277</c:v>
                </c:pt>
                <c:pt idx="1052">
                  <c:v>274</c:v>
                </c:pt>
                <c:pt idx="1053">
                  <c:v>274</c:v>
                </c:pt>
                <c:pt idx="1054">
                  <c:v>267</c:v>
                </c:pt>
                <c:pt idx="1055">
                  <c:v>270</c:v>
                </c:pt>
                <c:pt idx="1056">
                  <c:v>272</c:v>
                </c:pt>
                <c:pt idx="1057">
                  <c:v>272</c:v>
                </c:pt>
                <c:pt idx="1058">
                  <c:v>280</c:v>
                </c:pt>
                <c:pt idx="1059">
                  <c:v>276</c:v>
                </c:pt>
                <c:pt idx="1060">
                  <c:v>274</c:v>
                </c:pt>
                <c:pt idx="1061">
                  <c:v>271</c:v>
                </c:pt>
                <c:pt idx="1062">
                  <c:v>271</c:v>
                </c:pt>
                <c:pt idx="1063">
                  <c:v>273</c:v>
                </c:pt>
                <c:pt idx="1064">
                  <c:v>267</c:v>
                </c:pt>
                <c:pt idx="1065">
                  <c:v>263</c:v>
                </c:pt>
                <c:pt idx="1066">
                  <c:v>261</c:v>
                </c:pt>
                <c:pt idx="1067">
                  <c:v>263</c:v>
                </c:pt>
                <c:pt idx="1068">
                  <c:v>262</c:v>
                </c:pt>
                <c:pt idx="1069">
                  <c:v>254</c:v>
                </c:pt>
                <c:pt idx="1070">
                  <c:v>254</c:v>
                </c:pt>
                <c:pt idx="1071">
                  <c:v>251</c:v>
                </c:pt>
                <c:pt idx="1072">
                  <c:v>247</c:v>
                </c:pt>
                <c:pt idx="1073">
                  <c:v>249</c:v>
                </c:pt>
                <c:pt idx="1074">
                  <c:v>247</c:v>
                </c:pt>
                <c:pt idx="1075">
                  <c:v>248</c:v>
                </c:pt>
                <c:pt idx="1076">
                  <c:v>254</c:v>
                </c:pt>
                <c:pt idx="1077">
                  <c:v>260</c:v>
                </c:pt>
                <c:pt idx="1078">
                  <c:v>263</c:v>
                </c:pt>
                <c:pt idx="1079">
                  <c:v>267</c:v>
                </c:pt>
                <c:pt idx="1080">
                  <c:v>266</c:v>
                </c:pt>
                <c:pt idx="1081">
                  <c:v>264</c:v>
                </c:pt>
                <c:pt idx="1082">
                  <c:v>269</c:v>
                </c:pt>
                <c:pt idx="1083">
                  <c:v>260</c:v>
                </c:pt>
                <c:pt idx="1084">
                  <c:v>260</c:v>
                </c:pt>
                <c:pt idx="1085">
                  <c:v>262</c:v>
                </c:pt>
                <c:pt idx="1086">
                  <c:v>264</c:v>
                </c:pt>
                <c:pt idx="1087">
                  <c:v>255</c:v>
                </c:pt>
                <c:pt idx="1088">
                  <c:v>256</c:v>
                </c:pt>
                <c:pt idx="1089">
                  <c:v>261</c:v>
                </c:pt>
                <c:pt idx="1090">
                  <c:v>266</c:v>
                </c:pt>
                <c:pt idx="1091">
                  <c:v>272</c:v>
                </c:pt>
                <c:pt idx="1092">
                  <c:v>268</c:v>
                </c:pt>
                <c:pt idx="1093">
                  <c:v>260</c:v>
                </c:pt>
                <c:pt idx="1094">
                  <c:v>272</c:v>
                </c:pt>
                <c:pt idx="1095">
                  <c:v>272</c:v>
                </c:pt>
                <c:pt idx="1096">
                  <c:v>278</c:v>
                </c:pt>
                <c:pt idx="1097">
                  <c:v>273</c:v>
                </c:pt>
                <c:pt idx="1098">
                  <c:v>285</c:v>
                </c:pt>
                <c:pt idx="1099">
                  <c:v>296</c:v>
                </c:pt>
                <c:pt idx="1100">
                  <c:v>293</c:v>
                </c:pt>
                <c:pt idx="1101">
                  <c:v>291</c:v>
                </c:pt>
                <c:pt idx="1102">
                  <c:v>294</c:v>
                </c:pt>
                <c:pt idx="1103">
                  <c:v>295</c:v>
                </c:pt>
                <c:pt idx="1104">
                  <c:v>293</c:v>
                </c:pt>
                <c:pt idx="1105">
                  <c:v>287</c:v>
                </c:pt>
                <c:pt idx="1106">
                  <c:v>309</c:v>
                </c:pt>
                <c:pt idx="1107">
                  <c:v>328</c:v>
                </c:pt>
                <c:pt idx="1108">
                  <c:v>335</c:v>
                </c:pt>
                <c:pt idx="1109">
                  <c:v>337</c:v>
                </c:pt>
                <c:pt idx="1110">
                  <c:v>334</c:v>
                </c:pt>
                <c:pt idx="1111">
                  <c:v>334</c:v>
                </c:pt>
                <c:pt idx="1112">
                  <c:v>332</c:v>
                </c:pt>
                <c:pt idx="1113">
                  <c:v>336</c:v>
                </c:pt>
                <c:pt idx="1114">
                  <c:v>329</c:v>
                </c:pt>
                <c:pt idx="1115">
                  <c:v>323</c:v>
                </c:pt>
                <c:pt idx="1116">
                  <c:v>332</c:v>
                </c:pt>
                <c:pt idx="1117">
                  <c:v>338</c:v>
                </c:pt>
                <c:pt idx="1118">
                  <c:v>349</c:v>
                </c:pt>
                <c:pt idx="1119">
                  <c:v>345</c:v>
                </c:pt>
                <c:pt idx="1120">
                  <c:v>345</c:v>
                </c:pt>
                <c:pt idx="1121">
                  <c:v>343</c:v>
                </c:pt>
                <c:pt idx="1122">
                  <c:v>335</c:v>
                </c:pt>
                <c:pt idx="1123">
                  <c:v>330</c:v>
                </c:pt>
                <c:pt idx="1124">
                  <c:v>329</c:v>
                </c:pt>
                <c:pt idx="1125">
                  <c:v>332</c:v>
                </c:pt>
                <c:pt idx="1126">
                  <c:v>332</c:v>
                </c:pt>
                <c:pt idx="1127">
                  <c:v>323</c:v>
                </c:pt>
                <c:pt idx="1128">
                  <c:v>311</c:v>
                </c:pt>
                <c:pt idx="1129">
                  <c:v>308</c:v>
                </c:pt>
                <c:pt idx="1130">
                  <c:v>305</c:v>
                </c:pt>
                <c:pt idx="1131">
                  <c:v>302</c:v>
                </c:pt>
                <c:pt idx="1132">
                  <c:v>306</c:v>
                </c:pt>
                <c:pt idx="1133">
                  <c:v>300</c:v>
                </c:pt>
                <c:pt idx="1134">
                  <c:v>306</c:v>
                </c:pt>
                <c:pt idx="1135">
                  <c:v>301</c:v>
                </c:pt>
                <c:pt idx="1136">
                  <c:v>285</c:v>
                </c:pt>
                <c:pt idx="1137">
                  <c:v>277</c:v>
                </c:pt>
                <c:pt idx="1138">
                  <c:v>275</c:v>
                </c:pt>
                <c:pt idx="1139">
                  <c:v>272</c:v>
                </c:pt>
                <c:pt idx="1140">
                  <c:v>270</c:v>
                </c:pt>
                <c:pt idx="1141">
                  <c:v>273</c:v>
                </c:pt>
                <c:pt idx="1142">
                  <c:v>271</c:v>
                </c:pt>
                <c:pt idx="1143">
                  <c:v>267</c:v>
                </c:pt>
                <c:pt idx="1144">
                  <c:v>266</c:v>
                </c:pt>
                <c:pt idx="1145">
                  <c:v>264</c:v>
                </c:pt>
                <c:pt idx="1146">
                  <c:v>267</c:v>
                </c:pt>
                <c:pt idx="1147">
                  <c:v>271</c:v>
                </c:pt>
                <c:pt idx="1148">
                  <c:v>276</c:v>
                </c:pt>
                <c:pt idx="1149">
                  <c:v>277</c:v>
                </c:pt>
                <c:pt idx="1150">
                  <c:v>280</c:v>
                </c:pt>
                <c:pt idx="1151">
                  <c:v>297</c:v>
                </c:pt>
                <c:pt idx="1152">
                  <c:v>292</c:v>
                </c:pt>
                <c:pt idx="1153">
                  <c:v>295</c:v>
                </c:pt>
                <c:pt idx="1154">
                  <c:v>295</c:v>
                </c:pt>
                <c:pt idx="1155">
                  <c:v>298</c:v>
                </c:pt>
                <c:pt idx="1156">
                  <c:v>299</c:v>
                </c:pt>
                <c:pt idx="1157">
                  <c:v>301</c:v>
                </c:pt>
                <c:pt idx="1158">
                  <c:v>296</c:v>
                </c:pt>
                <c:pt idx="1159">
                  <c:v>303</c:v>
                </c:pt>
                <c:pt idx="1160">
                  <c:v>312</c:v>
                </c:pt>
                <c:pt idx="1161">
                  <c:v>319</c:v>
                </c:pt>
                <c:pt idx="1162">
                  <c:v>327</c:v>
                </c:pt>
                <c:pt idx="1163">
                  <c:v>327</c:v>
                </c:pt>
                <c:pt idx="1164">
                  <c:v>331</c:v>
                </c:pt>
                <c:pt idx="1165">
                  <c:v>332</c:v>
                </c:pt>
                <c:pt idx="1166">
                  <c:v>332</c:v>
                </c:pt>
                <c:pt idx="1167">
                  <c:v>332</c:v>
                </c:pt>
                <c:pt idx="1168">
                  <c:v>320</c:v>
                </c:pt>
                <c:pt idx="1169">
                  <c:v>323</c:v>
                </c:pt>
                <c:pt idx="1170">
                  <c:v>318</c:v>
                </c:pt>
                <c:pt idx="1171">
                  <c:v>325</c:v>
                </c:pt>
                <c:pt idx="1172">
                  <c:v>333</c:v>
                </c:pt>
                <c:pt idx="1173">
                  <c:v>345</c:v>
                </c:pt>
                <c:pt idx="1174">
                  <c:v>343</c:v>
                </c:pt>
                <c:pt idx="1175">
                  <c:v>333</c:v>
                </c:pt>
                <c:pt idx="1176">
                  <c:v>334</c:v>
                </c:pt>
                <c:pt idx="1177">
                  <c:v>330</c:v>
                </c:pt>
                <c:pt idx="1178">
                  <c:v>332</c:v>
                </c:pt>
                <c:pt idx="1179">
                  <c:v>330</c:v>
                </c:pt>
                <c:pt idx="1180">
                  <c:v>325</c:v>
                </c:pt>
                <c:pt idx="1181">
                  <c:v>330</c:v>
                </c:pt>
                <c:pt idx="1182">
                  <c:v>311</c:v>
                </c:pt>
                <c:pt idx="1183">
                  <c:v>304</c:v>
                </c:pt>
                <c:pt idx="1184">
                  <c:v>300</c:v>
                </c:pt>
                <c:pt idx="1185">
                  <c:v>309</c:v>
                </c:pt>
                <c:pt idx="1186">
                  <c:v>307</c:v>
                </c:pt>
                <c:pt idx="1187">
                  <c:v>295</c:v>
                </c:pt>
                <c:pt idx="1188">
                  <c:v>297</c:v>
                </c:pt>
                <c:pt idx="1189">
                  <c:v>271</c:v>
                </c:pt>
                <c:pt idx="1190">
                  <c:v>271</c:v>
                </c:pt>
                <c:pt idx="1191">
                  <c:v>268</c:v>
                </c:pt>
                <c:pt idx="1192">
                  <c:v>265</c:v>
                </c:pt>
                <c:pt idx="1193">
                  <c:v>265</c:v>
                </c:pt>
                <c:pt idx="1194">
                  <c:v>270</c:v>
                </c:pt>
                <c:pt idx="1195">
                  <c:v>274</c:v>
                </c:pt>
                <c:pt idx="1196">
                  <c:v>261</c:v>
                </c:pt>
                <c:pt idx="1197">
                  <c:v>257</c:v>
                </c:pt>
                <c:pt idx="1198">
                  <c:v>260</c:v>
                </c:pt>
                <c:pt idx="1199">
                  <c:v>255</c:v>
                </c:pt>
                <c:pt idx="1200">
                  <c:v>254</c:v>
                </c:pt>
                <c:pt idx="1201">
                  <c:v>252</c:v>
                </c:pt>
                <c:pt idx="1202">
                  <c:v>264</c:v>
                </c:pt>
                <c:pt idx="1203">
                  <c:v>269</c:v>
                </c:pt>
                <c:pt idx="1204">
                  <c:v>262</c:v>
                </c:pt>
                <c:pt idx="1205">
                  <c:v>261</c:v>
                </c:pt>
                <c:pt idx="1206">
                  <c:v>263</c:v>
                </c:pt>
                <c:pt idx="1207">
                  <c:v>256</c:v>
                </c:pt>
                <c:pt idx="1208">
                  <c:v>250</c:v>
                </c:pt>
                <c:pt idx="1209">
                  <c:v>250</c:v>
                </c:pt>
                <c:pt idx="1210">
                  <c:v>249</c:v>
                </c:pt>
                <c:pt idx="1211">
                  <c:v>244</c:v>
                </c:pt>
                <c:pt idx="1212">
                  <c:v>243</c:v>
                </c:pt>
                <c:pt idx="1213">
                  <c:v>242</c:v>
                </c:pt>
                <c:pt idx="1214">
                  <c:v>243</c:v>
                </c:pt>
                <c:pt idx="1215">
                  <c:v>243</c:v>
                </c:pt>
                <c:pt idx="1216">
                  <c:v>245</c:v>
                </c:pt>
                <c:pt idx="1217">
                  <c:v>244</c:v>
                </c:pt>
                <c:pt idx="1218">
                  <c:v>247</c:v>
                </c:pt>
                <c:pt idx="1219">
                  <c:v>248</c:v>
                </c:pt>
                <c:pt idx="1220">
                  <c:v>245</c:v>
                </c:pt>
                <c:pt idx="1221">
                  <c:v>244</c:v>
                </c:pt>
                <c:pt idx="1222">
                  <c:v>246</c:v>
                </c:pt>
                <c:pt idx="1223">
                  <c:v>246</c:v>
                </c:pt>
                <c:pt idx="1224">
                  <c:v>247</c:v>
                </c:pt>
                <c:pt idx="1225">
                  <c:v>247</c:v>
                </c:pt>
                <c:pt idx="1226">
                  <c:v>239</c:v>
                </c:pt>
                <c:pt idx="1227">
                  <c:v>244</c:v>
                </c:pt>
                <c:pt idx="1228">
                  <c:v>243</c:v>
                </c:pt>
                <c:pt idx="1229">
                  <c:v>251</c:v>
                </c:pt>
                <c:pt idx="1230">
                  <c:v>248</c:v>
                </c:pt>
                <c:pt idx="1231">
                  <c:v>250</c:v>
                </c:pt>
                <c:pt idx="1232">
                  <c:v>251</c:v>
                </c:pt>
                <c:pt idx="1233">
                  <c:v>248</c:v>
                </c:pt>
                <c:pt idx="1234">
                  <c:v>252</c:v>
                </c:pt>
                <c:pt idx="1235">
                  <c:v>250</c:v>
                </c:pt>
                <c:pt idx="1236">
                  <c:v>246</c:v>
                </c:pt>
                <c:pt idx="1237">
                  <c:v>246</c:v>
                </c:pt>
                <c:pt idx="1238">
                  <c:v>249</c:v>
                </c:pt>
                <c:pt idx="1239">
                  <c:v>244</c:v>
                </c:pt>
                <c:pt idx="1240">
                  <c:v>247</c:v>
                </c:pt>
                <c:pt idx="1241">
                  <c:v>245</c:v>
                </c:pt>
                <c:pt idx="1242">
                  <c:v>243</c:v>
                </c:pt>
                <c:pt idx="1243">
                  <c:v>235</c:v>
                </c:pt>
                <c:pt idx="1244">
                  <c:v>233</c:v>
                </c:pt>
                <c:pt idx="1245">
                  <c:v>242</c:v>
                </c:pt>
                <c:pt idx="1246">
                  <c:v>239</c:v>
                </c:pt>
                <c:pt idx="1247">
                  <c:v>235</c:v>
                </c:pt>
                <c:pt idx="1248">
                  <c:v>237</c:v>
                </c:pt>
                <c:pt idx="1249">
                  <c:v>240</c:v>
                </c:pt>
                <c:pt idx="1250">
                  <c:v>243</c:v>
                </c:pt>
                <c:pt idx="1251">
                  <c:v>236</c:v>
                </c:pt>
                <c:pt idx="1252">
                  <c:v>229</c:v>
                </c:pt>
                <c:pt idx="1253">
                  <c:v>231</c:v>
                </c:pt>
                <c:pt idx="1254">
                  <c:v>236</c:v>
                </c:pt>
                <c:pt idx="1255">
                  <c:v>238</c:v>
                </c:pt>
                <c:pt idx="1256">
                  <c:v>233</c:v>
                </c:pt>
                <c:pt idx="1257">
                  <c:v>235</c:v>
                </c:pt>
                <c:pt idx="1258">
                  <c:v>228</c:v>
                </c:pt>
                <c:pt idx="1259">
                  <c:v>233</c:v>
                </c:pt>
                <c:pt idx="1260">
                  <c:v>249</c:v>
                </c:pt>
                <c:pt idx="1261">
                  <c:v>255</c:v>
                </c:pt>
                <c:pt idx="1262">
                  <c:v>245</c:v>
                </c:pt>
                <c:pt idx="1263">
                  <c:v>256</c:v>
                </c:pt>
                <c:pt idx="1264">
                  <c:v>241</c:v>
                </c:pt>
                <c:pt idx="1265">
                  <c:v>226</c:v>
                </c:pt>
                <c:pt idx="1266">
                  <c:v>235</c:v>
                </c:pt>
                <c:pt idx="1267">
                  <c:v>243</c:v>
                </c:pt>
                <c:pt idx="1268">
                  <c:v>229</c:v>
                </c:pt>
                <c:pt idx="1269">
                  <c:v>227</c:v>
                </c:pt>
                <c:pt idx="1270">
                  <c:v>227</c:v>
                </c:pt>
                <c:pt idx="1271">
                  <c:v>224</c:v>
                </c:pt>
                <c:pt idx="1272">
                  <c:v>224</c:v>
                </c:pt>
                <c:pt idx="1273">
                  <c:v>222</c:v>
                </c:pt>
                <c:pt idx="1274">
                  <c:v>225</c:v>
                </c:pt>
                <c:pt idx="1275">
                  <c:v>226</c:v>
                </c:pt>
                <c:pt idx="1276">
                  <c:v>233</c:v>
                </c:pt>
                <c:pt idx="1277">
                  <c:v>231</c:v>
                </c:pt>
                <c:pt idx="1278">
                  <c:v>231</c:v>
                </c:pt>
                <c:pt idx="1279">
                  <c:v>231</c:v>
                </c:pt>
                <c:pt idx="1280">
                  <c:v>228</c:v>
                </c:pt>
                <c:pt idx="1281">
                  <c:v>226</c:v>
                </c:pt>
                <c:pt idx="1282">
                  <c:v>225</c:v>
                </c:pt>
                <c:pt idx="1283">
                  <c:v>225</c:v>
                </c:pt>
                <c:pt idx="1284">
                  <c:v>223</c:v>
                </c:pt>
                <c:pt idx="1285">
                  <c:v>222</c:v>
                </c:pt>
                <c:pt idx="1286">
                  <c:v>218</c:v>
                </c:pt>
                <c:pt idx="1287">
                  <c:v>222</c:v>
                </c:pt>
                <c:pt idx="1288">
                  <c:v>221</c:v>
                </c:pt>
                <c:pt idx="1289">
                  <c:v>225</c:v>
                </c:pt>
                <c:pt idx="1290">
                  <c:v>228</c:v>
                </c:pt>
                <c:pt idx="1291">
                  <c:v>234</c:v>
                </c:pt>
                <c:pt idx="1292">
                  <c:v>240</c:v>
                </c:pt>
                <c:pt idx="1293">
                  <c:v>239</c:v>
                </c:pt>
                <c:pt idx="1294">
                  <c:v>240</c:v>
                </c:pt>
                <c:pt idx="1295">
                  <c:v>237</c:v>
                </c:pt>
                <c:pt idx="1296">
                  <c:v>235</c:v>
                </c:pt>
                <c:pt idx="1297">
                  <c:v>233</c:v>
                </c:pt>
                <c:pt idx="1298">
                  <c:v>231</c:v>
                </c:pt>
                <c:pt idx="1299">
                  <c:v>234</c:v>
                </c:pt>
                <c:pt idx="1300">
                  <c:v>238</c:v>
                </c:pt>
                <c:pt idx="1301">
                  <c:v>244</c:v>
                </c:pt>
                <c:pt idx="1302">
                  <c:v>245</c:v>
                </c:pt>
                <c:pt idx="1303">
                  <c:v>243</c:v>
                </c:pt>
                <c:pt idx="1304">
                  <c:v>239</c:v>
                </c:pt>
                <c:pt idx="1305">
                  <c:v>239</c:v>
                </c:pt>
                <c:pt idx="1306">
                  <c:v>240</c:v>
                </c:pt>
                <c:pt idx="1307">
                  <c:v>242</c:v>
                </c:pt>
                <c:pt idx="1308">
                  <c:v>238</c:v>
                </c:pt>
                <c:pt idx="1309">
                  <c:v>236</c:v>
                </c:pt>
                <c:pt idx="1310">
                  <c:v>242</c:v>
                </c:pt>
                <c:pt idx="1311">
                  <c:v>244</c:v>
                </c:pt>
                <c:pt idx="1312">
                  <c:v>241</c:v>
                </c:pt>
                <c:pt idx="1313">
                  <c:v>240</c:v>
                </c:pt>
                <c:pt idx="1314">
                  <c:v>239</c:v>
                </c:pt>
                <c:pt idx="1315">
                  <c:v>242</c:v>
                </c:pt>
                <c:pt idx="1316">
                  <c:v>243</c:v>
                </c:pt>
                <c:pt idx="1317">
                  <c:v>246</c:v>
                </c:pt>
                <c:pt idx="1318">
                  <c:v>246</c:v>
                </c:pt>
                <c:pt idx="1319">
                  <c:v>247</c:v>
                </c:pt>
                <c:pt idx="1320">
                  <c:v>248</c:v>
                </c:pt>
                <c:pt idx="1321">
                  <c:v>246</c:v>
                </c:pt>
                <c:pt idx="1322">
                  <c:v>251</c:v>
                </c:pt>
                <c:pt idx="1323">
                  <c:v>260</c:v>
                </c:pt>
                <c:pt idx="1324">
                  <c:v>256</c:v>
                </c:pt>
                <c:pt idx="1325">
                  <c:v>251</c:v>
                </c:pt>
                <c:pt idx="1326">
                  <c:v>253</c:v>
                </c:pt>
                <c:pt idx="1327">
                  <c:v>255</c:v>
                </c:pt>
                <c:pt idx="1328">
                  <c:v>253</c:v>
                </c:pt>
                <c:pt idx="1329">
                  <c:v>253</c:v>
                </c:pt>
                <c:pt idx="1330">
                  <c:v>247</c:v>
                </c:pt>
                <c:pt idx="1331">
                  <c:v>249</c:v>
                </c:pt>
                <c:pt idx="1332">
                  <c:v>245</c:v>
                </c:pt>
                <c:pt idx="1333">
                  <c:v>244</c:v>
                </c:pt>
                <c:pt idx="1334">
                  <c:v>243</c:v>
                </c:pt>
                <c:pt idx="1335">
                  <c:v>239</c:v>
                </c:pt>
                <c:pt idx="1336">
                  <c:v>238</c:v>
                </c:pt>
                <c:pt idx="1337">
                  <c:v>242</c:v>
                </c:pt>
                <c:pt idx="1338">
                  <c:v>234</c:v>
                </c:pt>
                <c:pt idx="1339">
                  <c:v>234</c:v>
                </c:pt>
                <c:pt idx="1340">
                  <c:v>233</c:v>
                </c:pt>
                <c:pt idx="1341">
                  <c:v>233</c:v>
                </c:pt>
                <c:pt idx="1342">
                  <c:v>236</c:v>
                </c:pt>
                <c:pt idx="1343">
                  <c:v>236</c:v>
                </c:pt>
                <c:pt idx="1344">
                  <c:v>240</c:v>
                </c:pt>
                <c:pt idx="1345">
                  <c:v>242</c:v>
                </c:pt>
                <c:pt idx="1346">
                  <c:v>244</c:v>
                </c:pt>
                <c:pt idx="1347">
                  <c:v>245</c:v>
                </c:pt>
                <c:pt idx="1348">
                  <c:v>247</c:v>
                </c:pt>
                <c:pt idx="1349">
                  <c:v>248</c:v>
                </c:pt>
                <c:pt idx="1350">
                  <c:v>244</c:v>
                </c:pt>
                <c:pt idx="1351">
                  <c:v>244</c:v>
                </c:pt>
                <c:pt idx="1352">
                  <c:v>241</c:v>
                </c:pt>
                <c:pt idx="1353">
                  <c:v>245</c:v>
                </c:pt>
                <c:pt idx="1354">
                  <c:v>245</c:v>
                </c:pt>
                <c:pt idx="1355">
                  <c:v>246</c:v>
                </c:pt>
                <c:pt idx="1356">
                  <c:v>247</c:v>
                </c:pt>
                <c:pt idx="1357">
                  <c:v>253</c:v>
                </c:pt>
                <c:pt idx="1358">
                  <c:v>256</c:v>
                </c:pt>
                <c:pt idx="1359">
                  <c:v>256</c:v>
                </c:pt>
                <c:pt idx="1360">
                  <c:v>257</c:v>
                </c:pt>
                <c:pt idx="1361">
                  <c:v>253</c:v>
                </c:pt>
                <c:pt idx="1362">
                  <c:v>255</c:v>
                </c:pt>
                <c:pt idx="1363">
                  <c:v>254</c:v>
                </c:pt>
                <c:pt idx="1364">
                  <c:v>252</c:v>
                </c:pt>
                <c:pt idx="1365">
                  <c:v>252</c:v>
                </c:pt>
                <c:pt idx="1366">
                  <c:v>255</c:v>
                </c:pt>
                <c:pt idx="1367">
                  <c:v>256</c:v>
                </c:pt>
                <c:pt idx="1368">
                  <c:v>257</c:v>
                </c:pt>
                <c:pt idx="1369">
                  <c:v>260</c:v>
                </c:pt>
                <c:pt idx="1370">
                  <c:v>259</c:v>
                </c:pt>
                <c:pt idx="1371">
                  <c:v>264</c:v>
                </c:pt>
                <c:pt idx="1372">
                  <c:v>265</c:v>
                </c:pt>
                <c:pt idx="1373">
                  <c:v>267</c:v>
                </c:pt>
                <c:pt idx="1374">
                  <c:v>268</c:v>
                </c:pt>
                <c:pt idx="1375">
                  <c:v>265</c:v>
                </c:pt>
                <c:pt idx="1376">
                  <c:v>265</c:v>
                </c:pt>
                <c:pt idx="1377">
                  <c:v>272</c:v>
                </c:pt>
                <c:pt idx="1378">
                  <c:v>272</c:v>
                </c:pt>
                <c:pt idx="1379">
                  <c:v>274</c:v>
                </c:pt>
                <c:pt idx="1380">
                  <c:v>273</c:v>
                </c:pt>
                <c:pt idx="1381">
                  <c:v>270</c:v>
                </c:pt>
                <c:pt idx="1382">
                  <c:v>269</c:v>
                </c:pt>
                <c:pt idx="1383">
                  <c:v>274</c:v>
                </c:pt>
                <c:pt idx="1384">
                  <c:v>276</c:v>
                </c:pt>
                <c:pt idx="1385">
                  <c:v>279</c:v>
                </c:pt>
                <c:pt idx="1386">
                  <c:v>277</c:v>
                </c:pt>
                <c:pt idx="1387">
                  <c:v>279</c:v>
                </c:pt>
                <c:pt idx="1388">
                  <c:v>271</c:v>
                </c:pt>
                <c:pt idx="1389">
                  <c:v>269</c:v>
                </c:pt>
                <c:pt idx="1390">
                  <c:v>276</c:v>
                </c:pt>
                <c:pt idx="1391">
                  <c:v>281</c:v>
                </c:pt>
                <c:pt idx="1392">
                  <c:v>281</c:v>
                </c:pt>
                <c:pt idx="1393">
                  <c:v>269</c:v>
                </c:pt>
                <c:pt idx="1394">
                  <c:v>262</c:v>
                </c:pt>
                <c:pt idx="1395">
                  <c:v>263</c:v>
                </c:pt>
                <c:pt idx="1396">
                  <c:v>262</c:v>
                </c:pt>
                <c:pt idx="1397">
                  <c:v>264</c:v>
                </c:pt>
                <c:pt idx="1398">
                  <c:v>268</c:v>
                </c:pt>
                <c:pt idx="1399">
                  <c:v>267</c:v>
                </c:pt>
                <c:pt idx="1400">
                  <c:v>268</c:v>
                </c:pt>
                <c:pt idx="1401">
                  <c:v>271</c:v>
                </c:pt>
                <c:pt idx="1402">
                  <c:v>268</c:v>
                </c:pt>
                <c:pt idx="1403">
                  <c:v>269</c:v>
                </c:pt>
                <c:pt idx="1404">
                  <c:v>272</c:v>
                </c:pt>
                <c:pt idx="1405">
                  <c:v>270</c:v>
                </c:pt>
                <c:pt idx="1406">
                  <c:v>264</c:v>
                </c:pt>
                <c:pt idx="1407">
                  <c:v>266</c:v>
                </c:pt>
                <c:pt idx="1408">
                  <c:v>271</c:v>
                </c:pt>
                <c:pt idx="1409">
                  <c:v>273</c:v>
                </c:pt>
                <c:pt idx="1410">
                  <c:v>273</c:v>
                </c:pt>
                <c:pt idx="1411">
                  <c:v>274</c:v>
                </c:pt>
                <c:pt idx="1412">
                  <c:v>277</c:v>
                </c:pt>
                <c:pt idx="1413">
                  <c:v>277</c:v>
                </c:pt>
                <c:pt idx="1414">
                  <c:v>282</c:v>
                </c:pt>
                <c:pt idx="1415">
                  <c:v>286</c:v>
                </c:pt>
                <c:pt idx="1416">
                  <c:v>293</c:v>
                </c:pt>
                <c:pt idx="1417">
                  <c:v>297</c:v>
                </c:pt>
                <c:pt idx="1418">
                  <c:v>291</c:v>
                </c:pt>
                <c:pt idx="1419">
                  <c:v>286</c:v>
                </c:pt>
                <c:pt idx="1420">
                  <c:v>289</c:v>
                </c:pt>
                <c:pt idx="1421">
                  <c:v>294</c:v>
                </c:pt>
                <c:pt idx="1422">
                  <c:v>290</c:v>
                </c:pt>
                <c:pt idx="1423">
                  <c:v>298</c:v>
                </c:pt>
                <c:pt idx="1424">
                  <c:v>290</c:v>
                </c:pt>
                <c:pt idx="1425">
                  <c:v>294</c:v>
                </c:pt>
                <c:pt idx="1426">
                  <c:v>298</c:v>
                </c:pt>
                <c:pt idx="1427">
                  <c:v>302</c:v>
                </c:pt>
                <c:pt idx="1428">
                  <c:v>299</c:v>
                </c:pt>
                <c:pt idx="1429">
                  <c:v>289</c:v>
                </c:pt>
                <c:pt idx="1430">
                  <c:v>286</c:v>
                </c:pt>
                <c:pt idx="1431">
                  <c:v>286</c:v>
                </c:pt>
                <c:pt idx="1432">
                  <c:v>281</c:v>
                </c:pt>
                <c:pt idx="1433">
                  <c:v>282</c:v>
                </c:pt>
                <c:pt idx="1434">
                  <c:v>286</c:v>
                </c:pt>
                <c:pt idx="1435">
                  <c:v>285</c:v>
                </c:pt>
                <c:pt idx="1436">
                  <c:v>285</c:v>
                </c:pt>
                <c:pt idx="1437">
                  <c:v>288</c:v>
                </c:pt>
                <c:pt idx="1438">
                  <c:v>285</c:v>
                </c:pt>
                <c:pt idx="1439">
                  <c:v>283</c:v>
                </c:pt>
                <c:pt idx="1440">
                  <c:v>283</c:v>
                </c:pt>
                <c:pt idx="1441">
                  <c:v>284</c:v>
                </c:pt>
                <c:pt idx="1442">
                  <c:v>284</c:v>
                </c:pt>
                <c:pt idx="1443">
                  <c:v>284</c:v>
                </c:pt>
                <c:pt idx="1444">
                  <c:v>286</c:v>
                </c:pt>
                <c:pt idx="1445">
                  <c:v>283</c:v>
                </c:pt>
                <c:pt idx="1446">
                  <c:v>286</c:v>
                </c:pt>
                <c:pt idx="1447">
                  <c:v>281</c:v>
                </c:pt>
                <c:pt idx="1448">
                  <c:v>280</c:v>
                </c:pt>
                <c:pt idx="1449">
                  <c:v>288</c:v>
                </c:pt>
                <c:pt idx="1450">
                  <c:v>282</c:v>
                </c:pt>
                <c:pt idx="1451">
                  <c:v>300</c:v>
                </c:pt>
                <c:pt idx="1452">
                  <c:v>258</c:v>
                </c:pt>
                <c:pt idx="1453">
                  <c:v>250</c:v>
                </c:pt>
                <c:pt idx="1454">
                  <c:v>251</c:v>
                </c:pt>
                <c:pt idx="1455">
                  <c:v>255</c:v>
                </c:pt>
                <c:pt idx="1456">
                  <c:v>255</c:v>
                </c:pt>
                <c:pt idx="1457">
                  <c:v>257</c:v>
                </c:pt>
                <c:pt idx="1458">
                  <c:v>264</c:v>
                </c:pt>
                <c:pt idx="1459">
                  <c:v>262</c:v>
                </c:pt>
                <c:pt idx="1460">
                  <c:v>262</c:v>
                </c:pt>
                <c:pt idx="1461">
                  <c:v>264</c:v>
                </c:pt>
                <c:pt idx="1462">
                  <c:v>256</c:v>
                </c:pt>
                <c:pt idx="1463">
                  <c:v>258</c:v>
                </c:pt>
                <c:pt idx="1464">
                  <c:v>260</c:v>
                </c:pt>
                <c:pt idx="1465">
                  <c:v>263</c:v>
                </c:pt>
                <c:pt idx="1466">
                  <c:v>264</c:v>
                </c:pt>
                <c:pt idx="1467">
                  <c:v>268</c:v>
                </c:pt>
                <c:pt idx="1468">
                  <c:v>263</c:v>
                </c:pt>
                <c:pt idx="1469">
                  <c:v>263</c:v>
                </c:pt>
                <c:pt idx="1470">
                  <c:v>272</c:v>
                </c:pt>
                <c:pt idx="1471">
                  <c:v>275</c:v>
                </c:pt>
                <c:pt idx="1472">
                  <c:v>273</c:v>
                </c:pt>
                <c:pt idx="1473">
                  <c:v>275</c:v>
                </c:pt>
                <c:pt idx="1474">
                  <c:v>270</c:v>
                </c:pt>
                <c:pt idx="1475">
                  <c:v>271</c:v>
                </c:pt>
                <c:pt idx="1476">
                  <c:v>271</c:v>
                </c:pt>
                <c:pt idx="1477">
                  <c:v>272</c:v>
                </c:pt>
                <c:pt idx="1478">
                  <c:v>267</c:v>
                </c:pt>
                <c:pt idx="1479">
                  <c:v>271</c:v>
                </c:pt>
                <c:pt idx="1480">
                  <c:v>269</c:v>
                </c:pt>
                <c:pt idx="1481">
                  <c:v>263</c:v>
                </c:pt>
                <c:pt idx="1482">
                  <c:v>265</c:v>
                </c:pt>
                <c:pt idx="1483">
                  <c:v>270</c:v>
                </c:pt>
                <c:pt idx="1484">
                  <c:v>270</c:v>
                </c:pt>
                <c:pt idx="1485">
                  <c:v>274</c:v>
                </c:pt>
                <c:pt idx="1486">
                  <c:v>275</c:v>
                </c:pt>
                <c:pt idx="1487">
                  <c:v>278</c:v>
                </c:pt>
                <c:pt idx="1488">
                  <c:v>279</c:v>
                </c:pt>
                <c:pt idx="1489">
                  <c:v>278</c:v>
                </c:pt>
                <c:pt idx="1490">
                  <c:v>280</c:v>
                </c:pt>
                <c:pt idx="1491">
                  <c:v>280</c:v>
                </c:pt>
                <c:pt idx="1492">
                  <c:v>277</c:v>
                </c:pt>
                <c:pt idx="1493">
                  <c:v>269</c:v>
                </c:pt>
                <c:pt idx="1494">
                  <c:v>272</c:v>
                </c:pt>
                <c:pt idx="1495">
                  <c:v>274</c:v>
                </c:pt>
                <c:pt idx="1496">
                  <c:v>282</c:v>
                </c:pt>
                <c:pt idx="1497">
                  <c:v>291</c:v>
                </c:pt>
                <c:pt idx="1498">
                  <c:v>286</c:v>
                </c:pt>
                <c:pt idx="1499">
                  <c:v>280</c:v>
                </c:pt>
                <c:pt idx="1500">
                  <c:v>290</c:v>
                </c:pt>
                <c:pt idx="1501">
                  <c:v>287</c:v>
                </c:pt>
                <c:pt idx="1502">
                  <c:v>274</c:v>
                </c:pt>
                <c:pt idx="1503">
                  <c:v>272</c:v>
                </c:pt>
                <c:pt idx="1504">
                  <c:v>273</c:v>
                </c:pt>
                <c:pt idx="1505">
                  <c:v>280</c:v>
                </c:pt>
                <c:pt idx="1506">
                  <c:v>275</c:v>
                </c:pt>
                <c:pt idx="1507">
                  <c:v>286</c:v>
                </c:pt>
                <c:pt idx="1508">
                  <c:v>277</c:v>
                </c:pt>
                <c:pt idx="1509">
                  <c:v>277</c:v>
                </c:pt>
                <c:pt idx="1510">
                  <c:v>272</c:v>
                </c:pt>
                <c:pt idx="1511">
                  <c:v>277</c:v>
                </c:pt>
                <c:pt idx="1512">
                  <c:v>279</c:v>
                </c:pt>
                <c:pt idx="1513">
                  <c:v>282</c:v>
                </c:pt>
                <c:pt idx="1514">
                  <c:v>282</c:v>
                </c:pt>
                <c:pt idx="1515">
                  <c:v>280</c:v>
                </c:pt>
                <c:pt idx="1516">
                  <c:v>271</c:v>
                </c:pt>
                <c:pt idx="1517">
                  <c:v>266</c:v>
                </c:pt>
                <c:pt idx="1518">
                  <c:v>268</c:v>
                </c:pt>
                <c:pt idx="1519">
                  <c:v>272</c:v>
                </c:pt>
                <c:pt idx="1520">
                  <c:v>280</c:v>
                </c:pt>
                <c:pt idx="1521">
                  <c:v>284</c:v>
                </c:pt>
                <c:pt idx="1522">
                  <c:v>287</c:v>
                </c:pt>
                <c:pt idx="1523">
                  <c:v>277</c:v>
                </c:pt>
                <c:pt idx="1524">
                  <c:v>276</c:v>
                </c:pt>
                <c:pt idx="1525">
                  <c:v>281</c:v>
                </c:pt>
                <c:pt idx="1526">
                  <c:v>285</c:v>
                </c:pt>
                <c:pt idx="1527">
                  <c:v>289</c:v>
                </c:pt>
                <c:pt idx="1528">
                  <c:v>291</c:v>
                </c:pt>
                <c:pt idx="1529">
                  <c:v>284</c:v>
                </c:pt>
                <c:pt idx="1530">
                  <c:v>296</c:v>
                </c:pt>
                <c:pt idx="1531">
                  <c:v>296</c:v>
                </c:pt>
                <c:pt idx="1532">
                  <c:v>293</c:v>
                </c:pt>
                <c:pt idx="1533">
                  <c:v>295</c:v>
                </c:pt>
                <c:pt idx="1534">
                  <c:v>294</c:v>
                </c:pt>
                <c:pt idx="1535">
                  <c:v>296</c:v>
                </c:pt>
                <c:pt idx="1536">
                  <c:v>291</c:v>
                </c:pt>
                <c:pt idx="1537">
                  <c:v>282</c:v>
                </c:pt>
                <c:pt idx="1538">
                  <c:v>288</c:v>
                </c:pt>
                <c:pt idx="1539">
                  <c:v>288</c:v>
                </c:pt>
                <c:pt idx="1540">
                  <c:v>298</c:v>
                </c:pt>
                <c:pt idx="1541">
                  <c:v>305</c:v>
                </c:pt>
                <c:pt idx="1542">
                  <c:v>305</c:v>
                </c:pt>
                <c:pt idx="1543">
                  <c:v>302</c:v>
                </c:pt>
                <c:pt idx="1544">
                  <c:v>301</c:v>
                </c:pt>
                <c:pt idx="1545">
                  <c:v>302</c:v>
                </c:pt>
                <c:pt idx="1546">
                  <c:v>311</c:v>
                </c:pt>
                <c:pt idx="1547">
                  <c:v>325</c:v>
                </c:pt>
                <c:pt idx="1548">
                  <c:v>328</c:v>
                </c:pt>
                <c:pt idx="1549">
                  <c:v>328</c:v>
                </c:pt>
                <c:pt idx="1550">
                  <c:v>325</c:v>
                </c:pt>
                <c:pt idx="1551">
                  <c:v>325</c:v>
                </c:pt>
                <c:pt idx="1552">
                  <c:v>322</c:v>
                </c:pt>
                <c:pt idx="1553">
                  <c:v>325</c:v>
                </c:pt>
                <c:pt idx="1554">
                  <c:v>325</c:v>
                </c:pt>
                <c:pt idx="1555">
                  <c:v>326</c:v>
                </c:pt>
                <c:pt idx="1556">
                  <c:v>323</c:v>
                </c:pt>
                <c:pt idx="1557">
                  <c:v>324</c:v>
                </c:pt>
                <c:pt idx="1558">
                  <c:v>327</c:v>
                </c:pt>
                <c:pt idx="1559">
                  <c:v>328</c:v>
                </c:pt>
                <c:pt idx="1560">
                  <c:v>332</c:v>
                </c:pt>
                <c:pt idx="1561">
                  <c:v>332</c:v>
                </c:pt>
                <c:pt idx="1562">
                  <c:v>324</c:v>
                </c:pt>
                <c:pt idx="1563">
                  <c:v>330</c:v>
                </c:pt>
                <c:pt idx="1564">
                  <c:v>328</c:v>
                </c:pt>
                <c:pt idx="1565">
                  <c:v>334</c:v>
                </c:pt>
                <c:pt idx="1566">
                  <c:v>336</c:v>
                </c:pt>
                <c:pt idx="1567">
                  <c:v>341</c:v>
                </c:pt>
                <c:pt idx="1568">
                  <c:v>342</c:v>
                </c:pt>
                <c:pt idx="1569">
                  <c:v>350</c:v>
                </c:pt>
                <c:pt idx="1570">
                  <c:v>348</c:v>
                </c:pt>
                <c:pt idx="1571">
                  <c:v>337</c:v>
                </c:pt>
                <c:pt idx="1572">
                  <c:v>337</c:v>
                </c:pt>
                <c:pt idx="1573">
                  <c:v>334</c:v>
                </c:pt>
                <c:pt idx="1574">
                  <c:v>337</c:v>
                </c:pt>
                <c:pt idx="1575">
                  <c:v>336</c:v>
                </c:pt>
                <c:pt idx="1576">
                  <c:v>336</c:v>
                </c:pt>
                <c:pt idx="1577">
                  <c:v>332</c:v>
                </c:pt>
                <c:pt idx="1578">
                  <c:v>333</c:v>
                </c:pt>
                <c:pt idx="1579">
                  <c:v>334</c:v>
                </c:pt>
                <c:pt idx="1580">
                  <c:v>331</c:v>
                </c:pt>
                <c:pt idx="1581">
                  <c:v>329</c:v>
                </c:pt>
                <c:pt idx="1582">
                  <c:v>330</c:v>
                </c:pt>
                <c:pt idx="1583">
                  <c:v>357</c:v>
                </c:pt>
                <c:pt idx="1584">
                  <c:v>341</c:v>
                </c:pt>
                <c:pt idx="1585">
                  <c:v>341</c:v>
                </c:pt>
                <c:pt idx="1586">
                  <c:v>306</c:v>
                </c:pt>
                <c:pt idx="1587">
                  <c:v>303</c:v>
                </c:pt>
                <c:pt idx="1588">
                  <c:v>314</c:v>
                </c:pt>
                <c:pt idx="1589">
                  <c:v>328</c:v>
                </c:pt>
                <c:pt idx="1590">
                  <c:v>327</c:v>
                </c:pt>
                <c:pt idx="1591">
                  <c:v>328</c:v>
                </c:pt>
                <c:pt idx="1592">
                  <c:v>323</c:v>
                </c:pt>
                <c:pt idx="1593">
                  <c:v>313</c:v>
                </c:pt>
                <c:pt idx="1594">
                  <c:v>308</c:v>
                </c:pt>
                <c:pt idx="1595">
                  <c:v>313</c:v>
                </c:pt>
                <c:pt idx="1596">
                  <c:v>309</c:v>
                </c:pt>
                <c:pt idx="1597">
                  <c:v>307</c:v>
                </c:pt>
                <c:pt idx="1598">
                  <c:v>305</c:v>
                </c:pt>
                <c:pt idx="1599">
                  <c:v>308</c:v>
                </c:pt>
                <c:pt idx="1600">
                  <c:v>308</c:v>
                </c:pt>
                <c:pt idx="1601">
                  <c:v>311</c:v>
                </c:pt>
                <c:pt idx="1602">
                  <c:v>314</c:v>
                </c:pt>
                <c:pt idx="1603">
                  <c:v>314</c:v>
                </c:pt>
                <c:pt idx="1604">
                  <c:v>309</c:v>
                </c:pt>
                <c:pt idx="1605">
                  <c:v>313</c:v>
                </c:pt>
                <c:pt idx="1606">
                  <c:v>314</c:v>
                </c:pt>
                <c:pt idx="1607">
                  <c:v>319</c:v>
                </c:pt>
                <c:pt idx="1608">
                  <c:v>317</c:v>
                </c:pt>
                <c:pt idx="1609">
                  <c:v>317</c:v>
                </c:pt>
                <c:pt idx="1610">
                  <c:v>317</c:v>
                </c:pt>
                <c:pt idx="1611">
                  <c:v>319</c:v>
                </c:pt>
                <c:pt idx="1612">
                  <c:v>318</c:v>
                </c:pt>
                <c:pt idx="1613">
                  <c:v>315</c:v>
                </c:pt>
                <c:pt idx="1614">
                  <c:v>319</c:v>
                </c:pt>
                <c:pt idx="1615">
                  <c:v>318</c:v>
                </c:pt>
                <c:pt idx="1616">
                  <c:v>311</c:v>
                </c:pt>
                <c:pt idx="1617">
                  <c:v>322</c:v>
                </c:pt>
                <c:pt idx="1618">
                  <c:v>320</c:v>
                </c:pt>
                <c:pt idx="1619">
                  <c:v>315</c:v>
                </c:pt>
                <c:pt idx="1620">
                  <c:v>306</c:v>
                </c:pt>
                <c:pt idx="1621">
                  <c:v>312</c:v>
                </c:pt>
                <c:pt idx="1622">
                  <c:v>328</c:v>
                </c:pt>
                <c:pt idx="1623">
                  <c:v>334</c:v>
                </c:pt>
                <c:pt idx="1624">
                  <c:v>340</c:v>
                </c:pt>
                <c:pt idx="1625">
                  <c:v>331</c:v>
                </c:pt>
                <c:pt idx="1626">
                  <c:v>333</c:v>
                </c:pt>
                <c:pt idx="1627">
                  <c:v>325</c:v>
                </c:pt>
                <c:pt idx="1628">
                  <c:v>313</c:v>
                </c:pt>
                <c:pt idx="1629">
                  <c:v>314</c:v>
                </c:pt>
                <c:pt idx="1630">
                  <c:v>303</c:v>
                </c:pt>
                <c:pt idx="1631">
                  <c:v>303</c:v>
                </c:pt>
                <c:pt idx="1632">
                  <c:v>309</c:v>
                </c:pt>
                <c:pt idx="1633">
                  <c:v>309</c:v>
                </c:pt>
                <c:pt idx="1634">
                  <c:v>309</c:v>
                </c:pt>
                <c:pt idx="1635">
                  <c:v>315</c:v>
                </c:pt>
                <c:pt idx="1636">
                  <c:v>309</c:v>
                </c:pt>
                <c:pt idx="1637">
                  <c:v>306</c:v>
                </c:pt>
                <c:pt idx="1638">
                  <c:v>304</c:v>
                </c:pt>
                <c:pt idx="1639">
                  <c:v>299</c:v>
                </c:pt>
                <c:pt idx="1640">
                  <c:v>306</c:v>
                </c:pt>
                <c:pt idx="1641">
                  <c:v>305</c:v>
                </c:pt>
                <c:pt idx="1642">
                  <c:v>302</c:v>
                </c:pt>
                <c:pt idx="1643">
                  <c:v>303</c:v>
                </c:pt>
                <c:pt idx="1644">
                  <c:v>296</c:v>
                </c:pt>
                <c:pt idx="1645">
                  <c:v>297</c:v>
                </c:pt>
                <c:pt idx="1646">
                  <c:v>298</c:v>
                </c:pt>
                <c:pt idx="1647">
                  <c:v>292</c:v>
                </c:pt>
                <c:pt idx="1648">
                  <c:v>299</c:v>
                </c:pt>
                <c:pt idx="1649">
                  <c:v>306</c:v>
                </c:pt>
                <c:pt idx="1650">
                  <c:v>309</c:v>
                </c:pt>
                <c:pt idx="1651">
                  <c:v>316</c:v>
                </c:pt>
                <c:pt idx="1652">
                  <c:v>320</c:v>
                </c:pt>
                <c:pt idx="1653">
                  <c:v>317</c:v>
                </c:pt>
                <c:pt idx="1654">
                  <c:v>319</c:v>
                </c:pt>
                <c:pt idx="1655">
                  <c:v>325</c:v>
                </c:pt>
                <c:pt idx="1656">
                  <c:v>327</c:v>
                </c:pt>
                <c:pt idx="1657">
                  <c:v>331</c:v>
                </c:pt>
                <c:pt idx="1658">
                  <c:v>336</c:v>
                </c:pt>
                <c:pt idx="1659">
                  <c:v>339</c:v>
                </c:pt>
                <c:pt idx="1660">
                  <c:v>340</c:v>
                </c:pt>
                <c:pt idx="1661">
                  <c:v>344</c:v>
                </c:pt>
                <c:pt idx="1662">
                  <c:v>343</c:v>
                </c:pt>
                <c:pt idx="1663">
                  <c:v>341</c:v>
                </c:pt>
                <c:pt idx="1664">
                  <c:v>338</c:v>
                </c:pt>
                <c:pt idx="1665">
                  <c:v>337</c:v>
                </c:pt>
                <c:pt idx="1666">
                  <c:v>330</c:v>
                </c:pt>
                <c:pt idx="1667">
                  <c:v>332</c:v>
                </c:pt>
                <c:pt idx="1668">
                  <c:v>332</c:v>
                </c:pt>
                <c:pt idx="1669">
                  <c:v>331</c:v>
                </c:pt>
                <c:pt idx="1670">
                  <c:v>331</c:v>
                </c:pt>
                <c:pt idx="1671">
                  <c:v>334</c:v>
                </c:pt>
                <c:pt idx="1672">
                  <c:v>331</c:v>
                </c:pt>
                <c:pt idx="1673">
                  <c:v>340</c:v>
                </c:pt>
                <c:pt idx="1674">
                  <c:v>345</c:v>
                </c:pt>
                <c:pt idx="1675">
                  <c:v>355</c:v>
                </c:pt>
                <c:pt idx="1676">
                  <c:v>355</c:v>
                </c:pt>
                <c:pt idx="1677">
                  <c:v>352</c:v>
                </c:pt>
                <c:pt idx="1678">
                  <c:v>347</c:v>
                </c:pt>
                <c:pt idx="1679">
                  <c:v>347</c:v>
                </c:pt>
                <c:pt idx="1680">
                  <c:v>350</c:v>
                </c:pt>
                <c:pt idx="1681">
                  <c:v>354</c:v>
                </c:pt>
                <c:pt idx="1682">
                  <c:v>376</c:v>
                </c:pt>
                <c:pt idx="1683">
                  <c:v>393</c:v>
                </c:pt>
                <c:pt idx="1684">
                  <c:v>384</c:v>
                </c:pt>
                <c:pt idx="1685">
                  <c:v>365</c:v>
                </c:pt>
                <c:pt idx="1686">
                  <c:v>376</c:v>
                </c:pt>
                <c:pt idx="1687">
                  <c:v>378</c:v>
                </c:pt>
                <c:pt idx="1688">
                  <c:v>380</c:v>
                </c:pt>
                <c:pt idx="1689">
                  <c:v>392</c:v>
                </c:pt>
                <c:pt idx="1690">
                  <c:v>399</c:v>
                </c:pt>
                <c:pt idx="1691">
                  <c:v>395</c:v>
                </c:pt>
                <c:pt idx="1692">
                  <c:v>401</c:v>
                </c:pt>
                <c:pt idx="1693">
                  <c:v>389</c:v>
                </c:pt>
                <c:pt idx="1694">
                  <c:v>383</c:v>
                </c:pt>
                <c:pt idx="1695">
                  <c:v>375</c:v>
                </c:pt>
                <c:pt idx="1696">
                  <c:v>371</c:v>
                </c:pt>
                <c:pt idx="1697">
                  <c:v>377</c:v>
                </c:pt>
                <c:pt idx="1698">
                  <c:v>385</c:v>
                </c:pt>
                <c:pt idx="1699">
                  <c:v>391</c:v>
                </c:pt>
                <c:pt idx="1700">
                  <c:v>392</c:v>
                </c:pt>
                <c:pt idx="1701">
                  <c:v>401</c:v>
                </c:pt>
                <c:pt idx="1702">
                  <c:v>404</c:v>
                </c:pt>
                <c:pt idx="1703">
                  <c:v>391</c:v>
                </c:pt>
                <c:pt idx="1704">
                  <c:v>391</c:v>
                </c:pt>
                <c:pt idx="1705">
                  <c:v>395</c:v>
                </c:pt>
                <c:pt idx="1706">
                  <c:v>391</c:v>
                </c:pt>
                <c:pt idx="1707">
                  <c:v>395</c:v>
                </c:pt>
                <c:pt idx="1708">
                  <c:v>397</c:v>
                </c:pt>
                <c:pt idx="1709">
                  <c:v>392</c:v>
                </c:pt>
                <c:pt idx="1710">
                  <c:v>394</c:v>
                </c:pt>
                <c:pt idx="1711">
                  <c:v>377</c:v>
                </c:pt>
                <c:pt idx="1712">
                  <c:v>374</c:v>
                </c:pt>
                <c:pt idx="1713">
                  <c:v>375</c:v>
                </c:pt>
                <c:pt idx="1714">
                  <c:v>382</c:v>
                </c:pt>
                <c:pt idx="1715">
                  <c:v>376</c:v>
                </c:pt>
                <c:pt idx="1716">
                  <c:v>379</c:v>
                </c:pt>
                <c:pt idx="1717">
                  <c:v>387</c:v>
                </c:pt>
                <c:pt idx="1718">
                  <c:v>394</c:v>
                </c:pt>
                <c:pt idx="1719">
                  <c:v>390</c:v>
                </c:pt>
                <c:pt idx="1720">
                  <c:v>397</c:v>
                </c:pt>
                <c:pt idx="1721">
                  <c:v>395</c:v>
                </c:pt>
                <c:pt idx="1722">
                  <c:v>392</c:v>
                </c:pt>
                <c:pt idx="1723">
                  <c:v>382</c:v>
                </c:pt>
                <c:pt idx="1724">
                  <c:v>385</c:v>
                </c:pt>
                <c:pt idx="1725">
                  <c:v>385</c:v>
                </c:pt>
                <c:pt idx="1726">
                  <c:v>382</c:v>
                </c:pt>
                <c:pt idx="1727">
                  <c:v>397</c:v>
                </c:pt>
                <c:pt idx="1728">
                  <c:v>403</c:v>
                </c:pt>
                <c:pt idx="1729">
                  <c:v>406</c:v>
                </c:pt>
                <c:pt idx="1730">
                  <c:v>400</c:v>
                </c:pt>
                <c:pt idx="1731">
                  <c:v>385</c:v>
                </c:pt>
                <c:pt idx="1732">
                  <c:v>390</c:v>
                </c:pt>
                <c:pt idx="1733">
                  <c:v>394</c:v>
                </c:pt>
                <c:pt idx="1734">
                  <c:v>387</c:v>
                </c:pt>
                <c:pt idx="1735">
                  <c:v>382</c:v>
                </c:pt>
                <c:pt idx="1736">
                  <c:v>387</c:v>
                </c:pt>
                <c:pt idx="1737">
                  <c:v>397</c:v>
                </c:pt>
                <c:pt idx="1738">
                  <c:v>416</c:v>
                </c:pt>
                <c:pt idx="1739">
                  <c:v>440</c:v>
                </c:pt>
                <c:pt idx="1740">
                  <c:v>449</c:v>
                </c:pt>
                <c:pt idx="1741">
                  <c:v>430</c:v>
                </c:pt>
                <c:pt idx="1742">
                  <c:v>432</c:v>
                </c:pt>
                <c:pt idx="1743">
                  <c:v>413</c:v>
                </c:pt>
                <c:pt idx="1744">
                  <c:v>404</c:v>
                </c:pt>
                <c:pt idx="1745">
                  <c:v>409</c:v>
                </c:pt>
                <c:pt idx="1746">
                  <c:v>404</c:v>
                </c:pt>
                <c:pt idx="1747">
                  <c:v>416</c:v>
                </c:pt>
                <c:pt idx="1748">
                  <c:v>419</c:v>
                </c:pt>
                <c:pt idx="1749">
                  <c:v>427</c:v>
                </c:pt>
                <c:pt idx="1750">
                  <c:v>419</c:v>
                </c:pt>
                <c:pt idx="1751">
                  <c:v>391</c:v>
                </c:pt>
                <c:pt idx="1752">
                  <c:v>392</c:v>
                </c:pt>
                <c:pt idx="1753">
                  <c:v>409</c:v>
                </c:pt>
                <c:pt idx="1754">
                  <c:v>435</c:v>
                </c:pt>
                <c:pt idx="1755">
                  <c:v>457</c:v>
                </c:pt>
                <c:pt idx="1756">
                  <c:v>459</c:v>
                </c:pt>
                <c:pt idx="1757">
                  <c:v>437</c:v>
                </c:pt>
                <c:pt idx="1758">
                  <c:v>427</c:v>
                </c:pt>
                <c:pt idx="1759">
                  <c:v>434</c:v>
                </c:pt>
                <c:pt idx="1760">
                  <c:v>440</c:v>
                </c:pt>
                <c:pt idx="1761">
                  <c:v>460</c:v>
                </c:pt>
                <c:pt idx="1762">
                  <c:v>452</c:v>
                </c:pt>
                <c:pt idx="1763">
                  <c:v>447</c:v>
                </c:pt>
                <c:pt idx="1764">
                  <c:v>462</c:v>
                </c:pt>
                <c:pt idx="1765">
                  <c:v>485</c:v>
                </c:pt>
                <c:pt idx="1766">
                  <c:v>489</c:v>
                </c:pt>
                <c:pt idx="1767">
                  <c:v>502</c:v>
                </c:pt>
                <c:pt idx="1768">
                  <c:v>506</c:v>
                </c:pt>
                <c:pt idx="1769">
                  <c:v>513</c:v>
                </c:pt>
                <c:pt idx="1770">
                  <c:v>506</c:v>
                </c:pt>
                <c:pt idx="1771">
                  <c:v>519</c:v>
                </c:pt>
                <c:pt idx="1772">
                  <c:v>521</c:v>
                </c:pt>
                <c:pt idx="1773">
                  <c:v>529</c:v>
                </c:pt>
                <c:pt idx="1774">
                  <c:v>539</c:v>
                </c:pt>
                <c:pt idx="1775">
                  <c:v>535</c:v>
                </c:pt>
                <c:pt idx="1776">
                  <c:v>549</c:v>
                </c:pt>
                <c:pt idx="1777">
                  <c:v>554</c:v>
                </c:pt>
                <c:pt idx="1778">
                  <c:v>554</c:v>
                </c:pt>
                <c:pt idx="1779">
                  <c:v>569</c:v>
                </c:pt>
                <c:pt idx="1780">
                  <c:v>554</c:v>
                </c:pt>
                <c:pt idx="1781">
                  <c:v>547</c:v>
                </c:pt>
                <c:pt idx="1782">
                  <c:v>548</c:v>
                </c:pt>
                <c:pt idx="1783">
                  <c:v>521</c:v>
                </c:pt>
                <c:pt idx="1784">
                  <c:v>523</c:v>
                </c:pt>
                <c:pt idx="1785">
                  <c:v>525</c:v>
                </c:pt>
                <c:pt idx="1786">
                  <c:v>530</c:v>
                </c:pt>
                <c:pt idx="1787">
                  <c:v>513</c:v>
                </c:pt>
                <c:pt idx="1788">
                  <c:v>512</c:v>
                </c:pt>
                <c:pt idx="1789">
                  <c:v>499</c:v>
                </c:pt>
                <c:pt idx="1790">
                  <c:v>503</c:v>
                </c:pt>
                <c:pt idx="1791">
                  <c:v>511</c:v>
                </c:pt>
                <c:pt idx="1792">
                  <c:v>523</c:v>
                </c:pt>
                <c:pt idx="1793">
                  <c:v>514</c:v>
                </c:pt>
                <c:pt idx="1794">
                  <c:v>534</c:v>
                </c:pt>
                <c:pt idx="1795">
                  <c:v>544</c:v>
                </c:pt>
                <c:pt idx="1796">
                  <c:v>533</c:v>
                </c:pt>
                <c:pt idx="1797">
                  <c:v>533</c:v>
                </c:pt>
                <c:pt idx="1798">
                  <c:v>533</c:v>
                </c:pt>
                <c:pt idx="1799">
                  <c:v>512</c:v>
                </c:pt>
                <c:pt idx="1800">
                  <c:v>521</c:v>
                </c:pt>
                <c:pt idx="1801">
                  <c:v>506</c:v>
                </c:pt>
                <c:pt idx="1802">
                  <c:v>506</c:v>
                </c:pt>
                <c:pt idx="1803">
                  <c:v>512</c:v>
                </c:pt>
                <c:pt idx="1804">
                  <c:v>506</c:v>
                </c:pt>
                <c:pt idx="1805">
                  <c:v>505</c:v>
                </c:pt>
                <c:pt idx="1806">
                  <c:v>497</c:v>
                </c:pt>
                <c:pt idx="1807">
                  <c:v>532</c:v>
                </c:pt>
                <c:pt idx="1808">
                  <c:v>523</c:v>
                </c:pt>
                <c:pt idx="1809">
                  <c:v>516</c:v>
                </c:pt>
                <c:pt idx="1810">
                  <c:v>506</c:v>
                </c:pt>
                <c:pt idx="1811">
                  <c:v>520</c:v>
                </c:pt>
                <c:pt idx="1812">
                  <c:v>518</c:v>
                </c:pt>
                <c:pt idx="1813">
                  <c:v>516</c:v>
                </c:pt>
                <c:pt idx="1814">
                  <c:v>521</c:v>
                </c:pt>
                <c:pt idx="1815">
                  <c:v>545</c:v>
                </c:pt>
                <c:pt idx="1816">
                  <c:v>524</c:v>
                </c:pt>
                <c:pt idx="1817">
                  <c:v>498</c:v>
                </c:pt>
                <c:pt idx="1818">
                  <c:v>499</c:v>
                </c:pt>
                <c:pt idx="1819">
                  <c:v>465</c:v>
                </c:pt>
                <c:pt idx="1820">
                  <c:v>484</c:v>
                </c:pt>
                <c:pt idx="1821">
                  <c:v>501</c:v>
                </c:pt>
                <c:pt idx="1822">
                  <c:v>473</c:v>
                </c:pt>
                <c:pt idx="1823">
                  <c:v>458</c:v>
                </c:pt>
                <c:pt idx="1824">
                  <c:v>453</c:v>
                </c:pt>
                <c:pt idx="1825">
                  <c:v>444</c:v>
                </c:pt>
                <c:pt idx="1826">
                  <c:v>435</c:v>
                </c:pt>
                <c:pt idx="1827">
                  <c:v>438</c:v>
                </c:pt>
                <c:pt idx="1828">
                  <c:v>440</c:v>
                </c:pt>
                <c:pt idx="1829">
                  <c:v>436</c:v>
                </c:pt>
                <c:pt idx="1830">
                  <c:v>432</c:v>
                </c:pt>
                <c:pt idx="1831">
                  <c:v>409</c:v>
                </c:pt>
                <c:pt idx="1832">
                  <c:v>411</c:v>
                </c:pt>
                <c:pt idx="1833">
                  <c:v>411</c:v>
                </c:pt>
                <c:pt idx="1834">
                  <c:v>393</c:v>
                </c:pt>
                <c:pt idx="1835">
                  <c:v>397</c:v>
                </c:pt>
                <c:pt idx="1836">
                  <c:v>386</c:v>
                </c:pt>
                <c:pt idx="1837">
                  <c:v>381</c:v>
                </c:pt>
                <c:pt idx="1838">
                  <c:v>395</c:v>
                </c:pt>
                <c:pt idx="1839">
                  <c:v>399</c:v>
                </c:pt>
                <c:pt idx="1840">
                  <c:v>410</c:v>
                </c:pt>
                <c:pt idx="1841">
                  <c:v>415</c:v>
                </c:pt>
                <c:pt idx="1842">
                  <c:v>398</c:v>
                </c:pt>
                <c:pt idx="1843">
                  <c:v>396</c:v>
                </c:pt>
                <c:pt idx="1844">
                  <c:v>396</c:v>
                </c:pt>
                <c:pt idx="1845">
                  <c:v>403</c:v>
                </c:pt>
                <c:pt idx="1846">
                  <c:v>393</c:v>
                </c:pt>
                <c:pt idx="1847">
                  <c:v>387</c:v>
                </c:pt>
                <c:pt idx="1848">
                  <c:v>378</c:v>
                </c:pt>
                <c:pt idx="1849">
                  <c:v>376</c:v>
                </c:pt>
                <c:pt idx="1850">
                  <c:v>394</c:v>
                </c:pt>
                <c:pt idx="1851">
                  <c:v>410</c:v>
                </c:pt>
                <c:pt idx="1852">
                  <c:v>410</c:v>
                </c:pt>
                <c:pt idx="1853">
                  <c:v>414</c:v>
                </c:pt>
                <c:pt idx="1854">
                  <c:v>422</c:v>
                </c:pt>
                <c:pt idx="1855">
                  <c:v>418</c:v>
                </c:pt>
                <c:pt idx="1856">
                  <c:v>423</c:v>
                </c:pt>
                <c:pt idx="1857">
                  <c:v>437</c:v>
                </c:pt>
                <c:pt idx="1858">
                  <c:v>450</c:v>
                </c:pt>
                <c:pt idx="1859">
                  <c:v>454</c:v>
                </c:pt>
                <c:pt idx="1860">
                  <c:v>438</c:v>
                </c:pt>
                <c:pt idx="1861">
                  <c:v>419</c:v>
                </c:pt>
                <c:pt idx="1862">
                  <c:v>408</c:v>
                </c:pt>
                <c:pt idx="1863">
                  <c:v>411</c:v>
                </c:pt>
                <c:pt idx="1864">
                  <c:v>408</c:v>
                </c:pt>
                <c:pt idx="1865">
                  <c:v>383</c:v>
                </c:pt>
                <c:pt idx="1866">
                  <c:v>383</c:v>
                </c:pt>
                <c:pt idx="1867">
                  <c:v>389</c:v>
                </c:pt>
                <c:pt idx="1868">
                  <c:v>405</c:v>
                </c:pt>
                <c:pt idx="1869">
                  <c:v>386</c:v>
                </c:pt>
                <c:pt idx="1870">
                  <c:v>388</c:v>
                </c:pt>
                <c:pt idx="1871">
                  <c:v>406</c:v>
                </c:pt>
                <c:pt idx="1872">
                  <c:v>421</c:v>
                </c:pt>
                <c:pt idx="1873">
                  <c:v>442</c:v>
                </c:pt>
                <c:pt idx="1874">
                  <c:v>485</c:v>
                </c:pt>
                <c:pt idx="1875">
                  <c:v>489</c:v>
                </c:pt>
                <c:pt idx="1876">
                  <c:v>453</c:v>
                </c:pt>
                <c:pt idx="1877">
                  <c:v>450</c:v>
                </c:pt>
                <c:pt idx="1878">
                  <c:v>454</c:v>
                </c:pt>
                <c:pt idx="1879">
                  <c:v>443</c:v>
                </c:pt>
                <c:pt idx="1880">
                  <c:v>422</c:v>
                </c:pt>
                <c:pt idx="1881">
                  <c:v>397</c:v>
                </c:pt>
                <c:pt idx="1882">
                  <c:v>376</c:v>
                </c:pt>
                <c:pt idx="1883">
                  <c:v>374</c:v>
                </c:pt>
                <c:pt idx="1884">
                  <c:v>377</c:v>
                </c:pt>
                <c:pt idx="1885">
                  <c:v>389</c:v>
                </c:pt>
                <c:pt idx="1886">
                  <c:v>390</c:v>
                </c:pt>
                <c:pt idx="1887">
                  <c:v>388</c:v>
                </c:pt>
                <c:pt idx="1888">
                  <c:v>363</c:v>
                </c:pt>
                <c:pt idx="1889">
                  <c:v>372</c:v>
                </c:pt>
                <c:pt idx="1890">
                  <c:v>381</c:v>
                </c:pt>
                <c:pt idx="1891">
                  <c:v>381</c:v>
                </c:pt>
                <c:pt idx="1892">
                  <c:v>365</c:v>
                </c:pt>
                <c:pt idx="1893">
                  <c:v>367</c:v>
                </c:pt>
                <c:pt idx="1894">
                  <c:v>361</c:v>
                </c:pt>
                <c:pt idx="1895">
                  <c:v>340</c:v>
                </c:pt>
                <c:pt idx="1896">
                  <c:v>334</c:v>
                </c:pt>
                <c:pt idx="1897">
                  <c:v>338</c:v>
                </c:pt>
                <c:pt idx="1898">
                  <c:v>358</c:v>
                </c:pt>
                <c:pt idx="1899">
                  <c:v>352</c:v>
                </c:pt>
                <c:pt idx="1900">
                  <c:v>369</c:v>
                </c:pt>
                <c:pt idx="1901">
                  <c:v>351</c:v>
                </c:pt>
                <c:pt idx="1902">
                  <c:v>338</c:v>
                </c:pt>
                <c:pt idx="1903">
                  <c:v>329</c:v>
                </c:pt>
                <c:pt idx="1904">
                  <c:v>316</c:v>
                </c:pt>
                <c:pt idx="1905">
                  <c:v>316</c:v>
                </c:pt>
                <c:pt idx="1906">
                  <c:v>318</c:v>
                </c:pt>
                <c:pt idx="1907">
                  <c:v>322</c:v>
                </c:pt>
                <c:pt idx="1908">
                  <c:v>323</c:v>
                </c:pt>
                <c:pt idx="1909">
                  <c:v>342</c:v>
                </c:pt>
                <c:pt idx="1910">
                  <c:v>335</c:v>
                </c:pt>
                <c:pt idx="1911">
                  <c:v>343</c:v>
                </c:pt>
                <c:pt idx="1912">
                  <c:v>341</c:v>
                </c:pt>
                <c:pt idx="1913">
                  <c:v>317</c:v>
                </c:pt>
                <c:pt idx="1914">
                  <c:v>322</c:v>
                </c:pt>
                <c:pt idx="1915">
                  <c:v>323</c:v>
                </c:pt>
                <c:pt idx="1916">
                  <c:v>315</c:v>
                </c:pt>
                <c:pt idx="1917">
                  <c:v>339</c:v>
                </c:pt>
                <c:pt idx="1918">
                  <c:v>340</c:v>
                </c:pt>
                <c:pt idx="1919">
                  <c:v>350</c:v>
                </c:pt>
                <c:pt idx="1920">
                  <c:v>360</c:v>
                </c:pt>
                <c:pt idx="1921">
                  <c:v>353</c:v>
                </c:pt>
                <c:pt idx="1922">
                  <c:v>344</c:v>
                </c:pt>
                <c:pt idx="1923">
                  <c:v>328</c:v>
                </c:pt>
                <c:pt idx="1924">
                  <c:v>320</c:v>
                </c:pt>
                <c:pt idx="1925">
                  <c:v>318</c:v>
                </c:pt>
                <c:pt idx="1926">
                  <c:v>311</c:v>
                </c:pt>
                <c:pt idx="1927">
                  <c:v>306</c:v>
                </c:pt>
                <c:pt idx="1928">
                  <c:v>306</c:v>
                </c:pt>
                <c:pt idx="1929">
                  <c:v>297</c:v>
                </c:pt>
                <c:pt idx="1930">
                  <c:v>296</c:v>
                </c:pt>
                <c:pt idx="1931">
                  <c:v>297</c:v>
                </c:pt>
                <c:pt idx="1932">
                  <c:v>307</c:v>
                </c:pt>
                <c:pt idx="1933">
                  <c:v>312</c:v>
                </c:pt>
                <c:pt idx="1934">
                  <c:v>309</c:v>
                </c:pt>
                <c:pt idx="1935">
                  <c:v>304</c:v>
                </c:pt>
                <c:pt idx="1936">
                  <c:v>295</c:v>
                </c:pt>
                <c:pt idx="1937">
                  <c:v>295</c:v>
                </c:pt>
                <c:pt idx="1938">
                  <c:v>299</c:v>
                </c:pt>
                <c:pt idx="1939">
                  <c:v>304</c:v>
                </c:pt>
                <c:pt idx="1940">
                  <c:v>310</c:v>
                </c:pt>
                <c:pt idx="1941">
                  <c:v>296</c:v>
                </c:pt>
                <c:pt idx="1942">
                  <c:v>298</c:v>
                </c:pt>
                <c:pt idx="1943">
                  <c:v>292</c:v>
                </c:pt>
                <c:pt idx="1944">
                  <c:v>288</c:v>
                </c:pt>
                <c:pt idx="1945">
                  <c:v>292</c:v>
                </c:pt>
                <c:pt idx="1946">
                  <c:v>292</c:v>
                </c:pt>
                <c:pt idx="1947">
                  <c:v>283</c:v>
                </c:pt>
                <c:pt idx="1948">
                  <c:v>298</c:v>
                </c:pt>
                <c:pt idx="1949">
                  <c:v>297</c:v>
                </c:pt>
                <c:pt idx="1950">
                  <c:v>292</c:v>
                </c:pt>
                <c:pt idx="1951">
                  <c:v>287</c:v>
                </c:pt>
                <c:pt idx="1952">
                  <c:v>288</c:v>
                </c:pt>
                <c:pt idx="1953">
                  <c:v>291</c:v>
                </c:pt>
                <c:pt idx="1954">
                  <c:v>290</c:v>
                </c:pt>
                <c:pt idx="1955">
                  <c:v>288</c:v>
                </c:pt>
                <c:pt idx="1956">
                  <c:v>287</c:v>
                </c:pt>
                <c:pt idx="1957">
                  <c:v>288</c:v>
                </c:pt>
                <c:pt idx="1958">
                  <c:v>283</c:v>
                </c:pt>
                <c:pt idx="1959">
                  <c:v>284</c:v>
                </c:pt>
                <c:pt idx="1960">
                  <c:v>292</c:v>
                </c:pt>
                <c:pt idx="1961">
                  <c:v>294</c:v>
                </c:pt>
                <c:pt idx="1962">
                  <c:v>287</c:v>
                </c:pt>
                <c:pt idx="1963">
                  <c:v>285</c:v>
                </c:pt>
                <c:pt idx="1964">
                  <c:v>281</c:v>
                </c:pt>
                <c:pt idx="1965">
                  <c:v>268</c:v>
                </c:pt>
                <c:pt idx="1966">
                  <c:v>268</c:v>
                </c:pt>
                <c:pt idx="1967">
                  <c:v>269</c:v>
                </c:pt>
                <c:pt idx="1968">
                  <c:v>270</c:v>
                </c:pt>
                <c:pt idx="1969">
                  <c:v>274</c:v>
                </c:pt>
                <c:pt idx="1970">
                  <c:v>275</c:v>
                </c:pt>
                <c:pt idx="1971">
                  <c:v>285</c:v>
                </c:pt>
                <c:pt idx="1972">
                  <c:v>282</c:v>
                </c:pt>
                <c:pt idx="1973">
                  <c:v>279</c:v>
                </c:pt>
                <c:pt idx="1974">
                  <c:v>283</c:v>
                </c:pt>
                <c:pt idx="1975">
                  <c:v>275</c:v>
                </c:pt>
                <c:pt idx="1976">
                  <c:v>274</c:v>
                </c:pt>
                <c:pt idx="1977">
                  <c:v>281</c:v>
                </c:pt>
                <c:pt idx="1978">
                  <c:v>277</c:v>
                </c:pt>
                <c:pt idx="1979">
                  <c:v>284</c:v>
                </c:pt>
                <c:pt idx="1980">
                  <c:v>292</c:v>
                </c:pt>
                <c:pt idx="1981">
                  <c:v>296</c:v>
                </c:pt>
                <c:pt idx="1982">
                  <c:v>295</c:v>
                </c:pt>
                <c:pt idx="1983">
                  <c:v>282</c:v>
                </c:pt>
                <c:pt idx="1984">
                  <c:v>281</c:v>
                </c:pt>
                <c:pt idx="1985">
                  <c:v>283</c:v>
                </c:pt>
                <c:pt idx="1986">
                  <c:v>280</c:v>
                </c:pt>
                <c:pt idx="1987">
                  <c:v>276</c:v>
                </c:pt>
                <c:pt idx="1988">
                  <c:v>278</c:v>
                </c:pt>
                <c:pt idx="1989">
                  <c:v>288</c:v>
                </c:pt>
                <c:pt idx="1990">
                  <c:v>296</c:v>
                </c:pt>
                <c:pt idx="1991">
                  <c:v>310</c:v>
                </c:pt>
                <c:pt idx="1992">
                  <c:v>300</c:v>
                </c:pt>
                <c:pt idx="1993">
                  <c:v>293</c:v>
                </c:pt>
                <c:pt idx="1994">
                  <c:v>289</c:v>
                </c:pt>
                <c:pt idx="1995">
                  <c:v>291</c:v>
                </c:pt>
                <c:pt idx="1996">
                  <c:v>287</c:v>
                </c:pt>
                <c:pt idx="1997">
                  <c:v>283</c:v>
                </c:pt>
                <c:pt idx="1998">
                  <c:v>287</c:v>
                </c:pt>
                <c:pt idx="1999">
                  <c:v>301</c:v>
                </c:pt>
                <c:pt idx="2000">
                  <c:v>302</c:v>
                </c:pt>
                <c:pt idx="2001">
                  <c:v>312</c:v>
                </c:pt>
                <c:pt idx="2002">
                  <c:v>309</c:v>
                </c:pt>
                <c:pt idx="2003">
                  <c:v>317</c:v>
                </c:pt>
                <c:pt idx="2004">
                  <c:v>322</c:v>
                </c:pt>
                <c:pt idx="2005">
                  <c:v>318</c:v>
                </c:pt>
                <c:pt idx="2006">
                  <c:v>324</c:v>
                </c:pt>
                <c:pt idx="2007">
                  <c:v>319</c:v>
                </c:pt>
                <c:pt idx="2008">
                  <c:v>324</c:v>
                </c:pt>
                <c:pt idx="2009">
                  <c:v>328</c:v>
                </c:pt>
                <c:pt idx="2010">
                  <c:v>333</c:v>
                </c:pt>
                <c:pt idx="2011">
                  <c:v>344</c:v>
                </c:pt>
                <c:pt idx="2012">
                  <c:v>351</c:v>
                </c:pt>
                <c:pt idx="2013">
                  <c:v>360</c:v>
                </c:pt>
                <c:pt idx="2014">
                  <c:v>361</c:v>
                </c:pt>
                <c:pt idx="2015">
                  <c:v>344</c:v>
                </c:pt>
                <c:pt idx="2016">
                  <c:v>344</c:v>
                </c:pt>
                <c:pt idx="2017">
                  <c:v>324</c:v>
                </c:pt>
                <c:pt idx="2018">
                  <c:v>333</c:v>
                </c:pt>
                <c:pt idx="2019">
                  <c:v>328</c:v>
                </c:pt>
                <c:pt idx="2020">
                  <c:v>327</c:v>
                </c:pt>
                <c:pt idx="2021">
                  <c:v>308</c:v>
                </c:pt>
                <c:pt idx="2022">
                  <c:v>307</c:v>
                </c:pt>
                <c:pt idx="2023">
                  <c:v>307</c:v>
                </c:pt>
                <c:pt idx="2024">
                  <c:v>303</c:v>
                </c:pt>
                <c:pt idx="2025">
                  <c:v>310</c:v>
                </c:pt>
                <c:pt idx="2026">
                  <c:v>322</c:v>
                </c:pt>
                <c:pt idx="2027">
                  <c:v>329</c:v>
                </c:pt>
                <c:pt idx="2028">
                  <c:v>322</c:v>
                </c:pt>
                <c:pt idx="2029">
                  <c:v>314</c:v>
                </c:pt>
                <c:pt idx="2030">
                  <c:v>314</c:v>
                </c:pt>
                <c:pt idx="2031">
                  <c:v>306</c:v>
                </c:pt>
                <c:pt idx="2032">
                  <c:v>297</c:v>
                </c:pt>
                <c:pt idx="2033">
                  <c:v>304</c:v>
                </c:pt>
                <c:pt idx="2034">
                  <c:v>301</c:v>
                </c:pt>
                <c:pt idx="2035">
                  <c:v>305</c:v>
                </c:pt>
                <c:pt idx="2036">
                  <c:v>305</c:v>
                </c:pt>
                <c:pt idx="2037">
                  <c:v>313</c:v>
                </c:pt>
                <c:pt idx="2038">
                  <c:v>312</c:v>
                </c:pt>
                <c:pt idx="2039">
                  <c:v>300</c:v>
                </c:pt>
                <c:pt idx="2040">
                  <c:v>296</c:v>
                </c:pt>
                <c:pt idx="2041">
                  <c:v>297</c:v>
                </c:pt>
                <c:pt idx="2042">
                  <c:v>300</c:v>
                </c:pt>
                <c:pt idx="2043">
                  <c:v>307</c:v>
                </c:pt>
                <c:pt idx="2044">
                  <c:v>311</c:v>
                </c:pt>
                <c:pt idx="2045">
                  <c:v>324</c:v>
                </c:pt>
                <c:pt idx="2046">
                  <c:v>324</c:v>
                </c:pt>
                <c:pt idx="2047">
                  <c:v>294</c:v>
                </c:pt>
                <c:pt idx="2048">
                  <c:v>297</c:v>
                </c:pt>
                <c:pt idx="2049">
                  <c:v>284</c:v>
                </c:pt>
                <c:pt idx="2050">
                  <c:v>286</c:v>
                </c:pt>
                <c:pt idx="2051">
                  <c:v>283</c:v>
                </c:pt>
                <c:pt idx="2052">
                  <c:v>286</c:v>
                </c:pt>
                <c:pt idx="2053">
                  <c:v>288</c:v>
                </c:pt>
                <c:pt idx="2054">
                  <c:v>290</c:v>
                </c:pt>
                <c:pt idx="2055">
                  <c:v>294</c:v>
                </c:pt>
                <c:pt idx="2056">
                  <c:v>294</c:v>
                </c:pt>
                <c:pt idx="2057">
                  <c:v>294</c:v>
                </c:pt>
                <c:pt idx="2058">
                  <c:v>289</c:v>
                </c:pt>
                <c:pt idx="2059">
                  <c:v>292</c:v>
                </c:pt>
                <c:pt idx="2060">
                  <c:v>293</c:v>
                </c:pt>
                <c:pt idx="2061">
                  <c:v>281</c:v>
                </c:pt>
                <c:pt idx="2062">
                  <c:v>278</c:v>
                </c:pt>
                <c:pt idx="2063">
                  <c:v>284</c:v>
                </c:pt>
                <c:pt idx="2064">
                  <c:v>287</c:v>
                </c:pt>
                <c:pt idx="2065">
                  <c:v>281</c:v>
                </c:pt>
                <c:pt idx="2066">
                  <c:v>264</c:v>
                </c:pt>
                <c:pt idx="2067">
                  <c:v>259</c:v>
                </c:pt>
                <c:pt idx="2068">
                  <c:v>261</c:v>
                </c:pt>
                <c:pt idx="2069">
                  <c:v>257</c:v>
                </c:pt>
                <c:pt idx="2070">
                  <c:v>256</c:v>
                </c:pt>
                <c:pt idx="2071">
                  <c:v>254</c:v>
                </c:pt>
                <c:pt idx="2072">
                  <c:v>250</c:v>
                </c:pt>
                <c:pt idx="2073">
                  <c:v>263</c:v>
                </c:pt>
                <c:pt idx="2074">
                  <c:v>266</c:v>
                </c:pt>
                <c:pt idx="2075">
                  <c:v>283</c:v>
                </c:pt>
                <c:pt idx="2076">
                  <c:v>284</c:v>
                </c:pt>
                <c:pt idx="2077">
                  <c:v>318</c:v>
                </c:pt>
                <c:pt idx="2078">
                  <c:v>312</c:v>
                </c:pt>
                <c:pt idx="2079">
                  <c:v>301</c:v>
                </c:pt>
                <c:pt idx="2080">
                  <c:v>273</c:v>
                </c:pt>
                <c:pt idx="2081">
                  <c:v>280</c:v>
                </c:pt>
                <c:pt idx="2082">
                  <c:v>266</c:v>
                </c:pt>
                <c:pt idx="2083">
                  <c:v>255</c:v>
                </c:pt>
                <c:pt idx="2084">
                  <c:v>243</c:v>
                </c:pt>
                <c:pt idx="2085">
                  <c:v>238</c:v>
                </c:pt>
                <c:pt idx="2086">
                  <c:v>233</c:v>
                </c:pt>
                <c:pt idx="2087">
                  <c:v>238</c:v>
                </c:pt>
                <c:pt idx="2088">
                  <c:v>244</c:v>
                </c:pt>
                <c:pt idx="2089">
                  <c:v>238</c:v>
                </c:pt>
                <c:pt idx="2090">
                  <c:v>238</c:v>
                </c:pt>
                <c:pt idx="2091">
                  <c:v>238</c:v>
                </c:pt>
                <c:pt idx="2092">
                  <c:v>245</c:v>
                </c:pt>
                <c:pt idx="2093">
                  <c:v>241</c:v>
                </c:pt>
                <c:pt idx="2094">
                  <c:v>237</c:v>
                </c:pt>
                <c:pt idx="2095">
                  <c:v>252</c:v>
                </c:pt>
                <c:pt idx="2096">
                  <c:v>255</c:v>
                </c:pt>
                <c:pt idx="2097">
                  <c:v>264</c:v>
                </c:pt>
                <c:pt idx="2098">
                  <c:v>264</c:v>
                </c:pt>
                <c:pt idx="2099">
                  <c:v>263</c:v>
                </c:pt>
                <c:pt idx="2100">
                  <c:v>250</c:v>
                </c:pt>
                <c:pt idx="2101">
                  <c:v>249</c:v>
                </c:pt>
                <c:pt idx="2102">
                  <c:v>249</c:v>
                </c:pt>
                <c:pt idx="2103">
                  <c:v>249</c:v>
                </c:pt>
                <c:pt idx="2104">
                  <c:v>252</c:v>
                </c:pt>
                <c:pt idx="2105">
                  <c:v>243</c:v>
                </c:pt>
                <c:pt idx="2106">
                  <c:v>242</c:v>
                </c:pt>
                <c:pt idx="2107">
                  <c:v>244</c:v>
                </c:pt>
                <c:pt idx="2108">
                  <c:v>237</c:v>
                </c:pt>
                <c:pt idx="2109">
                  <c:v>233</c:v>
                </c:pt>
                <c:pt idx="2110">
                  <c:v>233</c:v>
                </c:pt>
                <c:pt idx="2111">
                  <c:v>236</c:v>
                </c:pt>
                <c:pt idx="2112">
                  <c:v>239</c:v>
                </c:pt>
                <c:pt idx="2113">
                  <c:v>245</c:v>
                </c:pt>
                <c:pt idx="2114">
                  <c:v>243</c:v>
                </c:pt>
                <c:pt idx="2115">
                  <c:v>243</c:v>
                </c:pt>
                <c:pt idx="2116">
                  <c:v>243</c:v>
                </c:pt>
                <c:pt idx="2117">
                  <c:v>244</c:v>
                </c:pt>
                <c:pt idx="2118">
                  <c:v>241</c:v>
                </c:pt>
                <c:pt idx="2119">
                  <c:v>239</c:v>
                </c:pt>
                <c:pt idx="2120">
                  <c:v>245</c:v>
                </c:pt>
                <c:pt idx="2121">
                  <c:v>244</c:v>
                </c:pt>
                <c:pt idx="2122">
                  <c:v>245</c:v>
                </c:pt>
                <c:pt idx="2123">
                  <c:v>236</c:v>
                </c:pt>
                <c:pt idx="2124">
                  <c:v>236</c:v>
                </c:pt>
                <c:pt idx="2125">
                  <c:v>232</c:v>
                </c:pt>
                <c:pt idx="2126">
                  <c:v>239</c:v>
                </c:pt>
                <c:pt idx="2127">
                  <c:v>240</c:v>
                </c:pt>
                <c:pt idx="2128">
                  <c:v>237</c:v>
                </c:pt>
                <c:pt idx="2129">
                  <c:v>239</c:v>
                </c:pt>
                <c:pt idx="2130">
                  <c:v>240</c:v>
                </c:pt>
                <c:pt idx="2131">
                  <c:v>246</c:v>
                </c:pt>
                <c:pt idx="2132">
                  <c:v>239</c:v>
                </c:pt>
                <c:pt idx="2133">
                  <c:v>243</c:v>
                </c:pt>
                <c:pt idx="2134">
                  <c:v>230</c:v>
                </c:pt>
                <c:pt idx="2135">
                  <c:v>228</c:v>
                </c:pt>
                <c:pt idx="2136">
                  <c:v>218</c:v>
                </c:pt>
                <c:pt idx="2137">
                  <c:v>220</c:v>
                </c:pt>
                <c:pt idx="2138">
                  <c:v>219</c:v>
                </c:pt>
                <c:pt idx="2139">
                  <c:v>212</c:v>
                </c:pt>
                <c:pt idx="2140">
                  <c:v>210</c:v>
                </c:pt>
                <c:pt idx="2141">
                  <c:v>209</c:v>
                </c:pt>
                <c:pt idx="2142">
                  <c:v>218</c:v>
                </c:pt>
                <c:pt idx="2143">
                  <c:v>219</c:v>
                </c:pt>
                <c:pt idx="2144">
                  <c:v>214</c:v>
                </c:pt>
                <c:pt idx="2145">
                  <c:v>209</c:v>
                </c:pt>
                <c:pt idx="2146">
                  <c:v>208</c:v>
                </c:pt>
                <c:pt idx="2147">
                  <c:v>210</c:v>
                </c:pt>
                <c:pt idx="2148">
                  <c:v>200</c:v>
                </c:pt>
                <c:pt idx="2149">
                  <c:v>200</c:v>
                </c:pt>
                <c:pt idx="2150">
                  <c:v>203</c:v>
                </c:pt>
                <c:pt idx="2151">
                  <c:v>201</c:v>
                </c:pt>
                <c:pt idx="2152">
                  <c:v>203</c:v>
                </c:pt>
                <c:pt idx="2153">
                  <c:v>205</c:v>
                </c:pt>
                <c:pt idx="2154">
                  <c:v>205</c:v>
                </c:pt>
                <c:pt idx="2155">
                  <c:v>204</c:v>
                </c:pt>
                <c:pt idx="2156">
                  <c:v>205</c:v>
                </c:pt>
                <c:pt idx="2157">
                  <c:v>209</c:v>
                </c:pt>
                <c:pt idx="2158">
                  <c:v>212</c:v>
                </c:pt>
                <c:pt idx="2159">
                  <c:v>212</c:v>
                </c:pt>
                <c:pt idx="2160">
                  <c:v>211</c:v>
                </c:pt>
                <c:pt idx="2161">
                  <c:v>213</c:v>
                </c:pt>
                <c:pt idx="2162">
                  <c:v>215</c:v>
                </c:pt>
                <c:pt idx="2163">
                  <c:v>218</c:v>
                </c:pt>
                <c:pt idx="2164">
                  <c:v>222</c:v>
                </c:pt>
                <c:pt idx="2165">
                  <c:v>221</c:v>
                </c:pt>
                <c:pt idx="2166">
                  <c:v>227</c:v>
                </c:pt>
                <c:pt idx="2167">
                  <c:v>228</c:v>
                </c:pt>
                <c:pt idx="2168">
                  <c:v>231</c:v>
                </c:pt>
                <c:pt idx="2169">
                  <c:v>233</c:v>
                </c:pt>
                <c:pt idx="2170">
                  <c:v>234</c:v>
                </c:pt>
                <c:pt idx="2171">
                  <c:v>230</c:v>
                </c:pt>
                <c:pt idx="2172">
                  <c:v>231</c:v>
                </c:pt>
                <c:pt idx="2173">
                  <c:v>224</c:v>
                </c:pt>
                <c:pt idx="2174">
                  <c:v>225</c:v>
                </c:pt>
                <c:pt idx="2175">
                  <c:v>212</c:v>
                </c:pt>
                <c:pt idx="2176">
                  <c:v>206</c:v>
                </c:pt>
                <c:pt idx="2177">
                  <c:v>215</c:v>
                </c:pt>
                <c:pt idx="2178">
                  <c:v>210</c:v>
                </c:pt>
                <c:pt idx="2179">
                  <c:v>209</c:v>
                </c:pt>
                <c:pt idx="2180">
                  <c:v>203</c:v>
                </c:pt>
                <c:pt idx="2181">
                  <c:v>203</c:v>
                </c:pt>
                <c:pt idx="2182">
                  <c:v>207</c:v>
                </c:pt>
                <c:pt idx="2183">
                  <c:v>208</c:v>
                </c:pt>
                <c:pt idx="2184">
                  <c:v>209</c:v>
                </c:pt>
                <c:pt idx="2185">
                  <c:v>219</c:v>
                </c:pt>
                <c:pt idx="2186">
                  <c:v>214</c:v>
                </c:pt>
                <c:pt idx="2187">
                  <c:v>214</c:v>
                </c:pt>
                <c:pt idx="2188">
                  <c:v>213</c:v>
                </c:pt>
                <c:pt idx="2189">
                  <c:v>215</c:v>
                </c:pt>
                <c:pt idx="2190">
                  <c:v>214</c:v>
                </c:pt>
                <c:pt idx="2191">
                  <c:v>212</c:v>
                </c:pt>
                <c:pt idx="2192">
                  <c:v>208</c:v>
                </c:pt>
                <c:pt idx="2193">
                  <c:v>206</c:v>
                </c:pt>
                <c:pt idx="2194">
                  <c:v>206</c:v>
                </c:pt>
                <c:pt idx="2195">
                  <c:v>206</c:v>
                </c:pt>
                <c:pt idx="2196">
                  <c:v>207</c:v>
                </c:pt>
                <c:pt idx="2197">
                  <c:v>206</c:v>
                </c:pt>
                <c:pt idx="2198">
                  <c:v>208</c:v>
                </c:pt>
                <c:pt idx="2199">
                  <c:v>205</c:v>
                </c:pt>
                <c:pt idx="2200">
                  <c:v>203</c:v>
                </c:pt>
                <c:pt idx="2201">
                  <c:v>203</c:v>
                </c:pt>
                <c:pt idx="2202">
                  <c:v>207</c:v>
                </c:pt>
                <c:pt idx="2203">
                  <c:v>208</c:v>
                </c:pt>
                <c:pt idx="2204">
                  <c:v>209</c:v>
                </c:pt>
                <c:pt idx="2205">
                  <c:v>208</c:v>
                </c:pt>
                <c:pt idx="2206">
                  <c:v>206</c:v>
                </c:pt>
                <c:pt idx="2207">
                  <c:v>207</c:v>
                </c:pt>
                <c:pt idx="2208">
                  <c:v>208</c:v>
                </c:pt>
                <c:pt idx="2209">
                  <c:v>204</c:v>
                </c:pt>
                <c:pt idx="2210">
                  <c:v>211</c:v>
                </c:pt>
                <c:pt idx="2211">
                  <c:v>212</c:v>
                </c:pt>
                <c:pt idx="2212">
                  <c:v>201</c:v>
                </c:pt>
                <c:pt idx="2213">
                  <c:v>197</c:v>
                </c:pt>
                <c:pt idx="2214">
                  <c:v>198</c:v>
                </c:pt>
                <c:pt idx="2215">
                  <c:v>207</c:v>
                </c:pt>
                <c:pt idx="2216">
                  <c:v>210</c:v>
                </c:pt>
                <c:pt idx="2217">
                  <c:v>207</c:v>
                </c:pt>
                <c:pt idx="2218">
                  <c:v>208</c:v>
                </c:pt>
                <c:pt idx="2219">
                  <c:v>208</c:v>
                </c:pt>
                <c:pt idx="2220">
                  <c:v>206</c:v>
                </c:pt>
                <c:pt idx="2221">
                  <c:v>212</c:v>
                </c:pt>
                <c:pt idx="2222">
                  <c:v>216</c:v>
                </c:pt>
                <c:pt idx="2223">
                  <c:v>214</c:v>
                </c:pt>
                <c:pt idx="2224">
                  <c:v>214</c:v>
                </c:pt>
                <c:pt idx="2225">
                  <c:v>215</c:v>
                </c:pt>
                <c:pt idx="2226">
                  <c:v>212</c:v>
                </c:pt>
                <c:pt idx="2227">
                  <c:v>216</c:v>
                </c:pt>
                <c:pt idx="2228">
                  <c:v>210</c:v>
                </c:pt>
                <c:pt idx="2229">
                  <c:v>212</c:v>
                </c:pt>
                <c:pt idx="2230">
                  <c:v>214</c:v>
                </c:pt>
                <c:pt idx="2231">
                  <c:v>207</c:v>
                </c:pt>
                <c:pt idx="2232">
                  <c:v>205</c:v>
                </c:pt>
                <c:pt idx="2233">
                  <c:v>205</c:v>
                </c:pt>
                <c:pt idx="2234">
                  <c:v>205</c:v>
                </c:pt>
                <c:pt idx="2235">
                  <c:v>202</c:v>
                </c:pt>
                <c:pt idx="2236">
                  <c:v>204</c:v>
                </c:pt>
                <c:pt idx="2237">
                  <c:v>204</c:v>
                </c:pt>
                <c:pt idx="2238">
                  <c:v>207</c:v>
                </c:pt>
                <c:pt idx="2239">
                  <c:v>207</c:v>
                </c:pt>
                <c:pt idx="2240">
                  <c:v>209</c:v>
                </c:pt>
                <c:pt idx="2241">
                  <c:v>211</c:v>
                </c:pt>
                <c:pt idx="2242">
                  <c:v>214</c:v>
                </c:pt>
                <c:pt idx="2243">
                  <c:v>219</c:v>
                </c:pt>
                <c:pt idx="2244">
                  <c:v>222</c:v>
                </c:pt>
                <c:pt idx="2245">
                  <c:v>220</c:v>
                </c:pt>
                <c:pt idx="2246">
                  <c:v>219</c:v>
                </c:pt>
                <c:pt idx="2247">
                  <c:v>215</c:v>
                </c:pt>
                <c:pt idx="2248">
                  <c:v>213</c:v>
                </c:pt>
                <c:pt idx="2249">
                  <c:v>212</c:v>
                </c:pt>
                <c:pt idx="2250">
                  <c:v>221</c:v>
                </c:pt>
                <c:pt idx="2251">
                  <c:v>224</c:v>
                </c:pt>
                <c:pt idx="2252">
                  <c:v>223</c:v>
                </c:pt>
                <c:pt idx="2253">
                  <c:v>222</c:v>
                </c:pt>
                <c:pt idx="2254">
                  <c:v>220</c:v>
                </c:pt>
                <c:pt idx="2255">
                  <c:v>222</c:v>
                </c:pt>
                <c:pt idx="2256">
                  <c:v>221</c:v>
                </c:pt>
                <c:pt idx="2257">
                  <c:v>222</c:v>
                </c:pt>
                <c:pt idx="2258">
                  <c:v>221</c:v>
                </c:pt>
                <c:pt idx="2259">
                  <c:v>223</c:v>
                </c:pt>
                <c:pt idx="2260">
                  <c:v>223</c:v>
                </c:pt>
                <c:pt idx="2261">
                  <c:v>222</c:v>
                </c:pt>
                <c:pt idx="2262">
                  <c:v>228</c:v>
                </c:pt>
                <c:pt idx="2263">
                  <c:v>227</c:v>
                </c:pt>
                <c:pt idx="2264">
                  <c:v>224</c:v>
                </c:pt>
                <c:pt idx="2265">
                  <c:v>223</c:v>
                </c:pt>
                <c:pt idx="2266">
                  <c:v>230</c:v>
                </c:pt>
                <c:pt idx="2267">
                  <c:v>237</c:v>
                </c:pt>
                <c:pt idx="2268">
                  <c:v>234</c:v>
                </c:pt>
                <c:pt idx="2269">
                  <c:v>236</c:v>
                </c:pt>
                <c:pt idx="2270">
                  <c:v>232</c:v>
                </c:pt>
                <c:pt idx="2271">
                  <c:v>234</c:v>
                </c:pt>
                <c:pt idx="2272">
                  <c:v>240</c:v>
                </c:pt>
                <c:pt idx="2273">
                  <c:v>245</c:v>
                </c:pt>
                <c:pt idx="2274">
                  <c:v>245</c:v>
                </c:pt>
                <c:pt idx="2275">
                  <c:v>238</c:v>
                </c:pt>
                <c:pt idx="2276">
                  <c:v>237</c:v>
                </c:pt>
                <c:pt idx="2277">
                  <c:v>232</c:v>
                </c:pt>
                <c:pt idx="2278">
                  <c:v>230</c:v>
                </c:pt>
                <c:pt idx="2279">
                  <c:v>226</c:v>
                </c:pt>
                <c:pt idx="2280">
                  <c:v>229</c:v>
                </c:pt>
                <c:pt idx="2281">
                  <c:v>238</c:v>
                </c:pt>
                <c:pt idx="2282">
                  <c:v>251</c:v>
                </c:pt>
                <c:pt idx="2283">
                  <c:v>245</c:v>
                </c:pt>
                <c:pt idx="2284">
                  <c:v>247</c:v>
                </c:pt>
                <c:pt idx="2285">
                  <c:v>249</c:v>
                </c:pt>
                <c:pt idx="2286">
                  <c:v>244</c:v>
                </c:pt>
                <c:pt idx="2287">
                  <c:v>239</c:v>
                </c:pt>
                <c:pt idx="2288">
                  <c:v>246</c:v>
                </c:pt>
                <c:pt idx="2289">
                  <c:v>249</c:v>
                </c:pt>
                <c:pt idx="2290">
                  <c:v>251</c:v>
                </c:pt>
                <c:pt idx="2291">
                  <c:v>259</c:v>
                </c:pt>
                <c:pt idx="2292">
                  <c:v>256</c:v>
                </c:pt>
                <c:pt idx="2293">
                  <c:v>256</c:v>
                </c:pt>
                <c:pt idx="2294">
                  <c:v>257</c:v>
                </c:pt>
                <c:pt idx="2295">
                  <c:v>255</c:v>
                </c:pt>
                <c:pt idx="2296">
                  <c:v>255</c:v>
                </c:pt>
                <c:pt idx="2297">
                  <c:v>256</c:v>
                </c:pt>
                <c:pt idx="2298">
                  <c:v>252</c:v>
                </c:pt>
                <c:pt idx="2299">
                  <c:v>254</c:v>
                </c:pt>
                <c:pt idx="2300">
                  <c:v>260</c:v>
                </c:pt>
                <c:pt idx="2301">
                  <c:v>268</c:v>
                </c:pt>
                <c:pt idx="2302">
                  <c:v>278</c:v>
                </c:pt>
                <c:pt idx="2303">
                  <c:v>272</c:v>
                </c:pt>
                <c:pt idx="2304">
                  <c:v>273</c:v>
                </c:pt>
                <c:pt idx="2305">
                  <c:v>273</c:v>
                </c:pt>
                <c:pt idx="2306">
                  <c:v>264</c:v>
                </c:pt>
                <c:pt idx="2307">
                  <c:v>264</c:v>
                </c:pt>
                <c:pt idx="2308">
                  <c:v>264</c:v>
                </c:pt>
                <c:pt idx="2309">
                  <c:v>261</c:v>
                </c:pt>
                <c:pt idx="2310">
                  <c:v>252</c:v>
                </c:pt>
                <c:pt idx="2311">
                  <c:v>248</c:v>
                </c:pt>
                <c:pt idx="2312">
                  <c:v>248</c:v>
                </c:pt>
                <c:pt idx="2313">
                  <c:v>248</c:v>
                </c:pt>
                <c:pt idx="2314">
                  <c:v>246</c:v>
                </c:pt>
                <c:pt idx="2315">
                  <c:v>243</c:v>
                </c:pt>
                <c:pt idx="2316">
                  <c:v>248</c:v>
                </c:pt>
                <c:pt idx="2317">
                  <c:v>251</c:v>
                </c:pt>
                <c:pt idx="2318">
                  <c:v>249</c:v>
                </c:pt>
                <c:pt idx="2319">
                  <c:v>245</c:v>
                </c:pt>
                <c:pt idx="2320">
                  <c:v>248</c:v>
                </c:pt>
                <c:pt idx="2321">
                  <c:v>245</c:v>
                </c:pt>
                <c:pt idx="2322">
                  <c:v>236</c:v>
                </c:pt>
                <c:pt idx="2323">
                  <c:v>229</c:v>
                </c:pt>
                <c:pt idx="2324">
                  <c:v>230</c:v>
                </c:pt>
                <c:pt idx="2325">
                  <c:v>224</c:v>
                </c:pt>
                <c:pt idx="2326">
                  <c:v>228</c:v>
                </c:pt>
                <c:pt idx="2327">
                  <c:v>226</c:v>
                </c:pt>
                <c:pt idx="2328">
                  <c:v>222</c:v>
                </c:pt>
                <c:pt idx="2329">
                  <c:v>223</c:v>
                </c:pt>
                <c:pt idx="2330">
                  <c:v>229</c:v>
                </c:pt>
                <c:pt idx="2331">
                  <c:v>232</c:v>
                </c:pt>
                <c:pt idx="2332">
                  <c:v>230</c:v>
                </c:pt>
                <c:pt idx="2333">
                  <c:v>235</c:v>
                </c:pt>
                <c:pt idx="2334">
                  <c:v>238</c:v>
                </c:pt>
                <c:pt idx="2335">
                  <c:v>232</c:v>
                </c:pt>
                <c:pt idx="2336">
                  <c:v>234</c:v>
                </c:pt>
                <c:pt idx="2337">
                  <c:v>235</c:v>
                </c:pt>
                <c:pt idx="2338">
                  <c:v>243</c:v>
                </c:pt>
                <c:pt idx="2339">
                  <c:v>247</c:v>
                </c:pt>
                <c:pt idx="2340">
                  <c:v>246</c:v>
                </c:pt>
                <c:pt idx="2341">
                  <c:v>246</c:v>
                </c:pt>
                <c:pt idx="2342">
                  <c:v>255</c:v>
                </c:pt>
                <c:pt idx="2343">
                  <c:v>257</c:v>
                </c:pt>
                <c:pt idx="2344">
                  <c:v>259</c:v>
                </c:pt>
                <c:pt idx="2345">
                  <c:v>255</c:v>
                </c:pt>
                <c:pt idx="2346">
                  <c:v>247</c:v>
                </c:pt>
                <c:pt idx="2347">
                  <c:v>247</c:v>
                </c:pt>
                <c:pt idx="2348">
                  <c:v>247</c:v>
                </c:pt>
                <c:pt idx="2349">
                  <c:v>243</c:v>
                </c:pt>
                <c:pt idx="2350">
                  <c:v>242</c:v>
                </c:pt>
                <c:pt idx="2351">
                  <c:v>237</c:v>
                </c:pt>
                <c:pt idx="2352">
                  <c:v>236</c:v>
                </c:pt>
                <c:pt idx="2353">
                  <c:v>235</c:v>
                </c:pt>
                <c:pt idx="2354">
                  <c:v>236</c:v>
                </c:pt>
                <c:pt idx="2355">
                  <c:v>232</c:v>
                </c:pt>
                <c:pt idx="2356">
                  <c:v>233</c:v>
                </c:pt>
                <c:pt idx="2357">
                  <c:v>235</c:v>
                </c:pt>
                <c:pt idx="2358">
                  <c:v>241</c:v>
                </c:pt>
                <c:pt idx="2359">
                  <c:v>242</c:v>
                </c:pt>
                <c:pt idx="2360">
                  <c:v>237</c:v>
                </c:pt>
                <c:pt idx="2361">
                  <c:v>237</c:v>
                </c:pt>
                <c:pt idx="2362">
                  <c:v>233</c:v>
                </c:pt>
                <c:pt idx="2363">
                  <c:v>226</c:v>
                </c:pt>
                <c:pt idx="2364">
                  <c:v>224</c:v>
                </c:pt>
                <c:pt idx="2365">
                  <c:v>223</c:v>
                </c:pt>
                <c:pt idx="2366">
                  <c:v>224</c:v>
                </c:pt>
                <c:pt idx="2367">
                  <c:v>220</c:v>
                </c:pt>
                <c:pt idx="2368">
                  <c:v>216</c:v>
                </c:pt>
                <c:pt idx="2369">
                  <c:v>219</c:v>
                </c:pt>
                <c:pt idx="2370">
                  <c:v>219</c:v>
                </c:pt>
                <c:pt idx="2371">
                  <c:v>219</c:v>
                </c:pt>
                <c:pt idx="2372">
                  <c:v>215</c:v>
                </c:pt>
                <c:pt idx="2373">
                  <c:v>213</c:v>
                </c:pt>
                <c:pt idx="2374">
                  <c:v>213</c:v>
                </c:pt>
                <c:pt idx="2375">
                  <c:v>211</c:v>
                </c:pt>
                <c:pt idx="2376">
                  <c:v>206</c:v>
                </c:pt>
                <c:pt idx="2377">
                  <c:v>214</c:v>
                </c:pt>
                <c:pt idx="2378">
                  <c:v>211</c:v>
                </c:pt>
                <c:pt idx="2379">
                  <c:v>207</c:v>
                </c:pt>
                <c:pt idx="2380">
                  <c:v>213</c:v>
                </c:pt>
                <c:pt idx="2381">
                  <c:v>213</c:v>
                </c:pt>
                <c:pt idx="2382">
                  <c:v>219</c:v>
                </c:pt>
                <c:pt idx="2383">
                  <c:v>222</c:v>
                </c:pt>
                <c:pt idx="2384">
                  <c:v>225</c:v>
                </c:pt>
                <c:pt idx="2385">
                  <c:v>228</c:v>
                </c:pt>
                <c:pt idx="2386">
                  <c:v>230</c:v>
                </c:pt>
                <c:pt idx="2387">
                  <c:v>234</c:v>
                </c:pt>
                <c:pt idx="2388">
                  <c:v>234</c:v>
                </c:pt>
                <c:pt idx="2389">
                  <c:v>234</c:v>
                </c:pt>
                <c:pt idx="2390">
                  <c:v>236</c:v>
                </c:pt>
                <c:pt idx="2391">
                  <c:v>231</c:v>
                </c:pt>
                <c:pt idx="2392">
                  <c:v>228</c:v>
                </c:pt>
                <c:pt idx="2393">
                  <c:v>221</c:v>
                </c:pt>
                <c:pt idx="2394">
                  <c:v>221</c:v>
                </c:pt>
                <c:pt idx="2395">
                  <c:v>213</c:v>
                </c:pt>
                <c:pt idx="2396">
                  <c:v>213</c:v>
                </c:pt>
                <c:pt idx="2397">
                  <c:v>208</c:v>
                </c:pt>
                <c:pt idx="2398">
                  <c:v>211</c:v>
                </c:pt>
                <c:pt idx="2399">
                  <c:v>217</c:v>
                </c:pt>
                <c:pt idx="2400">
                  <c:v>222</c:v>
                </c:pt>
                <c:pt idx="2401">
                  <c:v>229</c:v>
                </c:pt>
                <c:pt idx="2402">
                  <c:v>231</c:v>
                </c:pt>
                <c:pt idx="2403">
                  <c:v>230</c:v>
                </c:pt>
                <c:pt idx="2404">
                  <c:v>235</c:v>
                </c:pt>
                <c:pt idx="2405">
                  <c:v>230</c:v>
                </c:pt>
                <c:pt idx="2406">
                  <c:v>237</c:v>
                </c:pt>
                <c:pt idx="2407">
                  <c:v>243</c:v>
                </c:pt>
                <c:pt idx="2408">
                  <c:v>250</c:v>
                </c:pt>
                <c:pt idx="2409">
                  <c:v>248</c:v>
                </c:pt>
                <c:pt idx="2410">
                  <c:v>251</c:v>
                </c:pt>
                <c:pt idx="2411">
                  <c:v>251</c:v>
                </c:pt>
                <c:pt idx="2412">
                  <c:v>251</c:v>
                </c:pt>
                <c:pt idx="2413">
                  <c:v>248</c:v>
                </c:pt>
                <c:pt idx="2414">
                  <c:v>249</c:v>
                </c:pt>
                <c:pt idx="2415">
                  <c:v>242</c:v>
                </c:pt>
                <c:pt idx="2416">
                  <c:v>242</c:v>
                </c:pt>
                <c:pt idx="2417">
                  <c:v>238</c:v>
                </c:pt>
                <c:pt idx="2418">
                  <c:v>246</c:v>
                </c:pt>
                <c:pt idx="2419">
                  <c:v>241</c:v>
                </c:pt>
                <c:pt idx="2420">
                  <c:v>240</c:v>
                </c:pt>
                <c:pt idx="2421">
                  <c:v>232</c:v>
                </c:pt>
                <c:pt idx="2422">
                  <c:v>228</c:v>
                </c:pt>
                <c:pt idx="2423">
                  <c:v>226</c:v>
                </c:pt>
                <c:pt idx="2424">
                  <c:v>222</c:v>
                </c:pt>
                <c:pt idx="2425">
                  <c:v>230</c:v>
                </c:pt>
                <c:pt idx="2426">
                  <c:v>236</c:v>
                </c:pt>
                <c:pt idx="2427">
                  <c:v>234</c:v>
                </c:pt>
                <c:pt idx="2428">
                  <c:v>237</c:v>
                </c:pt>
                <c:pt idx="2429">
                  <c:v>232</c:v>
                </c:pt>
                <c:pt idx="2430">
                  <c:v>233</c:v>
                </c:pt>
                <c:pt idx="2431">
                  <c:v>236</c:v>
                </c:pt>
                <c:pt idx="2432">
                  <c:v>233</c:v>
                </c:pt>
                <c:pt idx="2433">
                  <c:v>235</c:v>
                </c:pt>
                <c:pt idx="2434">
                  <c:v>236</c:v>
                </c:pt>
                <c:pt idx="2435">
                  <c:v>233</c:v>
                </c:pt>
                <c:pt idx="2436">
                  <c:v>230</c:v>
                </c:pt>
                <c:pt idx="2437">
                  <c:v>217</c:v>
                </c:pt>
                <c:pt idx="2438">
                  <c:v>211</c:v>
                </c:pt>
                <c:pt idx="2439">
                  <c:v>208</c:v>
                </c:pt>
                <c:pt idx="2440">
                  <c:v>207</c:v>
                </c:pt>
                <c:pt idx="2441">
                  <c:v>207</c:v>
                </c:pt>
                <c:pt idx="2442">
                  <c:v>203</c:v>
                </c:pt>
                <c:pt idx="2443">
                  <c:v>211</c:v>
                </c:pt>
                <c:pt idx="2444">
                  <c:v>221</c:v>
                </c:pt>
                <c:pt idx="2445">
                  <c:v>224</c:v>
                </c:pt>
                <c:pt idx="2446">
                  <c:v>234</c:v>
                </c:pt>
                <c:pt idx="2447">
                  <c:v>239</c:v>
                </c:pt>
                <c:pt idx="2448">
                  <c:v>238</c:v>
                </c:pt>
                <c:pt idx="2449">
                  <c:v>243</c:v>
                </c:pt>
                <c:pt idx="2450">
                  <c:v>241</c:v>
                </c:pt>
                <c:pt idx="2451">
                  <c:v>236</c:v>
                </c:pt>
                <c:pt idx="2452">
                  <c:v>239</c:v>
                </c:pt>
                <c:pt idx="2453">
                  <c:v>239</c:v>
                </c:pt>
                <c:pt idx="2454">
                  <c:v>236</c:v>
                </c:pt>
                <c:pt idx="2455">
                  <c:v>232</c:v>
                </c:pt>
                <c:pt idx="2456">
                  <c:v>237</c:v>
                </c:pt>
                <c:pt idx="2457">
                  <c:v>244</c:v>
                </c:pt>
                <c:pt idx="2458">
                  <c:v>248</c:v>
                </c:pt>
                <c:pt idx="2459">
                  <c:v>252</c:v>
                </c:pt>
                <c:pt idx="2460">
                  <c:v>263</c:v>
                </c:pt>
                <c:pt idx="2461">
                  <c:v>253</c:v>
                </c:pt>
                <c:pt idx="2462">
                  <c:v>249</c:v>
                </c:pt>
                <c:pt idx="2463">
                  <c:v>233</c:v>
                </c:pt>
                <c:pt idx="2464">
                  <c:v>224</c:v>
                </c:pt>
                <c:pt idx="2465">
                  <c:v>216</c:v>
                </c:pt>
                <c:pt idx="2466">
                  <c:v>216</c:v>
                </c:pt>
                <c:pt idx="2467">
                  <c:v>212</c:v>
                </c:pt>
                <c:pt idx="2468">
                  <c:v>226</c:v>
                </c:pt>
                <c:pt idx="2469">
                  <c:v>236</c:v>
                </c:pt>
                <c:pt idx="2470">
                  <c:v>222</c:v>
                </c:pt>
                <c:pt idx="2471">
                  <c:v>213</c:v>
                </c:pt>
                <c:pt idx="2472">
                  <c:v>218</c:v>
                </c:pt>
                <c:pt idx="2473">
                  <c:v>210</c:v>
                </c:pt>
                <c:pt idx="2474">
                  <c:v>206</c:v>
                </c:pt>
                <c:pt idx="2475">
                  <c:v>207</c:v>
                </c:pt>
                <c:pt idx="2476">
                  <c:v>206</c:v>
                </c:pt>
                <c:pt idx="2477">
                  <c:v>198</c:v>
                </c:pt>
                <c:pt idx="2478">
                  <c:v>203</c:v>
                </c:pt>
                <c:pt idx="2479">
                  <c:v>197</c:v>
                </c:pt>
                <c:pt idx="2480">
                  <c:v>191</c:v>
                </c:pt>
                <c:pt idx="2481">
                  <c:v>191</c:v>
                </c:pt>
                <c:pt idx="2482">
                  <c:v>189</c:v>
                </c:pt>
                <c:pt idx="2483">
                  <c:v>178</c:v>
                </c:pt>
                <c:pt idx="2484">
                  <c:v>181</c:v>
                </c:pt>
                <c:pt idx="2485">
                  <c:v>176</c:v>
                </c:pt>
                <c:pt idx="2486">
                  <c:v>175</c:v>
                </c:pt>
                <c:pt idx="2487">
                  <c:v>177</c:v>
                </c:pt>
                <c:pt idx="2488">
                  <c:v>168</c:v>
                </c:pt>
                <c:pt idx="2489">
                  <c:v>162</c:v>
                </c:pt>
                <c:pt idx="2490">
                  <c:v>165</c:v>
                </c:pt>
                <c:pt idx="2491">
                  <c:v>161</c:v>
                </c:pt>
                <c:pt idx="2492">
                  <c:v>161</c:v>
                </c:pt>
                <c:pt idx="2493">
                  <c:v>164</c:v>
                </c:pt>
                <c:pt idx="2494">
                  <c:v>161</c:v>
                </c:pt>
                <c:pt idx="2495">
                  <c:v>162</c:v>
                </c:pt>
                <c:pt idx="2496">
                  <c:v>165</c:v>
                </c:pt>
                <c:pt idx="2497">
                  <c:v>169</c:v>
                </c:pt>
                <c:pt idx="2498">
                  <c:v>170</c:v>
                </c:pt>
                <c:pt idx="2499">
                  <c:v>171</c:v>
                </c:pt>
                <c:pt idx="2500">
                  <c:v>173</c:v>
                </c:pt>
                <c:pt idx="2501">
                  <c:v>175</c:v>
                </c:pt>
                <c:pt idx="2502">
                  <c:v>174</c:v>
                </c:pt>
                <c:pt idx="2503">
                  <c:v>176</c:v>
                </c:pt>
                <c:pt idx="2504">
                  <c:v>174</c:v>
                </c:pt>
                <c:pt idx="2505">
                  <c:v>174</c:v>
                </c:pt>
                <c:pt idx="2506">
                  <c:v>176</c:v>
                </c:pt>
                <c:pt idx="2507">
                  <c:v>178</c:v>
                </c:pt>
                <c:pt idx="2508">
                  <c:v>173</c:v>
                </c:pt>
                <c:pt idx="2509">
                  <c:v>172</c:v>
                </c:pt>
                <c:pt idx="2510">
                  <c:v>174</c:v>
                </c:pt>
                <c:pt idx="2511">
                  <c:v>168</c:v>
                </c:pt>
                <c:pt idx="2512">
                  <c:v>165</c:v>
                </c:pt>
                <c:pt idx="2513">
                  <c:v>169</c:v>
                </c:pt>
                <c:pt idx="2514">
                  <c:v>174</c:v>
                </c:pt>
                <c:pt idx="2515">
                  <c:v>178</c:v>
                </c:pt>
                <c:pt idx="2516">
                  <c:v>181</c:v>
                </c:pt>
                <c:pt idx="2517">
                  <c:v>181</c:v>
                </c:pt>
                <c:pt idx="2518">
                  <c:v>185</c:v>
                </c:pt>
                <c:pt idx="2519">
                  <c:v>188</c:v>
                </c:pt>
                <c:pt idx="2520">
                  <c:v>191</c:v>
                </c:pt>
                <c:pt idx="2521">
                  <c:v>189</c:v>
                </c:pt>
                <c:pt idx="2522">
                  <c:v>191</c:v>
                </c:pt>
                <c:pt idx="2523">
                  <c:v>191</c:v>
                </c:pt>
                <c:pt idx="2524">
                  <c:v>191</c:v>
                </c:pt>
                <c:pt idx="2525">
                  <c:v>194</c:v>
                </c:pt>
                <c:pt idx="2526">
                  <c:v>189</c:v>
                </c:pt>
                <c:pt idx="2527">
                  <c:v>187</c:v>
                </c:pt>
                <c:pt idx="2528">
                  <c:v>188</c:v>
                </c:pt>
                <c:pt idx="2529">
                  <c:v>179</c:v>
                </c:pt>
                <c:pt idx="2530">
                  <c:v>179</c:v>
                </c:pt>
                <c:pt idx="2531">
                  <c:v>174</c:v>
                </c:pt>
                <c:pt idx="2532">
                  <c:v>177</c:v>
                </c:pt>
                <c:pt idx="2533">
                  <c:v>169</c:v>
                </c:pt>
                <c:pt idx="2534">
                  <c:v>170</c:v>
                </c:pt>
                <c:pt idx="2535">
                  <c:v>167</c:v>
                </c:pt>
                <c:pt idx="2536">
                  <c:v>166</c:v>
                </c:pt>
                <c:pt idx="2537">
                  <c:v>167</c:v>
                </c:pt>
                <c:pt idx="2538">
                  <c:v>171</c:v>
                </c:pt>
                <c:pt idx="2539">
                  <c:v>178</c:v>
                </c:pt>
                <c:pt idx="2540">
                  <c:v>182</c:v>
                </c:pt>
                <c:pt idx="2541">
                  <c:v>178</c:v>
                </c:pt>
                <c:pt idx="2542">
                  <c:v>173</c:v>
                </c:pt>
                <c:pt idx="2543">
                  <c:v>176</c:v>
                </c:pt>
                <c:pt idx="2544">
                  <c:v>173</c:v>
                </c:pt>
                <c:pt idx="2545">
                  <c:v>171</c:v>
                </c:pt>
                <c:pt idx="2546">
                  <c:v>171</c:v>
                </c:pt>
                <c:pt idx="2547">
                  <c:v>169</c:v>
                </c:pt>
                <c:pt idx="2548">
                  <c:v>158</c:v>
                </c:pt>
                <c:pt idx="2549">
                  <c:v>158</c:v>
                </c:pt>
                <c:pt idx="2550">
                  <c:v>158</c:v>
                </c:pt>
                <c:pt idx="2551">
                  <c:v>156</c:v>
                </c:pt>
                <c:pt idx="2552">
                  <c:v>154</c:v>
                </c:pt>
                <c:pt idx="2553">
                  <c:v>156</c:v>
                </c:pt>
                <c:pt idx="2554">
                  <c:v>156</c:v>
                </c:pt>
                <c:pt idx="2555">
                  <c:v>155</c:v>
                </c:pt>
                <c:pt idx="2556">
                  <c:v>156</c:v>
                </c:pt>
                <c:pt idx="2557">
                  <c:v>156</c:v>
                </c:pt>
                <c:pt idx="2558">
                  <c:v>153</c:v>
                </c:pt>
                <c:pt idx="2559">
                  <c:v>155</c:v>
                </c:pt>
                <c:pt idx="2560">
                  <c:v>151</c:v>
                </c:pt>
                <c:pt idx="2561">
                  <c:v>155</c:v>
                </c:pt>
                <c:pt idx="2562">
                  <c:v>153</c:v>
                </c:pt>
                <c:pt idx="2563">
                  <c:v>150</c:v>
                </c:pt>
                <c:pt idx="2564">
                  <c:v>148</c:v>
                </c:pt>
                <c:pt idx="2565">
                  <c:v>147</c:v>
                </c:pt>
                <c:pt idx="2566">
                  <c:v>151</c:v>
                </c:pt>
                <c:pt idx="2567">
                  <c:v>149</c:v>
                </c:pt>
                <c:pt idx="2568">
                  <c:v>148</c:v>
                </c:pt>
                <c:pt idx="2569">
                  <c:v>147</c:v>
                </c:pt>
                <c:pt idx="2570">
                  <c:v>147</c:v>
                </c:pt>
                <c:pt idx="2571">
                  <c:v>146</c:v>
                </c:pt>
                <c:pt idx="2572">
                  <c:v>148</c:v>
                </c:pt>
                <c:pt idx="2573">
                  <c:v>147</c:v>
                </c:pt>
                <c:pt idx="2574">
                  <c:v>143</c:v>
                </c:pt>
                <c:pt idx="2575">
                  <c:v>147</c:v>
                </c:pt>
                <c:pt idx="2576">
                  <c:v>146</c:v>
                </c:pt>
                <c:pt idx="2577">
                  <c:v>148</c:v>
                </c:pt>
                <c:pt idx="2578">
                  <c:v>146</c:v>
                </c:pt>
                <c:pt idx="2579">
                  <c:v>142</c:v>
                </c:pt>
                <c:pt idx="2580">
                  <c:v>137</c:v>
                </c:pt>
                <c:pt idx="2581">
                  <c:v>137</c:v>
                </c:pt>
                <c:pt idx="2582">
                  <c:v>136</c:v>
                </c:pt>
                <c:pt idx="2583">
                  <c:v>142</c:v>
                </c:pt>
                <c:pt idx="2584">
                  <c:v>148</c:v>
                </c:pt>
                <c:pt idx="2585">
                  <c:v>146</c:v>
                </c:pt>
                <c:pt idx="2586">
                  <c:v>142</c:v>
                </c:pt>
                <c:pt idx="2587">
                  <c:v>141</c:v>
                </c:pt>
                <c:pt idx="2588">
                  <c:v>143</c:v>
                </c:pt>
                <c:pt idx="2589">
                  <c:v>138</c:v>
                </c:pt>
                <c:pt idx="2590">
                  <c:v>137</c:v>
                </c:pt>
                <c:pt idx="2591">
                  <c:v>138</c:v>
                </c:pt>
                <c:pt idx="2592">
                  <c:v>140</c:v>
                </c:pt>
                <c:pt idx="2593">
                  <c:v>146</c:v>
                </c:pt>
                <c:pt idx="2594">
                  <c:v>147</c:v>
                </c:pt>
                <c:pt idx="2595">
                  <c:v>148</c:v>
                </c:pt>
                <c:pt idx="2596">
                  <c:v>153</c:v>
                </c:pt>
                <c:pt idx="2597">
                  <c:v>155</c:v>
                </c:pt>
                <c:pt idx="2598">
                  <c:v>154</c:v>
                </c:pt>
                <c:pt idx="2599">
                  <c:v>158</c:v>
                </c:pt>
                <c:pt idx="2600">
                  <c:v>156</c:v>
                </c:pt>
                <c:pt idx="2601">
                  <c:v>156</c:v>
                </c:pt>
                <c:pt idx="2602">
                  <c:v>155</c:v>
                </c:pt>
                <c:pt idx="2603">
                  <c:v>153</c:v>
                </c:pt>
                <c:pt idx="2604">
                  <c:v>152</c:v>
                </c:pt>
                <c:pt idx="2605">
                  <c:v>155</c:v>
                </c:pt>
                <c:pt idx="2606">
                  <c:v>154</c:v>
                </c:pt>
                <c:pt idx="2607">
                  <c:v>155</c:v>
                </c:pt>
                <c:pt idx="2608">
                  <c:v>154</c:v>
                </c:pt>
                <c:pt idx="2609">
                  <c:v>154</c:v>
                </c:pt>
                <c:pt idx="2610">
                  <c:v>154</c:v>
                </c:pt>
                <c:pt idx="2611">
                  <c:v>158</c:v>
                </c:pt>
                <c:pt idx="2612">
                  <c:v>162</c:v>
                </c:pt>
                <c:pt idx="2613">
                  <c:v>165</c:v>
                </c:pt>
                <c:pt idx="2614">
                  <c:v>166</c:v>
                </c:pt>
                <c:pt idx="2615">
                  <c:v>164</c:v>
                </c:pt>
                <c:pt idx="2616">
                  <c:v>160</c:v>
                </c:pt>
                <c:pt idx="2617">
                  <c:v>154</c:v>
                </c:pt>
                <c:pt idx="2618">
                  <c:v>154</c:v>
                </c:pt>
                <c:pt idx="2619">
                  <c:v>152</c:v>
                </c:pt>
                <c:pt idx="2620">
                  <c:v>147</c:v>
                </c:pt>
                <c:pt idx="2621">
                  <c:v>143</c:v>
                </c:pt>
                <c:pt idx="2622">
                  <c:v>147</c:v>
                </c:pt>
                <c:pt idx="2623">
                  <c:v>153</c:v>
                </c:pt>
                <c:pt idx="2624">
                  <c:v>152</c:v>
                </c:pt>
                <c:pt idx="2625">
                  <c:v>158</c:v>
                </c:pt>
                <c:pt idx="2626">
                  <c:v>157</c:v>
                </c:pt>
                <c:pt idx="2627">
                  <c:v>157</c:v>
                </c:pt>
                <c:pt idx="2628">
                  <c:v>154</c:v>
                </c:pt>
                <c:pt idx="2629">
                  <c:v>144</c:v>
                </c:pt>
                <c:pt idx="2630">
                  <c:v>145</c:v>
                </c:pt>
                <c:pt idx="2631">
                  <c:v>146</c:v>
                </c:pt>
                <c:pt idx="2632">
                  <c:v>145</c:v>
                </c:pt>
                <c:pt idx="2633">
                  <c:v>145</c:v>
                </c:pt>
                <c:pt idx="2634">
                  <c:v>137</c:v>
                </c:pt>
                <c:pt idx="2635">
                  <c:v>140</c:v>
                </c:pt>
                <c:pt idx="2636">
                  <c:v>146</c:v>
                </c:pt>
                <c:pt idx="2637">
                  <c:v>151</c:v>
                </c:pt>
                <c:pt idx="2638">
                  <c:v>152</c:v>
                </c:pt>
                <c:pt idx="2639">
                  <c:v>155</c:v>
                </c:pt>
                <c:pt idx="2640">
                  <c:v>153</c:v>
                </c:pt>
                <c:pt idx="2641">
                  <c:v>149</c:v>
                </c:pt>
                <c:pt idx="2642">
                  <c:v>146</c:v>
                </c:pt>
                <c:pt idx="2643">
                  <c:v>146</c:v>
                </c:pt>
                <c:pt idx="2644">
                  <c:v>153</c:v>
                </c:pt>
                <c:pt idx="2645">
                  <c:v>157</c:v>
                </c:pt>
                <c:pt idx="2646">
                  <c:v>159</c:v>
                </c:pt>
                <c:pt idx="2647">
                  <c:v>162</c:v>
                </c:pt>
                <c:pt idx="2648">
                  <c:v>166</c:v>
                </c:pt>
                <c:pt idx="2649">
                  <c:v>166</c:v>
                </c:pt>
                <c:pt idx="2650">
                  <c:v>168</c:v>
                </c:pt>
                <c:pt idx="2651">
                  <c:v>164</c:v>
                </c:pt>
                <c:pt idx="2652">
                  <c:v>157</c:v>
                </c:pt>
                <c:pt idx="2653">
                  <c:v>154</c:v>
                </c:pt>
                <c:pt idx="2654">
                  <c:v>156</c:v>
                </c:pt>
                <c:pt idx="2655">
                  <c:v>156</c:v>
                </c:pt>
                <c:pt idx="2656">
                  <c:v>155</c:v>
                </c:pt>
                <c:pt idx="2657">
                  <c:v>153</c:v>
                </c:pt>
                <c:pt idx="2658">
                  <c:v>149</c:v>
                </c:pt>
                <c:pt idx="2659">
                  <c:v>157</c:v>
                </c:pt>
                <c:pt idx="2660">
                  <c:v>157</c:v>
                </c:pt>
                <c:pt idx="2661">
                  <c:v>163</c:v>
                </c:pt>
                <c:pt idx="2662">
                  <c:v>165</c:v>
                </c:pt>
                <c:pt idx="2663">
                  <c:v>166</c:v>
                </c:pt>
                <c:pt idx="2664">
                  <c:v>165</c:v>
                </c:pt>
                <c:pt idx="2665">
                  <c:v>176</c:v>
                </c:pt>
                <c:pt idx="2666">
                  <c:v>176</c:v>
                </c:pt>
                <c:pt idx="2667">
                  <c:v>181</c:v>
                </c:pt>
                <c:pt idx="2668">
                  <c:v>181</c:v>
                </c:pt>
                <c:pt idx="2669">
                  <c:v>175</c:v>
                </c:pt>
                <c:pt idx="2670">
                  <c:v>173</c:v>
                </c:pt>
                <c:pt idx="2671">
                  <c:v>173</c:v>
                </c:pt>
                <c:pt idx="2672">
                  <c:v>177</c:v>
                </c:pt>
                <c:pt idx="2673">
                  <c:v>174</c:v>
                </c:pt>
                <c:pt idx="2674">
                  <c:v>172</c:v>
                </c:pt>
                <c:pt idx="2675">
                  <c:v>169</c:v>
                </c:pt>
                <c:pt idx="2676">
                  <c:v>167</c:v>
                </c:pt>
                <c:pt idx="2677">
                  <c:v>168</c:v>
                </c:pt>
                <c:pt idx="2678">
                  <c:v>167</c:v>
                </c:pt>
                <c:pt idx="2679">
                  <c:v>166</c:v>
                </c:pt>
                <c:pt idx="2680">
                  <c:v>163</c:v>
                </c:pt>
                <c:pt idx="2681">
                  <c:v>166</c:v>
                </c:pt>
                <c:pt idx="2682">
                  <c:v>169</c:v>
                </c:pt>
                <c:pt idx="2683">
                  <c:v>169</c:v>
                </c:pt>
                <c:pt idx="2684">
                  <c:v>165</c:v>
                </c:pt>
                <c:pt idx="2685">
                  <c:v>164</c:v>
                </c:pt>
                <c:pt idx="2686">
                  <c:v>169</c:v>
                </c:pt>
                <c:pt idx="2687">
                  <c:v>173</c:v>
                </c:pt>
                <c:pt idx="2688">
                  <c:v>174</c:v>
                </c:pt>
                <c:pt idx="2689">
                  <c:v>182</c:v>
                </c:pt>
                <c:pt idx="2690">
                  <c:v>175</c:v>
                </c:pt>
                <c:pt idx="2691">
                  <c:v>183</c:v>
                </c:pt>
                <c:pt idx="2692">
                  <c:v>182</c:v>
                </c:pt>
                <c:pt idx="2693">
                  <c:v>190</c:v>
                </c:pt>
                <c:pt idx="2694">
                  <c:v>207</c:v>
                </c:pt>
                <c:pt idx="2695">
                  <c:v>210</c:v>
                </c:pt>
                <c:pt idx="2696">
                  <c:v>211</c:v>
                </c:pt>
                <c:pt idx="2697">
                  <c:v>205</c:v>
                </c:pt>
                <c:pt idx="2698">
                  <c:v>198</c:v>
                </c:pt>
                <c:pt idx="2699">
                  <c:v>197</c:v>
                </c:pt>
                <c:pt idx="2700">
                  <c:v>199</c:v>
                </c:pt>
                <c:pt idx="2701">
                  <c:v>195</c:v>
                </c:pt>
                <c:pt idx="2702">
                  <c:v>200</c:v>
                </c:pt>
                <c:pt idx="2703">
                  <c:v>203</c:v>
                </c:pt>
                <c:pt idx="2704">
                  <c:v>206</c:v>
                </c:pt>
                <c:pt idx="2705">
                  <c:v>208</c:v>
                </c:pt>
                <c:pt idx="2706">
                  <c:v>211</c:v>
                </c:pt>
                <c:pt idx="2707">
                  <c:v>208</c:v>
                </c:pt>
                <c:pt idx="2708">
                  <c:v>208</c:v>
                </c:pt>
                <c:pt idx="2709">
                  <c:v>205</c:v>
                </c:pt>
                <c:pt idx="2710">
                  <c:v>205</c:v>
                </c:pt>
                <c:pt idx="2711">
                  <c:v>205</c:v>
                </c:pt>
                <c:pt idx="2712">
                  <c:v>213</c:v>
                </c:pt>
                <c:pt idx="2713">
                  <c:v>208</c:v>
                </c:pt>
                <c:pt idx="2714">
                  <c:v>219</c:v>
                </c:pt>
                <c:pt idx="2715">
                  <c:v>213</c:v>
                </c:pt>
                <c:pt idx="2716">
                  <c:v>213</c:v>
                </c:pt>
                <c:pt idx="2717">
                  <c:v>214</c:v>
                </c:pt>
                <c:pt idx="2718">
                  <c:v>208</c:v>
                </c:pt>
                <c:pt idx="2719">
                  <c:v>212</c:v>
                </c:pt>
                <c:pt idx="2720">
                  <c:v>211</c:v>
                </c:pt>
                <c:pt idx="2721">
                  <c:v>211</c:v>
                </c:pt>
                <c:pt idx="2722">
                  <c:v>211</c:v>
                </c:pt>
                <c:pt idx="2723">
                  <c:v>203</c:v>
                </c:pt>
                <c:pt idx="2724">
                  <c:v>213</c:v>
                </c:pt>
                <c:pt idx="2725">
                  <c:v>214</c:v>
                </c:pt>
                <c:pt idx="2726">
                  <c:v>216</c:v>
                </c:pt>
                <c:pt idx="2727">
                  <c:v>226</c:v>
                </c:pt>
                <c:pt idx="2728">
                  <c:v>222</c:v>
                </c:pt>
                <c:pt idx="2729">
                  <c:v>222</c:v>
                </c:pt>
                <c:pt idx="2730">
                  <c:v>221</c:v>
                </c:pt>
                <c:pt idx="2731">
                  <c:v>234</c:v>
                </c:pt>
                <c:pt idx="2732">
                  <c:v>244</c:v>
                </c:pt>
                <c:pt idx="2733">
                  <c:v>251</c:v>
                </c:pt>
                <c:pt idx="2734">
                  <c:v>244</c:v>
                </c:pt>
                <c:pt idx="2735">
                  <c:v>237</c:v>
                </c:pt>
                <c:pt idx="2736">
                  <c:v>229</c:v>
                </c:pt>
                <c:pt idx="2737">
                  <c:v>229</c:v>
                </c:pt>
                <c:pt idx="2738">
                  <c:v>229</c:v>
                </c:pt>
                <c:pt idx="2739">
                  <c:v>229</c:v>
                </c:pt>
                <c:pt idx="2740">
                  <c:v>234</c:v>
                </c:pt>
                <c:pt idx="2741">
                  <c:v>223</c:v>
                </c:pt>
                <c:pt idx="2742">
                  <c:v>226</c:v>
                </c:pt>
                <c:pt idx="2743">
                  <c:v>228</c:v>
                </c:pt>
                <c:pt idx="2744">
                  <c:v>227</c:v>
                </c:pt>
                <c:pt idx="2745">
                  <c:v>216</c:v>
                </c:pt>
                <c:pt idx="2746">
                  <c:v>212</c:v>
                </c:pt>
                <c:pt idx="2747">
                  <c:v>208</c:v>
                </c:pt>
                <c:pt idx="2748">
                  <c:v>201</c:v>
                </c:pt>
                <c:pt idx="2749">
                  <c:v>195</c:v>
                </c:pt>
                <c:pt idx="2750">
                  <c:v>196</c:v>
                </c:pt>
                <c:pt idx="2751">
                  <c:v>193</c:v>
                </c:pt>
                <c:pt idx="2752">
                  <c:v>188</c:v>
                </c:pt>
                <c:pt idx="2753">
                  <c:v>187</c:v>
                </c:pt>
                <c:pt idx="2754">
                  <c:v>182</c:v>
                </c:pt>
                <c:pt idx="2755">
                  <c:v>183</c:v>
                </c:pt>
                <c:pt idx="2756">
                  <c:v>184</c:v>
                </c:pt>
                <c:pt idx="2757">
                  <c:v>188</c:v>
                </c:pt>
                <c:pt idx="2758">
                  <c:v>188</c:v>
                </c:pt>
                <c:pt idx="2759">
                  <c:v>186</c:v>
                </c:pt>
                <c:pt idx="2760">
                  <c:v>185</c:v>
                </c:pt>
                <c:pt idx="2761">
                  <c:v>185</c:v>
                </c:pt>
                <c:pt idx="2762">
                  <c:v>188</c:v>
                </c:pt>
                <c:pt idx="2763">
                  <c:v>183</c:v>
                </c:pt>
                <c:pt idx="2764">
                  <c:v>181</c:v>
                </c:pt>
                <c:pt idx="2765">
                  <c:v>184</c:v>
                </c:pt>
                <c:pt idx="2766">
                  <c:v>183</c:v>
                </c:pt>
                <c:pt idx="2767">
                  <c:v>190</c:v>
                </c:pt>
                <c:pt idx="2768">
                  <c:v>188</c:v>
                </c:pt>
                <c:pt idx="2769">
                  <c:v>181</c:v>
                </c:pt>
                <c:pt idx="2770">
                  <c:v>188</c:v>
                </c:pt>
                <c:pt idx="2771">
                  <c:v>194</c:v>
                </c:pt>
                <c:pt idx="2772">
                  <c:v>196</c:v>
                </c:pt>
                <c:pt idx="2773">
                  <c:v>185</c:v>
                </c:pt>
                <c:pt idx="2774">
                  <c:v>178</c:v>
                </c:pt>
                <c:pt idx="2775">
                  <c:v>167</c:v>
                </c:pt>
                <c:pt idx="2776">
                  <c:v>178</c:v>
                </c:pt>
                <c:pt idx="2777">
                  <c:v>177</c:v>
                </c:pt>
                <c:pt idx="2778">
                  <c:v>183</c:v>
                </c:pt>
                <c:pt idx="2779">
                  <c:v>179</c:v>
                </c:pt>
                <c:pt idx="2780">
                  <c:v>177</c:v>
                </c:pt>
                <c:pt idx="2781">
                  <c:v>173</c:v>
                </c:pt>
                <c:pt idx="2782">
                  <c:v>174</c:v>
                </c:pt>
                <c:pt idx="2783">
                  <c:v>171</c:v>
                </c:pt>
                <c:pt idx="2784">
                  <c:v>167</c:v>
                </c:pt>
                <c:pt idx="2785">
                  <c:v>165</c:v>
                </c:pt>
                <c:pt idx="2786">
                  <c:v>166</c:v>
                </c:pt>
                <c:pt idx="2787">
                  <c:v>171</c:v>
                </c:pt>
                <c:pt idx="2788">
                  <c:v>169</c:v>
                </c:pt>
                <c:pt idx="2789">
                  <c:v>166</c:v>
                </c:pt>
                <c:pt idx="2790">
                  <c:v>172</c:v>
                </c:pt>
                <c:pt idx="2791">
                  <c:v>176</c:v>
                </c:pt>
                <c:pt idx="2792">
                  <c:v>182</c:v>
                </c:pt>
                <c:pt idx="2793">
                  <c:v>186</c:v>
                </c:pt>
                <c:pt idx="2794">
                  <c:v>195</c:v>
                </c:pt>
                <c:pt idx="2795">
                  <c:v>200</c:v>
                </c:pt>
                <c:pt idx="2796">
                  <c:v>191</c:v>
                </c:pt>
                <c:pt idx="2797">
                  <c:v>190</c:v>
                </c:pt>
                <c:pt idx="2798">
                  <c:v>193</c:v>
                </c:pt>
                <c:pt idx="2799">
                  <c:v>196</c:v>
                </c:pt>
                <c:pt idx="2800">
                  <c:v>202</c:v>
                </c:pt>
                <c:pt idx="2801">
                  <c:v>206</c:v>
                </c:pt>
                <c:pt idx="2802">
                  <c:v>201</c:v>
                </c:pt>
                <c:pt idx="2803">
                  <c:v>201</c:v>
                </c:pt>
                <c:pt idx="2804">
                  <c:v>197</c:v>
                </c:pt>
                <c:pt idx="2805">
                  <c:v>194</c:v>
                </c:pt>
                <c:pt idx="2806">
                  <c:v>198</c:v>
                </c:pt>
                <c:pt idx="2807">
                  <c:v>198</c:v>
                </c:pt>
                <c:pt idx="2808">
                  <c:v>202</c:v>
                </c:pt>
                <c:pt idx="2809">
                  <c:v>205</c:v>
                </c:pt>
                <c:pt idx="2810">
                  <c:v>203</c:v>
                </c:pt>
                <c:pt idx="2811">
                  <c:v>196</c:v>
                </c:pt>
                <c:pt idx="2812">
                  <c:v>201</c:v>
                </c:pt>
                <c:pt idx="2813">
                  <c:v>196</c:v>
                </c:pt>
                <c:pt idx="2814">
                  <c:v>203</c:v>
                </c:pt>
                <c:pt idx="2815">
                  <c:v>203</c:v>
                </c:pt>
                <c:pt idx="2816">
                  <c:v>210</c:v>
                </c:pt>
                <c:pt idx="2817">
                  <c:v>207</c:v>
                </c:pt>
                <c:pt idx="2818">
                  <c:v>218</c:v>
                </c:pt>
                <c:pt idx="2819">
                  <c:v>216</c:v>
                </c:pt>
                <c:pt idx="2820">
                  <c:v>224</c:v>
                </c:pt>
                <c:pt idx="2821">
                  <c:v>224</c:v>
                </c:pt>
                <c:pt idx="2822">
                  <c:v>218</c:v>
                </c:pt>
                <c:pt idx="2823">
                  <c:v>218</c:v>
                </c:pt>
                <c:pt idx="2824">
                  <c:v>210</c:v>
                </c:pt>
                <c:pt idx="2825">
                  <c:v>212</c:v>
                </c:pt>
                <c:pt idx="2826">
                  <c:v>209</c:v>
                </c:pt>
                <c:pt idx="2827">
                  <c:v>213</c:v>
                </c:pt>
                <c:pt idx="2828">
                  <c:v>218</c:v>
                </c:pt>
                <c:pt idx="2829">
                  <c:v>230</c:v>
                </c:pt>
                <c:pt idx="2830">
                  <c:v>234</c:v>
                </c:pt>
                <c:pt idx="2831">
                  <c:v>237</c:v>
                </c:pt>
                <c:pt idx="2832">
                  <c:v>237</c:v>
                </c:pt>
                <c:pt idx="2833">
                  <c:v>229</c:v>
                </c:pt>
                <c:pt idx="2834">
                  <c:v>233</c:v>
                </c:pt>
                <c:pt idx="2835">
                  <c:v>224</c:v>
                </c:pt>
                <c:pt idx="2836">
                  <c:v>220</c:v>
                </c:pt>
                <c:pt idx="2837">
                  <c:v>219</c:v>
                </c:pt>
                <c:pt idx="2838">
                  <c:v>214</c:v>
                </c:pt>
                <c:pt idx="2839">
                  <c:v>216</c:v>
                </c:pt>
                <c:pt idx="2840">
                  <c:v>217</c:v>
                </c:pt>
                <c:pt idx="2841">
                  <c:v>223</c:v>
                </c:pt>
                <c:pt idx="2842">
                  <c:v>223</c:v>
                </c:pt>
                <c:pt idx="2843">
                  <c:v>223</c:v>
                </c:pt>
                <c:pt idx="2844">
                  <c:v>220</c:v>
                </c:pt>
                <c:pt idx="2845">
                  <c:v>211</c:v>
                </c:pt>
                <c:pt idx="2846">
                  <c:v>210</c:v>
                </c:pt>
                <c:pt idx="2847">
                  <c:v>210</c:v>
                </c:pt>
                <c:pt idx="2848">
                  <c:v>219</c:v>
                </c:pt>
                <c:pt idx="2849">
                  <c:v>217</c:v>
                </c:pt>
                <c:pt idx="2850">
                  <c:v>223</c:v>
                </c:pt>
                <c:pt idx="2851">
                  <c:v>235</c:v>
                </c:pt>
                <c:pt idx="2852">
                  <c:v>231</c:v>
                </c:pt>
                <c:pt idx="2853">
                  <c:v>221</c:v>
                </c:pt>
                <c:pt idx="2854">
                  <c:v>222</c:v>
                </c:pt>
                <c:pt idx="2855">
                  <c:v>213</c:v>
                </c:pt>
                <c:pt idx="2856">
                  <c:v>211</c:v>
                </c:pt>
                <c:pt idx="2857">
                  <c:v>208</c:v>
                </c:pt>
                <c:pt idx="2858">
                  <c:v>221</c:v>
                </c:pt>
                <c:pt idx="2859">
                  <c:v>221</c:v>
                </c:pt>
                <c:pt idx="2860">
                  <c:v>214</c:v>
                </c:pt>
                <c:pt idx="2861">
                  <c:v>220</c:v>
                </c:pt>
                <c:pt idx="2862">
                  <c:v>224</c:v>
                </c:pt>
                <c:pt idx="2863">
                  <c:v>219</c:v>
                </c:pt>
                <c:pt idx="2864">
                  <c:v>228</c:v>
                </c:pt>
                <c:pt idx="2865">
                  <c:v>237</c:v>
                </c:pt>
                <c:pt idx="2866">
                  <c:v>241</c:v>
                </c:pt>
                <c:pt idx="2867">
                  <c:v>241</c:v>
                </c:pt>
                <c:pt idx="2868">
                  <c:v>248</c:v>
                </c:pt>
                <c:pt idx="2869">
                  <c:v>248</c:v>
                </c:pt>
                <c:pt idx="2870">
                  <c:v>239</c:v>
                </c:pt>
                <c:pt idx="2871">
                  <c:v>241</c:v>
                </c:pt>
                <c:pt idx="2872">
                  <c:v>232</c:v>
                </c:pt>
                <c:pt idx="2873">
                  <c:v>236</c:v>
                </c:pt>
                <c:pt idx="2874">
                  <c:v>225</c:v>
                </c:pt>
                <c:pt idx="2875">
                  <c:v>219</c:v>
                </c:pt>
                <c:pt idx="2876">
                  <c:v>220</c:v>
                </c:pt>
                <c:pt idx="2877">
                  <c:v>220</c:v>
                </c:pt>
                <c:pt idx="2878">
                  <c:v>220</c:v>
                </c:pt>
                <c:pt idx="2879">
                  <c:v>230</c:v>
                </c:pt>
                <c:pt idx="2880">
                  <c:v>213</c:v>
                </c:pt>
                <c:pt idx="2881">
                  <c:v>223</c:v>
                </c:pt>
                <c:pt idx="2882">
                  <c:v>219</c:v>
                </c:pt>
                <c:pt idx="2883">
                  <c:v>215</c:v>
                </c:pt>
                <c:pt idx="2884">
                  <c:v>225</c:v>
                </c:pt>
                <c:pt idx="2885">
                  <c:v>229</c:v>
                </c:pt>
                <c:pt idx="2886">
                  <c:v>222</c:v>
                </c:pt>
                <c:pt idx="2887">
                  <c:v>212</c:v>
                </c:pt>
                <c:pt idx="2888">
                  <c:v>197</c:v>
                </c:pt>
                <c:pt idx="2889">
                  <c:v>224</c:v>
                </c:pt>
                <c:pt idx="2890">
                  <c:v>233</c:v>
                </c:pt>
                <c:pt idx="2891">
                  <c:v>226</c:v>
                </c:pt>
                <c:pt idx="2892">
                  <c:v>231</c:v>
                </c:pt>
                <c:pt idx="2893">
                  <c:v>237</c:v>
                </c:pt>
                <c:pt idx="2894">
                  <c:v>235</c:v>
                </c:pt>
                <c:pt idx="2895">
                  <c:v>232</c:v>
                </c:pt>
                <c:pt idx="2896">
                  <c:v>232</c:v>
                </c:pt>
                <c:pt idx="2897">
                  <c:v>225</c:v>
                </c:pt>
                <c:pt idx="2898">
                  <c:v>233</c:v>
                </c:pt>
                <c:pt idx="2899">
                  <c:v>223</c:v>
                </c:pt>
                <c:pt idx="2900">
                  <c:v>239</c:v>
                </c:pt>
                <c:pt idx="2901">
                  <c:v>257</c:v>
                </c:pt>
                <c:pt idx="2902">
                  <c:v>257</c:v>
                </c:pt>
                <c:pt idx="2903">
                  <c:v>262</c:v>
                </c:pt>
                <c:pt idx="2904">
                  <c:v>279</c:v>
                </c:pt>
                <c:pt idx="2905">
                  <c:v>289</c:v>
                </c:pt>
                <c:pt idx="2906">
                  <c:v>288</c:v>
                </c:pt>
                <c:pt idx="2907">
                  <c:v>275</c:v>
                </c:pt>
                <c:pt idx="2908">
                  <c:v>270</c:v>
                </c:pt>
                <c:pt idx="2909">
                  <c:v>265</c:v>
                </c:pt>
                <c:pt idx="2910">
                  <c:v>264</c:v>
                </c:pt>
                <c:pt idx="2911">
                  <c:v>282</c:v>
                </c:pt>
                <c:pt idx="2912">
                  <c:v>278</c:v>
                </c:pt>
                <c:pt idx="2913">
                  <c:v>282</c:v>
                </c:pt>
                <c:pt idx="2914">
                  <c:v>254</c:v>
                </c:pt>
                <c:pt idx="2915">
                  <c:v>244</c:v>
                </c:pt>
                <c:pt idx="2916">
                  <c:v>251</c:v>
                </c:pt>
                <c:pt idx="2917">
                  <c:v>231</c:v>
                </c:pt>
                <c:pt idx="2918">
                  <c:v>228</c:v>
                </c:pt>
                <c:pt idx="2919">
                  <c:v>233</c:v>
                </c:pt>
                <c:pt idx="2920">
                  <c:v>228</c:v>
                </c:pt>
                <c:pt idx="2921">
                  <c:v>232</c:v>
                </c:pt>
                <c:pt idx="2922">
                  <c:v>228</c:v>
                </c:pt>
                <c:pt idx="2923">
                  <c:v>217</c:v>
                </c:pt>
                <c:pt idx="2924">
                  <c:v>211</c:v>
                </c:pt>
                <c:pt idx="2925">
                  <c:v>217</c:v>
                </c:pt>
                <c:pt idx="2926">
                  <c:v>214</c:v>
                </c:pt>
                <c:pt idx="2927">
                  <c:v>214</c:v>
                </c:pt>
                <c:pt idx="2928">
                  <c:v>203</c:v>
                </c:pt>
                <c:pt idx="2929">
                  <c:v>194</c:v>
                </c:pt>
                <c:pt idx="2930">
                  <c:v>207</c:v>
                </c:pt>
                <c:pt idx="2931">
                  <c:v>200</c:v>
                </c:pt>
                <c:pt idx="2932">
                  <c:v>210</c:v>
                </c:pt>
                <c:pt idx="2933">
                  <c:v>204</c:v>
                </c:pt>
                <c:pt idx="2934">
                  <c:v>201</c:v>
                </c:pt>
                <c:pt idx="2935">
                  <c:v>213</c:v>
                </c:pt>
                <c:pt idx="2936">
                  <c:v>214</c:v>
                </c:pt>
                <c:pt idx="2937">
                  <c:v>215</c:v>
                </c:pt>
                <c:pt idx="2938">
                  <c:v>213</c:v>
                </c:pt>
                <c:pt idx="2939">
                  <c:v>206</c:v>
                </c:pt>
                <c:pt idx="2940">
                  <c:v>206</c:v>
                </c:pt>
                <c:pt idx="2941">
                  <c:v>199</c:v>
                </c:pt>
                <c:pt idx="2942">
                  <c:v>214</c:v>
                </c:pt>
                <c:pt idx="2943">
                  <c:v>215</c:v>
                </c:pt>
                <c:pt idx="2944">
                  <c:v>221</c:v>
                </c:pt>
                <c:pt idx="2945">
                  <c:v>217</c:v>
                </c:pt>
                <c:pt idx="2946">
                  <c:v>212</c:v>
                </c:pt>
                <c:pt idx="2947">
                  <c:v>179</c:v>
                </c:pt>
                <c:pt idx="2948">
                  <c:v>186</c:v>
                </c:pt>
                <c:pt idx="2949">
                  <c:v>166</c:v>
                </c:pt>
                <c:pt idx="2950">
                  <c:v>162</c:v>
                </c:pt>
                <c:pt idx="2951">
                  <c:v>157</c:v>
                </c:pt>
                <c:pt idx="2952">
                  <c:v>157</c:v>
                </c:pt>
                <c:pt idx="2953">
                  <c:v>153</c:v>
                </c:pt>
                <c:pt idx="2954">
                  <c:v>156</c:v>
                </c:pt>
                <c:pt idx="2955">
                  <c:v>159</c:v>
                </c:pt>
                <c:pt idx="2956">
                  <c:v>159</c:v>
                </c:pt>
                <c:pt idx="2957">
                  <c:v>163</c:v>
                </c:pt>
                <c:pt idx="2958">
                  <c:v>161</c:v>
                </c:pt>
                <c:pt idx="2959">
                  <c:v>166</c:v>
                </c:pt>
                <c:pt idx="2960">
                  <c:v>171</c:v>
                </c:pt>
                <c:pt idx="2961">
                  <c:v>170</c:v>
                </c:pt>
                <c:pt idx="2962">
                  <c:v>173</c:v>
                </c:pt>
                <c:pt idx="2963">
                  <c:v>172</c:v>
                </c:pt>
                <c:pt idx="2964">
                  <c:v>176</c:v>
                </c:pt>
                <c:pt idx="2965">
                  <c:v>173</c:v>
                </c:pt>
                <c:pt idx="2966">
                  <c:v>173</c:v>
                </c:pt>
                <c:pt idx="2967">
                  <c:v>163</c:v>
                </c:pt>
                <c:pt idx="2968">
                  <c:v>153</c:v>
                </c:pt>
                <c:pt idx="2969">
                  <c:v>159</c:v>
                </c:pt>
                <c:pt idx="2970">
                  <c:v>154</c:v>
                </c:pt>
                <c:pt idx="2971">
                  <c:v>147</c:v>
                </c:pt>
                <c:pt idx="2972">
                  <c:v>147</c:v>
                </c:pt>
                <c:pt idx="2973">
                  <c:v>148</c:v>
                </c:pt>
                <c:pt idx="2974">
                  <c:v>154</c:v>
                </c:pt>
                <c:pt idx="2975">
                  <c:v>160</c:v>
                </c:pt>
                <c:pt idx="2976">
                  <c:v>168</c:v>
                </c:pt>
                <c:pt idx="2977">
                  <c:v>175</c:v>
                </c:pt>
                <c:pt idx="2978">
                  <c:v>172</c:v>
                </c:pt>
                <c:pt idx="2979">
                  <c:v>166</c:v>
                </c:pt>
                <c:pt idx="2980">
                  <c:v>167</c:v>
                </c:pt>
                <c:pt idx="2981">
                  <c:v>172</c:v>
                </c:pt>
                <c:pt idx="2982">
                  <c:v>179</c:v>
                </c:pt>
                <c:pt idx="2983">
                  <c:v>179</c:v>
                </c:pt>
                <c:pt idx="2984">
                  <c:v>174</c:v>
                </c:pt>
                <c:pt idx="2985">
                  <c:v>161</c:v>
                </c:pt>
                <c:pt idx="2986">
                  <c:v>176</c:v>
                </c:pt>
                <c:pt idx="2987">
                  <c:v>177</c:v>
                </c:pt>
                <c:pt idx="2988">
                  <c:v>176</c:v>
                </c:pt>
                <c:pt idx="2989">
                  <c:v>179</c:v>
                </c:pt>
                <c:pt idx="2990">
                  <c:v>175</c:v>
                </c:pt>
                <c:pt idx="2991">
                  <c:v>177</c:v>
                </c:pt>
                <c:pt idx="2992">
                  <c:v>175</c:v>
                </c:pt>
                <c:pt idx="2993">
                  <c:v>174</c:v>
                </c:pt>
                <c:pt idx="2994">
                  <c:v>183</c:v>
                </c:pt>
                <c:pt idx="2995">
                  <c:v>175</c:v>
                </c:pt>
                <c:pt idx="2996">
                  <c:v>175</c:v>
                </c:pt>
                <c:pt idx="2997">
                  <c:v>175</c:v>
                </c:pt>
                <c:pt idx="2998">
                  <c:v>174</c:v>
                </c:pt>
                <c:pt idx="2999">
                  <c:v>166</c:v>
                </c:pt>
                <c:pt idx="3000">
                  <c:v>165</c:v>
                </c:pt>
                <c:pt idx="3001">
                  <c:v>165</c:v>
                </c:pt>
                <c:pt idx="3002">
                  <c:v>162</c:v>
                </c:pt>
                <c:pt idx="3003">
                  <c:v>163</c:v>
                </c:pt>
                <c:pt idx="3004">
                  <c:v>166</c:v>
                </c:pt>
                <c:pt idx="3005">
                  <c:v>169</c:v>
                </c:pt>
                <c:pt idx="3006">
                  <c:v>169</c:v>
                </c:pt>
                <c:pt idx="3007">
                  <c:v>168</c:v>
                </c:pt>
                <c:pt idx="3008">
                  <c:v>167</c:v>
                </c:pt>
                <c:pt idx="3009">
                  <c:v>171</c:v>
                </c:pt>
                <c:pt idx="3010">
                  <c:v>166</c:v>
                </c:pt>
                <c:pt idx="3011">
                  <c:v>168</c:v>
                </c:pt>
                <c:pt idx="3012">
                  <c:v>171</c:v>
                </c:pt>
                <c:pt idx="3013">
                  <c:v>171</c:v>
                </c:pt>
                <c:pt idx="3014">
                  <c:v>173</c:v>
                </c:pt>
                <c:pt idx="3015">
                  <c:v>169</c:v>
                </c:pt>
                <c:pt idx="3016">
                  <c:v>165</c:v>
                </c:pt>
                <c:pt idx="3017">
                  <c:v>169</c:v>
                </c:pt>
                <c:pt idx="3018">
                  <c:v>176</c:v>
                </c:pt>
                <c:pt idx="3019">
                  <c:v>176</c:v>
                </c:pt>
                <c:pt idx="3020">
                  <c:v>179</c:v>
                </c:pt>
                <c:pt idx="3021">
                  <c:v>179</c:v>
                </c:pt>
                <c:pt idx="3022">
                  <c:v>176</c:v>
                </c:pt>
                <c:pt idx="3023">
                  <c:v>176</c:v>
                </c:pt>
                <c:pt idx="3024">
                  <c:v>181</c:v>
                </c:pt>
                <c:pt idx="3025">
                  <c:v>178</c:v>
                </c:pt>
                <c:pt idx="3026">
                  <c:v>175</c:v>
                </c:pt>
                <c:pt idx="3027">
                  <c:v>171</c:v>
                </c:pt>
                <c:pt idx="3028">
                  <c:v>171</c:v>
                </c:pt>
                <c:pt idx="3029">
                  <c:v>170</c:v>
                </c:pt>
                <c:pt idx="3030">
                  <c:v>164</c:v>
                </c:pt>
                <c:pt idx="3031">
                  <c:v>164</c:v>
                </c:pt>
                <c:pt idx="3032">
                  <c:v>164</c:v>
                </c:pt>
                <c:pt idx="3033">
                  <c:v>163</c:v>
                </c:pt>
                <c:pt idx="3034">
                  <c:v>168</c:v>
                </c:pt>
                <c:pt idx="3035">
                  <c:v>169</c:v>
                </c:pt>
                <c:pt idx="3036">
                  <c:v>171</c:v>
                </c:pt>
                <c:pt idx="3037">
                  <c:v>173</c:v>
                </c:pt>
                <c:pt idx="3038">
                  <c:v>170</c:v>
                </c:pt>
                <c:pt idx="3039">
                  <c:v>173</c:v>
                </c:pt>
                <c:pt idx="3040">
                  <c:v>170</c:v>
                </c:pt>
                <c:pt idx="3041">
                  <c:v>171</c:v>
                </c:pt>
                <c:pt idx="3042">
                  <c:v>173</c:v>
                </c:pt>
                <c:pt idx="3043">
                  <c:v>176</c:v>
                </c:pt>
                <c:pt idx="3044">
                  <c:v>178</c:v>
                </c:pt>
                <c:pt idx="3045">
                  <c:v>177</c:v>
                </c:pt>
                <c:pt idx="3046">
                  <c:v>184</c:v>
                </c:pt>
                <c:pt idx="3047">
                  <c:v>187</c:v>
                </c:pt>
                <c:pt idx="3048">
                  <c:v>191</c:v>
                </c:pt>
                <c:pt idx="3049">
                  <c:v>180</c:v>
                </c:pt>
                <c:pt idx="3050">
                  <c:v>174</c:v>
                </c:pt>
                <c:pt idx="3051">
                  <c:v>171</c:v>
                </c:pt>
                <c:pt idx="3052">
                  <c:v>173</c:v>
                </c:pt>
                <c:pt idx="3053">
                  <c:v>161</c:v>
                </c:pt>
                <c:pt idx="3054">
                  <c:v>156</c:v>
                </c:pt>
                <c:pt idx="3055">
                  <c:v>165</c:v>
                </c:pt>
                <c:pt idx="3056">
                  <c:v>166</c:v>
                </c:pt>
                <c:pt idx="3057">
                  <c:v>162</c:v>
                </c:pt>
                <c:pt idx="3058">
                  <c:v>168</c:v>
                </c:pt>
                <c:pt idx="3059">
                  <c:v>174</c:v>
                </c:pt>
                <c:pt idx="3060">
                  <c:v>177</c:v>
                </c:pt>
                <c:pt idx="3061">
                  <c:v>186</c:v>
                </c:pt>
                <c:pt idx="3062">
                  <c:v>188</c:v>
                </c:pt>
                <c:pt idx="3063">
                  <c:v>184</c:v>
                </c:pt>
                <c:pt idx="3064">
                  <c:v>183</c:v>
                </c:pt>
                <c:pt idx="3065">
                  <c:v>176</c:v>
                </c:pt>
                <c:pt idx="3066">
                  <c:v>176</c:v>
                </c:pt>
                <c:pt idx="3067">
                  <c:v>175</c:v>
                </c:pt>
                <c:pt idx="3068">
                  <c:v>175</c:v>
                </c:pt>
                <c:pt idx="3069">
                  <c:v>180</c:v>
                </c:pt>
                <c:pt idx="3070">
                  <c:v>181</c:v>
                </c:pt>
                <c:pt idx="3071">
                  <c:v>176</c:v>
                </c:pt>
                <c:pt idx="3072">
                  <c:v>171</c:v>
                </c:pt>
                <c:pt idx="3073">
                  <c:v>173</c:v>
                </c:pt>
                <c:pt idx="3074">
                  <c:v>162</c:v>
                </c:pt>
                <c:pt idx="3075">
                  <c:v>163</c:v>
                </c:pt>
                <c:pt idx="3076">
                  <c:v>160</c:v>
                </c:pt>
                <c:pt idx="3077">
                  <c:v>165</c:v>
                </c:pt>
                <c:pt idx="3078">
                  <c:v>165</c:v>
                </c:pt>
                <c:pt idx="3079">
                  <c:v>169</c:v>
                </c:pt>
                <c:pt idx="3080">
                  <c:v>179</c:v>
                </c:pt>
                <c:pt idx="3081">
                  <c:v>186</c:v>
                </c:pt>
                <c:pt idx="3082">
                  <c:v>174</c:v>
                </c:pt>
                <c:pt idx="3083">
                  <c:v>166</c:v>
                </c:pt>
                <c:pt idx="3084">
                  <c:v>173</c:v>
                </c:pt>
                <c:pt idx="3085">
                  <c:v>165</c:v>
                </c:pt>
                <c:pt idx="3086">
                  <c:v>169</c:v>
                </c:pt>
                <c:pt idx="3087">
                  <c:v>168</c:v>
                </c:pt>
                <c:pt idx="3088">
                  <c:v>175</c:v>
                </c:pt>
                <c:pt idx="3089">
                  <c:v>167</c:v>
                </c:pt>
                <c:pt idx="3090">
                  <c:v>169</c:v>
                </c:pt>
                <c:pt idx="3091">
                  <c:v>169</c:v>
                </c:pt>
                <c:pt idx="3092">
                  <c:v>168</c:v>
                </c:pt>
                <c:pt idx="3093">
                  <c:v>166</c:v>
                </c:pt>
                <c:pt idx="3094">
                  <c:v>168</c:v>
                </c:pt>
                <c:pt idx="3095">
                  <c:v>173</c:v>
                </c:pt>
                <c:pt idx="3096">
                  <c:v>169</c:v>
                </c:pt>
                <c:pt idx="3097">
                  <c:v>165</c:v>
                </c:pt>
                <c:pt idx="3098">
                  <c:v>164</c:v>
                </c:pt>
                <c:pt idx="3099">
                  <c:v>167</c:v>
                </c:pt>
                <c:pt idx="3100">
                  <c:v>181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27-486D-8442-3D66170469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3836016"/>
        <c:axId val="1213805472"/>
      </c:lineChart>
      <c:dateAx>
        <c:axId val="121383601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13805472"/>
        <c:crosses val="autoZero"/>
        <c:auto val="1"/>
        <c:lblOffset val="100"/>
        <c:baseTimeUnit val="days"/>
        <c:majorUnit val="1"/>
        <c:majorTimeUnit val="years"/>
        <c:minorUnit val="1"/>
        <c:minorTimeUnit val="years"/>
      </c:dateAx>
      <c:valAx>
        <c:axId val="12138054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13836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590550</xdr:colOff>
      <xdr:row>2</xdr:row>
      <xdr:rowOff>57150</xdr:rowOff>
    </xdr:from>
    <xdr:to>
      <xdr:col>11</xdr:col>
      <xdr:colOff>771525</xdr:colOff>
      <xdr:row>17</xdr:row>
      <xdr:rowOff>38100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2BFCC21-93B7-404C-AF4F-C1717A54A0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elipe Bellodi" refreshedDate="45052.53591377315" createdVersion="8" refreshedVersion="8" minRefreshableVersion="3" recordCount="513" xr:uid="{21A3D6B4-0248-44AE-85E4-4A190B52ED4D}">
  <cacheSource type="worksheet">
    <worksheetSource ref="B2:AH557" sheet="Base"/>
  </cacheSource>
  <cacheFields count="35">
    <cacheField name="Apoio" numFmtId="0">
      <sharedItems containsSemiMixedTypes="0" containsString="0" containsNumber="1" containsInteger="1" minValue="0" maxValue="160"/>
    </cacheField>
    <cacheField name="Apoio 2" numFmtId="0">
      <sharedItems/>
    </cacheField>
    <cacheField name="Empresa (j)" numFmtId="0">
      <sharedItems containsSemiMixedTypes="0" containsString="0" containsNumber="1" containsInteger="1" minValue="1" maxValue="39"/>
    </cacheField>
    <cacheField name="Empresa        " numFmtId="0">
      <sharedItems/>
    </cacheField>
    <cacheField name="Grupo Econômico" numFmtId="0">
      <sharedItems/>
    </cacheField>
    <cacheField name="Ativo" numFmtId="0">
      <sharedItems count="2">
        <s v="Debêntures"/>
        <s v="Bonds"/>
      </sharedItems>
    </cacheField>
    <cacheField name="βExt" numFmtId="0">
      <sharedItems containsSemiMixedTypes="0" containsString="0" containsNumber="1" containsInteger="1" minValue="0" maxValue="1"/>
    </cacheField>
    <cacheField name="Codigo do Ativo" numFmtId="0">
      <sharedItems containsBlank="1"/>
    </cacheField>
    <cacheField name="Emissao (i)" numFmtId="0">
      <sharedItems containsSemiMixedTypes="0" containsString="0" containsNumber="1" containsInteger="1" minValue="1" maxValue="34"/>
    </cacheField>
    <cacheField name="Data de Emissao" numFmtId="14">
      <sharedItems containsSemiMixedTypes="0" containsNonDate="0" containsDate="1" containsString="0" minDate="2011-01-18T00:00:00" maxDate="2021-12-16T00:00:00" count="327">
        <d v="2020-11-15T00:00:00"/>
        <d v="2017-09-21T00:00:00"/>
        <d v="2012-10-30T00:00:00"/>
        <d v="2013-10-25T00:00:00"/>
        <d v="2018-07-15T00:00:00"/>
        <d v="2020-02-05T00:00:00"/>
        <d v="2020-09-11T00:00:00"/>
        <d v="2021-04-12T00:00:00"/>
        <d v="2021-10-04T00:00:00"/>
        <d v="2017-10-10T00:00:00"/>
        <d v="2012-06-13T00:00:00"/>
        <d v="2016-11-21T00:00:00"/>
        <d v="2011-09-05T00:00:00"/>
        <d v="2012-01-26T00:00:00"/>
        <d v="2012-12-21T00:00:00"/>
        <d v="2013-07-15T00:00:00"/>
        <d v="2014-06-25T00:00:00"/>
        <d v="2017-04-15T00:00:00"/>
        <d v="2018-04-20T00:00:00"/>
        <d v="2019-01-10T00:00:00"/>
        <d v="2020-05-18T00:00:00"/>
        <d v="2020-06-02T00:00:00"/>
        <d v="2020-09-15T00:00:00"/>
        <d v="2020-11-24T00:00:00"/>
        <d v="2020-10-06T00:00:00"/>
        <d v="2013-05-02T00:00:00"/>
        <d v="2017-08-03T00:00:00"/>
        <d v="2012-06-15T00:00:00"/>
        <d v="2013-11-15T00:00:00"/>
        <d v="2019-12-09T00:00:00"/>
        <d v="2012-12-10T00:00:00"/>
        <d v="2013-12-17T00:00:00"/>
        <d v="2014-11-19T00:00:00"/>
        <d v="2018-08-15T00:00:00"/>
        <d v="2011-06-15T00:00:00"/>
        <d v="2012-09-25T00:00:00"/>
        <d v="2013-05-27T00:00:00"/>
        <d v="2014-02-28T00:00:00"/>
        <d v="2014-09-19T00:00:00"/>
        <d v="2015-03-30T00:00:00"/>
        <d v="2016-12-19T00:00:00"/>
        <d v="2017-06-20T00:00:00"/>
        <d v="2018-06-18T00:00:00"/>
        <d v="2018-12-20T00:00:00"/>
        <d v="2021-06-15T00:00:00"/>
        <d v="2017-10-26T00:00:00"/>
        <d v="2019-06-03T00:00:00"/>
        <d v="2019-12-15T00:00:00"/>
        <d v="2020-04-28T00:00:00"/>
        <d v="2020-05-29T00:00:00"/>
        <d v="2021-07-01T00:00:00"/>
        <d v="2015-01-26T00:00:00"/>
        <d v="2016-12-15T00:00:00"/>
        <d v="2011-07-22T00:00:00"/>
        <d v="2012-07-23T00:00:00"/>
        <d v="2014-02-03T00:00:00"/>
        <d v="2012-05-02T00:00:00"/>
        <d v="2011-04-15T00:00:00"/>
        <d v="2012-02-02T00:00:00"/>
        <d v="2019-11-01T00:00:00"/>
        <d v="2020-07-23T00:00:00"/>
        <d v="2019-04-30T00:00:00"/>
        <d v="2016-09-29T00:00:00"/>
        <d v="2019-09-24T00:00:00"/>
        <d v="2020-09-21T00:00:00"/>
        <d v="2014-05-22T00:00:00"/>
        <d v="2013-05-22T00:00:00"/>
        <d v="2012-06-06T00:00:00"/>
        <d v="2020-10-26T00:00:00"/>
        <d v="2012-06-26T00:00:00"/>
        <d v="2013-03-27T00:00:00"/>
        <d v="2013-02-15T00:00:00"/>
        <d v="2015-12-15T00:00:00"/>
        <d v="2017-12-15T00:00:00"/>
        <d v="2018-12-03T00:00:00"/>
        <d v="2019-06-15T00:00:00"/>
        <d v="2012-02-15T00:00:00"/>
        <d v="2013-12-23T00:00:00"/>
        <d v="2014-12-10T00:00:00"/>
        <d v="2015-07-15T00:00:00"/>
        <d v="2016-12-23T00:00:00"/>
        <d v="2017-04-22T00:00:00"/>
        <d v="2017-12-05T00:00:00"/>
        <d v="2018-07-18T00:00:00"/>
        <d v="2021-12-15T00:00:00"/>
        <d v="2014-06-17T00:00:00"/>
        <d v="2015-04-13T00:00:00"/>
        <d v="2019-06-18T00:00:00"/>
        <d v="2012-11-16T00:00:00"/>
        <d v="2012-10-01T00:00:00"/>
        <d v="2019-02-28T00:00:00"/>
        <d v="2021-07-15T00:00:00"/>
        <d v="2020-08-25T00:00:00"/>
        <d v="2017-09-20T00:00:00"/>
        <d v="2016-06-20T00:00:00"/>
        <d v="2013-03-14T00:00:00"/>
        <d v="2016-07-18T00:00:00"/>
        <d v="2019-07-31T00:00:00"/>
        <d v="2020-01-28T00:00:00"/>
        <d v="2020-11-16T00:00:00"/>
        <d v="2021-06-10T00:00:00"/>
        <d v="2019-04-17T00:00:00"/>
        <d v="2018-02-09T00:00:00"/>
        <d v="2019-07-02T00:00:00"/>
        <d v="2012-02-03T00:00:00"/>
        <d v="2021-09-20T00:00:00"/>
        <d v="2012-12-01T00:00:00"/>
        <d v="2016-06-16T00:00:00"/>
        <d v="2019-04-25T00:00:00"/>
        <d v="2021-04-15T00:00:00"/>
        <d v="2020-02-04T00:00:00"/>
        <d v="2011-10-27T00:00:00"/>
        <d v="2011-06-03T00:00:00"/>
        <d v="2018-11-21T00:00:00"/>
        <d v="2019-05-06T00:00:00"/>
        <d v="2017-10-24T00:00:00"/>
        <d v="2013-04-15T00:00:00"/>
        <d v="2014-04-16T00:00:00"/>
        <d v="2014-05-09T00:00:00"/>
        <d v="2014-04-29T00:00:00"/>
        <d v="2019-11-21T00:00:00"/>
        <d v="2011-06-10T00:00:00"/>
        <d v="2015-09-29T00:00:00"/>
        <d v="2018-10-28T00:00:00"/>
        <d v="2021-10-27T00:00:00"/>
        <d v="2018-02-02T00:00:00"/>
        <d v="2017-12-11T00:00:00"/>
        <d v="2020-12-23T00:00:00"/>
        <d v="2021-05-11T00:00:00"/>
        <d v="2021-09-28T00:00:00"/>
        <d v="2014-09-24T00:00:00"/>
        <d v="2013-02-08T00:00:00"/>
        <d v="2021-10-15T00:00:00"/>
        <d v="2021-02-08T00:00:00"/>
        <d v="2018-01-24T00:00:00"/>
        <d v="2011-03-28T00:00:00"/>
        <d v="2013-08-02T00:00:00"/>
        <d v="2013-11-24T00:00:00"/>
        <d v="2014-04-10T00:00:00"/>
        <d v="2019-11-28T00:00:00"/>
        <d v="2020-04-03T00:00:00"/>
        <d v="2020-09-01T00:00:00"/>
        <d v="2021-09-09T00:00:00"/>
        <d v="2011-04-20T00:00:00"/>
        <d v="2012-04-19T00:00:00"/>
        <d v="2020-06-08T00:00:00"/>
        <d v="2021-09-24T00:00:00"/>
        <d v="2014-07-17T00:00:00"/>
        <d v="2019-09-16T00:00:00"/>
        <d v="2013-03-15T00:00:00"/>
        <d v="2014-04-01T00:00:00"/>
        <d v="2018-03-26T00:00:00"/>
        <d v="2019-02-11T00:00:00"/>
        <d v="2021-05-07T00:00:00"/>
        <d v="2019-03-19T00:00:00"/>
        <d v="2019-04-03T00:00:00"/>
        <d v="2021-01-12T00:00:00"/>
        <d v="2017-09-19T00:00:00"/>
        <d v="2014-07-16T00:00:00"/>
        <d v="2020-01-21T00:00:00"/>
        <d v="2019-07-11T00:00:00"/>
        <d v="2011-04-10T00:00:00"/>
        <d v="2016-11-16T00:00:00"/>
        <d v="2017-04-20T00:00:00"/>
        <d v="2017-11-24T00:00:00"/>
        <d v="2011-12-29T00:00:00"/>
        <d v="2021-01-15T00:00:00"/>
        <d v="2016-06-13T00:00:00"/>
        <d v="2017-07-07T00:00:00"/>
        <d v="2017-10-15T00:00:00"/>
        <d v="2018-03-29T00:00:00"/>
        <d v="2018-10-15T00:00:00"/>
        <d v="2019-04-15T00:00:00"/>
        <d v="2019-10-15T00:00:00"/>
        <d v="2020-04-15T00:00:00"/>
        <d v="2020-07-28T00:00:00"/>
        <d v="2020-08-15T00:00:00"/>
        <d v="2011-05-02T00:00:00"/>
        <d v="2013-06-15T00:00:00"/>
        <d v="2021-06-18T00:00:00"/>
        <d v="2018-05-02T00:00:00"/>
        <d v="2011-01-18T00:00:00"/>
        <d v="2021-01-29T00:00:00"/>
        <d v="2018-01-19T00:00:00"/>
        <d v="2017-03-15T00:00:00"/>
        <d v="2016-06-08T00:00:00"/>
        <d v="2014-06-24T00:00:00"/>
        <d v="2011-05-09T00:00:00"/>
        <d v="2013-09-20T00:00:00"/>
        <d v="2013-01-24T00:00:00"/>
        <d v="2019-05-14T00:00:00"/>
        <d v="2019-08-06T00:00:00"/>
        <d v="2019-05-15T00:00:00"/>
        <d v="2021-03-18T00:00:00"/>
        <d v="2017-12-19T00:00:00"/>
        <d v="2016-09-20T00:00:00"/>
        <d v="2021-07-13T00:00:00"/>
        <d v="2013-01-31T00:00:00"/>
        <d v="2017-06-16T00:00:00"/>
        <d v="2012-03-29T00:00:00"/>
        <d v="2014-08-20T00:00:00"/>
        <d v="2012-02-10T00:00:00"/>
        <d v="2015-09-24T00:00:00"/>
        <d v="2020-12-10T00:00:00"/>
        <d v="2020-12-15T00:00:00"/>
        <d v="2018-10-10T00:00:00"/>
        <d v="2019-06-24T00:00:00"/>
        <d v="2020-04-30T00:00:00"/>
        <d v="2020-11-18T00:00:00"/>
        <d v="2021-11-30T00:00:00"/>
        <d v="2017-07-15T00:00:00"/>
        <d v="2018-06-07T00:00:00"/>
        <d v="2018-12-07T00:00:00"/>
        <d v="2019-06-27T00:00:00"/>
        <d v="2020-10-15T00:00:00"/>
        <d v="2021-09-15T00:00:00"/>
        <d v="2014-02-25T00:00:00"/>
        <d v="2015-03-16T00:00:00"/>
        <d v="2017-09-25T00:00:00"/>
        <d v="2018-02-14T00:00:00"/>
        <d v="2018-09-21T00:00:00"/>
        <d v="2019-08-26T00:00:00"/>
        <d v="2021-05-03T00:00:00"/>
        <d v="2018-02-01T00:00:00"/>
        <d v="2013-03-28T00:00:00"/>
        <d v="2011-08-08T00:00:00"/>
        <d v="2011-12-28T00:00:00"/>
        <d v="2012-03-15T00:00:00"/>
        <d v="2018-02-05T00:00:00"/>
        <d v="2018-07-27T00:00:00"/>
        <d v="2014-05-20T00:00:00"/>
        <d v="2017-08-15T00:00:00"/>
        <d v="2019-01-15T00:00:00"/>
        <d v="2019-08-15T00:00:00"/>
        <d v="2020-06-03T00:00:00"/>
        <d v="2014-03-17T00:00:00"/>
        <d v="2017-01-17T00:00:00"/>
        <d v="2011-01-27T00:00:00"/>
        <d v="2016-05-23T00:00:00"/>
        <d v="2013-05-20T00:00:00"/>
        <d v="2017-09-27T00:00:00"/>
        <d v="2019-09-18T00:00:00"/>
        <d v="2012-02-06T00:00:00"/>
        <d v="2014-10-31T00:00:00"/>
        <d v="2014-11-21T00:00:00"/>
        <d v="2014-01-07T00:00:00"/>
        <d v="2014-05-30T00:00:00"/>
        <d v="2012-07-05T00:00:00"/>
        <d v="2019-07-03T00:00:00"/>
        <d v="2018-05-25T00:00:00"/>
        <d v="2011-07-27T00:00:00"/>
        <d v="2013-10-15T00:00:00"/>
        <d v="2019-11-15T00:00:00"/>
        <d v="2020-06-15T00:00:00"/>
        <d v="2017-01-20T00:00:00"/>
        <d v="2020-07-07T00:00:00"/>
        <d v="2011-10-28T00:00:00"/>
        <d v="2013-12-10T00:00:00"/>
        <d v="2014-12-15T00:00:00"/>
        <d v="2016-07-12T00:00:00"/>
        <d v="2016-07-21T00:00:00"/>
        <d v="2017-08-07T00:00:00"/>
        <d v="2018-09-10T00:00:00"/>
        <d v="2018-10-24T00:00:00"/>
        <d v="2011-12-12T00:00:00"/>
        <d v="2011-12-10T00:00:00"/>
        <d v="2012-08-10T00:00:00"/>
        <d v="2019-06-20T00:00:00"/>
        <d v="2020-06-17T00:00:00"/>
        <d v="2020-01-22T00:00:00"/>
        <d v="2018-01-17T00:00:00"/>
        <d v="2020-02-13T00:00:00"/>
        <d v="2011-07-15T00:00:00"/>
        <d v="2015-04-24T00:00:00"/>
        <d v="2019-02-15T00:00:00"/>
        <d v="2020-07-10T00:00:00"/>
        <d v="2021-09-22T00:00:00"/>
        <d v="2021-10-20T00:00:00"/>
        <d v="2011-06-24T00:00:00"/>
        <d v="2012-05-24T00:00:00"/>
        <d v="2013-10-24T00:00:00"/>
        <d v="2014-06-15T00:00:00"/>
        <d v="2019-05-20T00:00:00"/>
        <d v="2019-11-20T00:00:00"/>
        <d v="2021-01-20T00:00:00"/>
        <d v="2017-07-26T00:00:00"/>
        <d v="2018-01-16T00:00:00"/>
        <d v="2018-06-29T00:00:00"/>
        <d v="2019-01-07T00:00:00"/>
        <d v="2019-09-15T00:00:00"/>
        <d v="2017-03-16T00:00:00"/>
        <d v="2019-08-14T00:00:00"/>
        <d v="2020-09-14T00:00:00"/>
        <d v="2021-09-13T00:00:00"/>
        <d v="2016-07-14T00:00:00"/>
        <d v="2018-09-20T00:00:00"/>
        <d v="2019-05-29T00:00:00"/>
        <d v="2017-09-12T00:00:00"/>
        <d v="2018-11-09T00:00:00"/>
        <d v="2019-02-05T00:00:00"/>
        <d v="2012-03-16T00:00:00"/>
        <d v="2018-03-05T00:00:00"/>
        <d v="2019-06-06T00:00:00"/>
        <d v="2016-10-06T00:00:00"/>
        <d v="2020-07-20T00:00:00"/>
        <d v="2013-01-30T00:00:00"/>
        <d v="2019-09-30T00:00:00"/>
        <d v="2019-07-18T00:00:00"/>
        <d v="2014-01-15T00:00:00"/>
        <d v="2015-08-15T00:00:00"/>
        <d v="2020-07-08T00:00:00"/>
        <d v="2016-08-10T00:00:00"/>
        <d v="2016-06-10T00:00:00"/>
        <d v="2012-01-11T00:00:00"/>
        <d v="2012-09-11T00:00:00"/>
        <d v="2014-09-01T00:00:00"/>
        <d v="2015-11-05T00:00:00"/>
        <d v="2017-01-10T00:00:00"/>
        <d v="2021-02-20T00:00:00"/>
        <d v="2021-10-05T00:00:00"/>
        <d v="2011-02-14T00:00:00"/>
        <d v="2012-01-20T00:00:00"/>
        <d v="2012-12-05T00:00:00"/>
        <d v="2013-12-05T00:00:00"/>
        <d v="2014-03-25T00:00:00"/>
        <d v="2011-04-05T00:00:00"/>
        <d v="2012-02-09T00:00:00"/>
      </sharedItems>
      <fieldGroup par="34" base="9">
        <rangePr groupBy="months" startDate="2011-01-18T00:00:00" endDate="2021-12-16T00:00:00"/>
        <groupItems count="14">
          <s v="&lt;18/01/2011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16/12/2021"/>
        </groupItems>
      </fieldGroup>
    </cacheField>
    <cacheField name=" Data de Vencimento" numFmtId="14">
      <sharedItems containsDate="1" containsMixedTypes="1" minDate="2013-10-25T00:00:00" maxDate="2036-07-16T00:00:00"/>
    </cacheField>
    <cacheField name="Prazo" numFmtId="4">
      <sharedItems containsSemiMixedTypes="0" containsString="0" containsNumber="1" minValue="0.24657534246575341" maxValue="60.545205479452058" count="143">
        <n v="6.0849315068493155"/>
        <n v="10.005479452054795"/>
        <n v="0.98630136986301364"/>
        <n v="1.4986301369863013"/>
        <n v="5.0027397260273974"/>
        <n v="5.0054794520547947"/>
        <n v="3"/>
        <n v="6.0027397260273974"/>
        <n v="7.0054794520547947"/>
        <n v="10.087671232876712"/>
        <n v="12.813698630136987"/>
        <n v="6.0054794520547947"/>
        <n v="10.008219178082191"/>
        <n v="8.0054794520547947"/>
        <n v="10.076712328767123"/>
        <n v="10.043835616438356"/>
        <n v="3.0027397260273974"/>
        <n v="1.167123287671233"/>
        <n v="7.0027397260273974"/>
        <n v="2"/>
        <n v="5.0630136986301366"/>
        <n v="2.6712328767123288"/>
        <n v="3.3315068493150686"/>
        <n v="2.2547945205479452"/>
        <n v="1.5397260273972602"/>
        <n v="9.5123287671232877"/>
        <n v="9.0054794520547947"/>
        <n v="1.0027397260273974"/>
        <n v="1.5013698630136987"/>
        <n v="1"/>
        <n v="1.5041095890410958"/>
        <n v="14.008219178082191"/>
        <n v="5.9726027397260273"/>
        <n v="30.021917808219179"/>
        <n v="29.016438356164382"/>
        <n v="9.205479452054794"/>
        <n v="10.257534246575343"/>
        <n v="30.271232876712329"/>
        <n v="60.545205479452058"/>
        <n v="5.2547945205479456"/>
        <n v="10.342465753424657"/>
        <n v="30.019178082191782"/>
        <n v="29.923287671232877"/>
        <n v="9.9506849315068493"/>
        <n v="12.008219178082191"/>
        <n v="4.5013698630136982"/>
        <n v="4.0027397260273974"/>
        <n v="6.3890410958904109"/>
        <n v="7.5041095890410956"/>
        <n v="2.1315068493150684"/>
        <n v="2.0027397260273974"/>
        <n v="7.0904109589041093"/>
        <n v="10.09041095890411"/>
        <n v="10.591780821917808"/>
        <n v="10.515068493150684"/>
        <n v="10.147945205479452"/>
        <n v="15.010958904109589"/>
        <n v="7.2027397260273975"/>
        <n v="5.0136986301369859"/>
        <n v="3.6219178082191781"/>
        <n v="8.4684931506849317"/>
        <n v="3.8301369863013699"/>
        <n v="15.008219178082191"/>
        <n v="10.063013698630137"/>
        <n v="9.9808219178082194"/>
        <n v="10.175342465753424"/>
        <n v="7"/>
        <n v="7.1452054794520548"/>
        <n v="5.5205479452054798"/>
        <n v="5.13972602739726"/>
        <n v="4.7561643835616438"/>
        <n v="7.3397260273972602"/>
        <n v="10.016438356164384"/>
        <n v="3.6657534246575341"/>
        <n v="3.0876712328767124"/>
        <n v="5.7068493150684931"/>
        <n v="9.6712328767123292"/>
        <n v="29.219178082191782"/>
        <n v="9.7369863013698623"/>
        <n v="3.6767123287671235"/>
        <n v="1.4465753424657535"/>
        <n v="7.6438356164383565"/>
        <n v="1.526027397260274"/>
        <n v="4.9671232876712326"/>
        <n v="3.0246575342465754"/>
        <n v="3.6164383561643834"/>
        <n v="7.9205479452054792"/>
        <n v="9.9205479452054792"/>
        <n v="4.4986301369863018"/>
        <n v="9.6849315068493151"/>
        <n v="9.2684931506849306"/>
        <n v="9.8767123287671232"/>
        <n v="8.4547945205479458"/>
        <n v="4.5890410958904111"/>
        <n v="1.9726027397260273"/>
        <n v="7.1726027397260275"/>
        <n v="4.6712328767123283"/>
        <n v="5.5041095890410956"/>
        <n v="3.2712328767123289"/>
        <n v="6.0109589041095894"/>
        <n v="5.087671232876712"/>
        <n v="8.087671232876712"/>
        <n v="9.4054794520547951"/>
        <n v="1.4958904109589042"/>
        <n v="17.065753424657533"/>
        <n v="10.093150684931507"/>
        <n v="15.095890410958905"/>
        <n v="11.008219178082191"/>
        <n v="10.33972602739726"/>
        <n v="10.334246575342465"/>
        <n v="12.682191780821919"/>
        <n v="9.4904109589041088"/>
        <n v="3.506849315068493"/>
        <n v="11"/>
        <n v="8.0082191780821912"/>
        <n v="0.24657534246575341"/>
        <n v="7.0136986301369859"/>
        <n v="6.5424657534246577"/>
        <n v="9.0082191780821912"/>
        <n v="5.2219178082191782"/>
        <n v="7.506849315068493"/>
        <n v="11.180821917808219"/>
        <n v="9.9479452054794528"/>
        <n v="10.328767123287671"/>
        <n v="11.260273972602739"/>
        <n v="9.7589041095890412"/>
        <n v="9.3397260273972602"/>
        <n v="10.021917808219179"/>
        <n v="6.5287671232876709"/>
        <n v="9.4301369863013704"/>
        <n v="10.547945205479452"/>
        <n v="7.0109589041095894"/>
        <n v="10.641095890410959"/>
        <n v="27.816438356164383"/>
        <n v="8.8410958904109584"/>
        <n v="28.367123287671234"/>
        <n v="29.526027397260275"/>
        <n v="8.8849315068493144"/>
        <n v="12.882191780821918"/>
        <n v="9.3369863013698637"/>
        <n v="6.3643835616438356"/>
        <n v="11.254794520547945"/>
        <n v="29.172602739726027"/>
      </sharedItems>
    </cacheField>
    <cacheField name="βLP" numFmtId="3">
      <sharedItems containsSemiMixedTypes="0" containsString="0" containsNumber="1" containsInteger="1" minValue="0" maxValue="1"/>
    </cacheField>
    <cacheField name="Garantia/Especie" numFmtId="0">
      <sharedItems count="6">
        <s v="Real"/>
        <s v="COMPANY GUARNT"/>
        <s v="Quirografária"/>
        <s v="Flutuante"/>
        <s v="SR SECURED"/>
        <s v="-"/>
      </sharedItems>
    </cacheField>
    <cacheField name="βGarantia" numFmtId="0">
      <sharedItems count="4">
        <s v="1"/>
        <s v="0"/>
        <s v="N" u="1"/>
        <s v="S" u="1"/>
      </sharedItems>
    </cacheField>
    <cacheField name="Quantidade Emitida" numFmtId="0">
      <sharedItems containsString="0" containsBlank="1" containsNumber="1" containsInteger="1" minValue="10" maxValue="1600000000"/>
    </cacheField>
    <cacheField name="Valor Nominal na Emissao" numFmtId="0">
      <sharedItems containsString="0" containsBlank="1" containsNumber="1" minValue="1" maxValue="40000000"/>
    </cacheField>
    <cacheField name="Preço USD" numFmtId="0">
      <sharedItems containsMixedTypes="1" containsNumber="1" minValue="1.5539000000000001" maxValue="5.6322000000000001"/>
    </cacheField>
    <cacheField name="Volume Emissão" numFmtId="3">
      <sharedItems containsSemiMixedTypes="0" containsString="0" containsNumber="1" minValue="27000000" maxValue="5836134000"/>
    </cacheField>
    <cacheField name="Volume R$ (100 MM)" numFmtId="4">
      <sharedItems containsSemiMixedTypes="0" containsString="0" containsNumber="1" minValue="2.7E-2" maxValue="186.32441408400001" count="646">
        <n v="4"/>
        <n v="15.670500000000001"/>
        <n v="1.5"/>
        <n v="5.335"/>
        <n v="3.05"/>
        <n v="3"/>
        <n v="8"/>
        <n v="0.66500000000000004"/>
        <n v="12.672800000000001"/>
        <n v="31"/>
        <n v="5"/>
        <n v="1.546"/>
        <n v="7"/>
        <n v="2"/>
        <n v="3.5"/>
        <n v="0.45400000000000001"/>
        <n v="2.5"/>
        <n v="12.6335"/>
        <n v="10"/>
        <n v="2.3664999999999998"/>
        <n v="27.015499999999999"/>
        <n v="27.599499999999999"/>
        <n v="2.54"/>
        <n v="0.88"/>
        <n v="0.82940000000000003"/>
        <n v="1.8"/>
        <n v="5.5"/>
        <n v="0.78449999999999998"/>
        <n v="4.7805999999999997"/>
        <n v="4.3"/>
        <n v="6"/>
        <n v="2.52"/>
        <n v="19.918559999999999"/>
        <n v="1"/>
        <n v="1.05"/>
        <n v="30.5244"/>
        <n v="12.975199999999999"/>
        <n v="4.5"/>
        <n v="1.6"/>
        <n v="0.5"/>
        <n v="7.95"/>
        <n v="3.99"/>
        <n v="7.7694999999999999"/>
        <n v="5.1014999999999997"/>
        <n v="12.042"/>
        <n v="9.5715000000000003"/>
        <n v="11.826000000000001"/>
        <n v="4.33"/>
        <n v="59.67"/>
        <n v="39.602499999999999"/>
        <n v="29.835000000000001"/>
        <n v="30.9846"/>
        <n v="15.840999999999999"/>
        <n v="0.7"/>
        <n v="4.1173200000000003"/>
        <n v="2.68268"/>
        <n v="16.1145"/>
        <n v="31.286249999999999"/>
        <n v="27.216999999999999"/>
        <n v="11.0625"/>
        <n v="10.1905"/>
        <n v="10.087999999999999"/>
        <n v="16.896599999999999"/>
        <n v="5.1842499999999996"/>
        <n v="0.72"/>
        <n v="4.1081700000000003"/>
        <n v="16.149999999999999"/>
        <n v="10.955080000000001"/>
        <n v="6.5367499999999996"/>
        <n v="15.75"/>
        <n v="21.6"/>
        <n v="15"/>
        <n v="4.8"/>
        <n v="14"/>
        <n v="9.7274999999999991"/>
        <n v="22.4"/>
        <n v="0.27250000000000002"/>
        <n v="6.7"/>
        <n v="0.27"/>
        <n v="32.316000000000003"/>
        <n v="19.234000000000002"/>
        <n v="2.2999999999999998"/>
        <n v="8.9920000000000009"/>
        <n v="46"/>
        <n v="30"/>
        <n v="9.7318200000000008"/>
        <n v="8.3859300000000019"/>
        <n v="19"/>
        <n v="17"/>
        <n v="7.5"/>
        <n v="9"/>
        <n v="17.399999999999999"/>
        <n v="6.3687158999999998"/>
        <n v="16.9145"/>
        <n v="9.8354999999999997"/>
        <n v="4.8941999999999997"/>
        <n v="28.232250000000001"/>
        <n v="5.7644799999999998"/>
        <n v="4.2355200000000002"/>
        <n v="42.058"/>
        <n v="16.2576"/>
        <n v="43.039749999999998"/>
        <n v="23.531400000000001"/>
        <n v="11.485250000000001"/>
        <n v="6.7476500000000001"/>
        <n v="3.4432"/>
        <n v="15.6876"/>
        <n v="9.4"/>
        <n v="12.2143"/>
        <n v="11"/>
        <n v="12"/>
        <n v="22"/>
        <n v="31.78125"/>
        <n v="21.1875"/>
        <n v="30.303000000000001"/>
        <n v="1.9906900000000001"/>
        <n v="1.0093099999999999"/>
        <n v="3.9340000000000002"/>
        <n v="21.101600000000001"/>
        <n v="14.837999999999999"/>
        <n v="11.167999999999999"/>
        <n v="13.3116"/>
        <n v="13.315799999999999"/>
        <n v="21.002999999999997"/>
        <n v="10.5"/>
        <n v="2.2187000000000001"/>
        <n v="6.1021700000000001"/>
        <n v="2.2187999999999999"/>
        <n v="4.8080999999999996"/>
        <n v="21.34535"/>
        <n v="33.627099999999999"/>
        <n v="15.719099999999999"/>
        <n v="8.1300000000000008"/>
        <n v="7.8208000000000002"/>
        <n v="3.9260000000000002"/>
        <n v="2.8"/>
        <n v="26.832000000000001"/>
        <n v="19.1784"/>
        <n v="24.85"/>
        <n v="2.35"/>
        <n v="11.785500000000001"/>
        <n v="1.75719"/>
        <n v="1.68668"/>
        <n v="1.6866699999999999"/>
        <n v="2.2233399999999999"/>
        <n v="1.03355"/>
        <n v="1.0335399999999999"/>
        <n v="0.99207000000000001"/>
        <n v="0.99206000000000005"/>
        <n v="1.3077300000000001"/>
        <n v="1.30772"/>
        <n v="3.0765199999999999"/>
        <n v="3.0765099999999999"/>
        <n v="2.9530500000000002"/>
        <n v="3.8926599999999998"/>
        <n v="16.797750000000001"/>
        <n v="12.4"/>
        <n v="3.9773200000000002"/>
        <n v="3.3879999999999999"/>
        <n v="1.1120000000000001"/>
        <n v="20.884399999999999"/>
        <n v="19.215"/>
        <n v="27.3155"/>
        <n v="15.6585"/>
        <n v="11.093500000000001"/>
        <n v="8.4016000000000002"/>
        <n v="9.3817500000000003"/>
        <n v="1.7"/>
        <n v="4.25"/>
        <n v="3.6"/>
        <n v="1.75"/>
        <n v="1.9877800000000001"/>
        <n v="4.5866400000000001"/>
        <n v="5.4"/>
        <n v="1.325"/>
        <n v="5.0039999999999996"/>
        <n v="1.47889"/>
        <n v="4.2294999999999998"/>
        <n v="0.53332999999999997"/>
        <n v="2.6349999999999998"/>
        <n v="0.625"/>
        <n v="9.1638099999999998"/>
        <n v="2.6850000000000001"/>
        <n v="1.496"/>
        <n v="6.5"/>
        <n v="30.188400000000001"/>
        <n v="21.250800000000002"/>
        <n v="2.3820000000000001"/>
        <n v="82.129499999999993"/>
        <n v="32.081000000000003"/>
        <n v="23.71725"/>
        <n v="25.419"/>
        <n v="18.879349999999999"/>
        <n v="12.14325"/>
        <n v="8.8187999999999995"/>
        <n v="12.2028"/>
        <n v="39.781999999999996"/>
        <n v="19.8185"/>
        <n v="55.468000000000004"/>
        <n v="16.438500000000001"/>
        <n v="32.533999999999999"/>
        <n v="20.7056"/>
        <n v="16.89545"/>
        <n v="11.5101"/>
        <n v="1.8327"/>
        <n v="4.5087999999999999"/>
        <n v="6.0388999999999999"/>
        <n v="1.3825000000000001"/>
        <n v="2.1447799999999999"/>
        <n v="11.5"/>
        <n v="1.8149999999999999"/>
        <n v="1.3811199999999999"/>
        <n v="1.6645000000000001"/>
        <n v="1.3025"/>
        <n v="2.4741"/>
        <n v="2.8355000000000001"/>
        <n v="15.771000000000001"/>
        <n v="7.7272999999999996"/>
        <n v="3.8904000000000001"/>
        <n v="18.2727"/>
        <n v="3.0831"/>
        <n v="3.0265"/>
        <n v="0.95699999999999996"/>
        <n v="6.8726000000000003"/>
        <n v="3.9451999999999998"/>
        <n v="54.081000000000003"/>
        <n v="23.792999999999999"/>
        <n v="23.5"/>
        <n v="16"/>
        <n v="41.686019999999999"/>
        <n v="18.979399999999998"/>
        <n v="61.518784799999999"/>
        <n v="3.01"/>
        <n v="8.9839699999999993"/>
        <n v="15.29339"/>
        <n v="10.89892"/>
        <n v="16.94089"/>
        <n v="14.7867"/>
        <n v="33.46237"/>
        <n v="10.075139999999999"/>
        <n v="2.5169000000000001"/>
        <n v="75.765000000000001"/>
        <n v="23.513000000000002"/>
        <n v="75.952500000000015"/>
        <n v="64.188000000000002"/>
        <n v="84.950999999999993"/>
        <n v="58.782499999999999"/>
        <n v="63.448"/>
        <n v="16.712"/>
        <n v="62.394500000000001"/>
        <n v="88.392499999999998"/>
        <n v="35.573999999999998"/>
        <n v="186.32441408400001"/>
        <n v="168.58660144599997"/>
        <n v="120.037481916"/>
        <n v="71.147999999999996"/>
        <n v="41.78"/>
        <n v="178.27"/>
        <n v="30.175249999999998"/>
        <n v="37.620800000000003"/>
        <n v="21.553750000000001"/>
        <n v="35.269500000000008"/>
        <n v="3.1"/>
        <n v="0.95499999999999996"/>
        <n v="0.84968640426999997"/>
        <n v="10.941700000000001"/>
        <n v="1.05975"/>
        <n v="1.6951799999999999"/>
        <n v="3.4"/>
        <n v="3.0402499999999999"/>
        <n v="15.956"/>
        <n v="11.995200000000001"/>
        <n v="25"/>
        <n v="35.600549999999998"/>
        <n v="16.158999999999999"/>
        <n v="15.184049999999999"/>
        <n v="5.3916000000000004"/>
        <n v="1.4367482624000001"/>
        <n v="2.7084000000000001"/>
        <n v="2.1600146063999999"/>
        <n v="9.0685599999999997"/>
        <n v="3.7652299999999999"/>
        <n v="7.84619"/>
        <n v="2.2227999999999999"/>
        <n v="8.2347699999999993"/>
        <n v="2.5881500000000002"/>
        <n v="26.716999999999999"/>
        <n v="26.388500000000001"/>
        <n v="1.1299999999999999"/>
        <n v="1.5242899999999999"/>
        <n v="1.6517500000000001"/>
        <n v="0.62472000000000005"/>
        <n v="0.71750999999999998"/>
        <n v="1.8509899999999999"/>
        <n v="1.6307400000000001"/>
        <n v="3.4493999999999998"/>
        <n v="12.45"/>
        <n v="1.0506"/>
        <n v="2.5499999999999998"/>
        <n v="33.141874999999999"/>
        <n v="10.286574999999999"/>
        <n v="10.469225"/>
        <n v="46.811"/>
        <n v="40"/>
        <n v="9.3222000000000005"/>
        <n v="30.050999999999998"/>
        <n v="50.048999999999999"/>
        <n v="39.733499999999992"/>
        <n v="26.091999999999999"/>
        <n v="16.1525"/>
        <n v="40.991"/>
        <n v="39.959000000000003"/>
        <n v="9.9897500000000008"/>
        <n v="6.2275999999999998"/>
        <n v="18.75"/>
        <n v="27.55125"/>
        <n v="17.25"/>
        <n v="19.36"/>
        <n v="24.228000000000002"/>
        <n v="18.770150000000001"/>
        <n v="13"/>
        <n v="28.11225"/>
        <n v="80.213999999999999"/>
        <n v="31.295999999999999"/>
        <n v="42.818750000000001"/>
        <n v="40.59225"/>
        <n v="30.288"/>
        <n v="12.05925"/>
        <n v="8.6095000000000006"/>
        <n v="3.2315999999999998" u="1"/>
        <n v="1.24" u="1"/>
        <n v="0.05" u="1"/>
        <n v="0.36" u="1"/>
        <n v="1.91784" u="1"/>
        <n v="7.5952500000000009" u="1"/>
        <n v="0.25881500000000002" u="1"/>
        <n v="1.0941700000000001" u="1"/>
        <n v="3.1295999999999999" u="1"/>
        <n v="0.13025" u="1"/>
        <n v="0.130773" u="1"/>
        <n v="2.755125" u="1"/>
        <n v="4.5400000000000003E-2" u="1"/>
        <n v="1.1093500000000001" u="1"/>
        <n v="0.42499999999999999" u="1"/>
        <n v="4.2818750000000003" u="1"/>
        <n v="16.858660144599998" u="1"/>
        <n v="8.294E-2" u="1"/>
        <n v="3.0051000000000001" u="1"/>
        <n v="0.43" u="1"/>
        <n v="0.42355199999999998" u="1"/>
        <n v="0.2382" u="1"/>
        <n v="1.22028" u="1"/>
        <n v="7.0000000000000007E-2" u="1"/>
        <n v="1.5670500000000001" u="1"/>
        <n v="2.4849999999999999" u="1"/>
        <n v="1.529339" u="1"/>
        <n v="0.88188" u="1"/>
        <n v="1.148525" u="1"/>
        <n v="0.13825000000000001" u="1"/>
        <n v="1.17855" u="1"/>
        <n v="3.3141875000000001" u="1"/>
        <n v="0.3" u="1"/>
        <n v="1.10625" u="1"/>
        <n v="2.7315499999999999" u="1"/>
        <n v="7.1750999999999995E-2" u="1"/>
        <n v="1.29752" u="1"/>
        <n v="0.16644999999999999" u="1"/>
        <n v="0.103354" u="1"/>
        <n v="3.0303" u="1"/>
        <n v="0.30499999999999999" u="1"/>
        <n v="0.30402499999999999" u="1"/>
        <n v="0.47805999999999998" u="1"/>
        <n v="0.18" u="1"/>
        <n v="1.26728" u="1"/>
        <n v="1.61145" u="1"/>
        <n v="1.6896599999999999" u="1"/>
        <n v="0.75" u="1"/>
        <n v="0.97275" u="1"/>
        <n v="3.128625" u="1"/>
        <n v="3.3462369999999999" u="1"/>
        <n v="0.48942000000000002" u="1"/>
        <n v="0.105" u="1"/>
        <n v="18.632441408400002" u="1"/>
        <n v="1.1995199999999999" u="1"/>
        <n v="1.2041999999999999" u="1"/>
        <n v="2.3717250000000001" u="1"/>
        <n v="0.19877800000000001" u="1"/>
        <n v="9.9206000000000003E-2" u="1"/>
        <n v="1.4838" u="1"/>
        <n v="1.4786699999999999" u="1"/>
        <n v="0.30830999999999997" u="1"/>
        <n v="3.3627099999999999" u="1"/>
        <n v="0.28355000000000002" u="1"/>
        <n v="2.11016" u="1"/>
        <n v="1.9215" u="1"/>
        <n v="0.15" u="1"/>
        <n v="9.5500000000000002E-2" u="1"/>
        <n v="0.22187999999999999" u="1"/>
        <n v="0.31" u="1"/>
        <n v="1.3311599999999999" u="1"/>
        <n v="2.7E-2" u="1"/>
        <n v="1.2059249999999999" u="1"/>
        <n v="2.16" u="1"/>
        <n v="1.679775" u="1"/>
        <n v="6.2394499999999997" u="1"/>
        <n v="0.39340000000000003" u="1"/>
        <n v="1.3" u="1"/>
        <n v="1.007514" u="1"/>
        <n v="2.2000000000000002" u="1"/>
        <n v="0.84016000000000002" u="1"/>
        <n v="0.113" u="1"/>
        <n v="2.1345350000000001" u="1"/>
        <n v="3.5600550000000002" u="1"/>
        <n v="0.57644799999999996" u="1"/>
        <n v="1.01905" u="1"/>
        <n v="4.3039750000000003" u="1"/>
        <n v="0.53349999999999997" u="1"/>
        <n v="2.7216999999999998" u="1"/>
        <n v="1.7250000000000001" u="1"/>
        <n v="3.7620800000000005" u="1"/>
        <n v="0.9" u="1"/>
        <n v="3.9733499999999995" u="1"/>
        <n v="0.77273000000000003" u="1"/>
        <n v="0.15242900000000001" u="1"/>
        <n v="12.0037481916" u="1"/>
        <n v="17.827000000000002" u="1"/>
        <n v="1.26335" u="1"/>
        <n v="0.26350000000000001" u="1"/>
        <n v="1.6152500000000001" u="1"/>
        <n v="0.25" u="1"/>
        <n v="0.78208" u="1"/>
        <n v="4.5999999999999996" u="1"/>
        <n v="0.77695000000000003" u="1"/>
        <n v="0.906856" u="1"/>
        <n v="0.26850000000000002" u="1"/>
        <n v="6.4188000000000001" u="1"/>
        <n v="0.255" u="1"/>
        <n v="0.105975" u="1"/>
        <n v="1.9918560000000001" u="1"/>
        <n v="0.25169000000000002" u="1"/>
        <n v="0.39773199999999997" u="1"/>
        <n v="0.68725999999999998" u="1"/>
        <n v="3.01884" u="1"/>
        <n v="0.50039999999999996" u="1"/>
        <n v="3.9602499999999998" u="1"/>
        <n v="0.65" u="1"/>
        <n v="1.1000000000000001" u="1"/>
        <n v="2.2400000000000002" u="1"/>
        <n v="2.7599499999999999" u="1"/>
        <n v="0.130772" u="1"/>
        <n v="3.1781250000000001" u="1"/>
        <n v="0.11119999999999999" u="1"/>
        <n v="1.0286574999999998" u="1"/>
        <n v="1.0955079999999999" u="1"/>
        <n v="0.163074" u="1"/>
        <n v="1.22143" u="1"/>
        <n v="1.6914499999999999" u="1"/>
        <n v="2.3793000000000002" u="1"/>
        <n v="0.29530499999999998" u="1"/>
        <n v="6.2472E-2" u="1"/>
        <n v="0.103355" u="1"/>
        <n v="0.16517499999999999" u="1"/>
        <n v="0.45" u="1"/>
        <n v="2.6388500000000001" u="1"/>
        <n v="0.8" u="1"/>
        <n v="0.67476499999999995" u="1"/>
        <n v="3.9958999999999998" u="1"/>
        <n v="2.725E-2" u="1"/>
        <n v="1.5719099999999999" u="1"/>
        <n v="0.16866800000000001" u="1"/>
        <n v="2.7015500000000001" u="1"/>
        <n v="8.4951000000000008" u="1"/>
        <n v="0.433" u="1"/>
        <n v="0.27084000000000003" u="1"/>
        <n v="0.82347700000000001" u="1"/>
        <n v="0.54" u="1"/>
        <n v="0.79500000000000004" u="1"/>
        <n v="0.30765199999999998" u="1"/>
        <n v="0.65367500000000001" u="1"/>
        <n v="1.2450000000000001" u="1"/>
        <n v="4.1686019999999999" u="1"/>
        <n v="1.9" u="1"/>
        <n v="2.6092" u="1"/>
        <n v="1.5955999999999999" u="1"/>
        <n v="0.53915999999999997" u="1"/>
        <n v="0.16" u="1"/>
        <n v="2.6831999999999998" u="1"/>
        <n v="5.4081000000000001" u="1"/>
        <n v="7.1999999999999995E-2" u="1"/>
        <n v="0.55000000000000004" u="1"/>
        <n v="2.1553749999999998" u="1"/>
        <n v="0.3926" u="1"/>
        <n v="0.67" u="1"/>
        <n v="9.9207000000000004E-2" u="1"/>
        <n v="1.33158" u="1"/>
        <n v="2.8112249999999999" u="1"/>
        <n v="0.41081699999999999" u="1"/>
        <n v="1.518405" u="1"/>
        <n v="2.4228000000000001" u="1"/>
        <n v="8.0213999999999999" u="1"/>
        <n v="0.23665" u="1"/>
        <n v="0.14788899999999999" u="1"/>
        <n v="7.8450000000000006E-2" u="1"/>
        <n v="4.1779999999999999" u="1"/>
        <n v="0.916381" u="1"/>
        <n v="0.254" u="1"/>
        <n v="0.45088" u="1"/>
        <n v="0.18149999999999999" u="1"/>
        <n v="1.4" u="1"/>
        <n v="1.9818499999999999" u="1"/>
        <n v="0.51014999999999999" u="1"/>
        <n v="2.3513000000000002" u="1"/>
        <n v="8.2129499999999993" u="1"/>
        <n v="2.1187499999999999" u="1"/>
        <n v="0.45866400000000002" u="1"/>
        <n v="0.10506" u="1"/>
        <n v="0.4" u="1"/>
        <n v="0.51842500000000002" u="1"/>
        <n v="3.0984600000000002" u="1"/>
        <n v="6.25E-2" u="1"/>
        <n v="0.9731820000000001" u="1"/>
        <n v="0.22187000000000001" u="1"/>
        <n v="0.78461899999999996" u="1"/>
        <n v="2.0884399999999999" u="1"/>
        <n v="1.1499999999999999" u="1"/>
        <n v="0.26826800000000001" u="1"/>
        <n v="0.376523" u="1"/>
        <n v="0.62275999999999998" u="1"/>
        <n v="0.14960000000000001" u="1"/>
        <n v="0.94" u="1"/>
        <n v="0.86094999999999999" u="1"/>
        <n v="0.98355000000000004" u="1"/>
        <n v="0.13250000000000001" u="1"/>
        <n v="1.64385" u="1"/>
        <n v="5.8782500000000004" u="1"/>
        <n v="0.21600146063999998" u="1"/>
        <n v="0.63687159000000004" u="1"/>
        <n v="1.89794" u="1"/>
        <n v="4.2058" u="1"/>
        <n v="0.24740999999999999" u="1"/>
        <n v="6.6500000000000004E-2" u="1"/>
        <n v="5.9669999999999996" u="1"/>
        <n v="0.222334" u="1"/>
        <n v="0.18326999999999999" u="1"/>
        <n v="0.34" u="1"/>
        <n v="0.389266" u="1"/>
        <n v="0.14367482624" u="1"/>
        <n v="0.30765100000000001" u="1"/>
        <n v="1.8272699999999999" u="1"/>
        <n v="2.3531399999999998" u="1"/>
        <n v="1.5687599999999999" u="1"/>
        <n v="0.2" u="1"/>
        <n v="0.61021700000000001" u="1"/>
        <n v="0.13811200000000001" u="1"/>
        <n v="1.56585" u="1"/>
        <n v="0.33879999999999999" u="1"/>
        <n v="2.5419" u="1"/>
        <n v="0.99897499999999995" u="1"/>
        <n v="0.93222000000000005" u="1"/>
        <n v="0.23" u="1"/>
        <n v="3.017525" u="1"/>
        <n v="1.8770150000000001" u="1"/>
        <n v="0.17571899999999999" u="1"/>
        <n v="2.1250800000000001" u="1"/>
        <n v="3.0287999999999999" u="1"/>
        <n v="0.30264999999999997" u="1"/>
        <n v="2.6717" u="1"/>
        <n v="4.0592249999999996" u="1"/>
        <n v="0.81299999999999994" u="1"/>
        <n v="2.07056" u="1"/>
        <n v="0.41173199999999999" u="1"/>
        <n v="0.15459999999999999" u="1"/>
        <n v="8.7999999999999995E-2" u="1"/>
        <n v="1.575" u="1"/>
        <n v="3.9782000000000002" u="1"/>
        <n v="2.1002999999999998" u="1"/>
        <n v="7.5765000000000002" u="1"/>
        <n v="8.8392499999999998" u="1"/>
        <n v="0.28000000000000003" u="1"/>
        <n v="1.694089" u="1"/>
        <n v="6.3448000000000002" u="1"/>
        <n v="2.9834999999999998" u="1"/>
        <n v="6.1518784799999997" u="1"/>
        <n v="3.0524399999999998" u="1"/>
        <n v="7.1147999999999998" u="1"/>
        <n v="1.1826000000000001" u="1"/>
        <n v="4.6810999999999998" u="1"/>
        <n v="0.39900000000000002" u="1"/>
        <n v="1.1168" u="1"/>
        <n v="0.39451999999999998" u="1"/>
        <n v="1.0087999999999999" u="1"/>
        <n v="1.9234" u="1"/>
        <n v="0.17" u="1"/>
        <n v="1.8879349999999997" u="1"/>
        <n v="0.48081000000000002" u="1"/>
        <n v="1.2" u="1"/>
        <n v="9.5699999999999993E-2" u="1"/>
        <n v="2.8232249999999999" u="1"/>
        <n v="0.18509900000000001" u="1"/>
        <n v="0.199069" u="1"/>
        <n v="0.35" u="1"/>
        <n v="3.5269500000000007" u="1"/>
        <n v="0.95714999999999995" u="1"/>
        <n v="0.1" u="1"/>
        <n v="5.3332999999999998E-2" u="1"/>
        <n v="0.10093100000000001" u="1"/>
        <n v="1.6257600000000001" u="1"/>
        <n v="8.4968640427000003E-2" u="1"/>
        <n v="0.83859300000000014" u="1"/>
        <n v="5.5468000000000002" u="1"/>
        <n v="0.16866700000000001" u="1"/>
        <n v="0.30099999999999999" u="1"/>
        <n v="4.0991" u="1"/>
        <n v="1.5841000000000001" u="1"/>
        <n v="0.34432000000000001" u="1"/>
        <n v="1.9359999999999999" u="1"/>
        <n v="1.1510100000000001" u="1"/>
        <n v="0.23499999999999999" u="1"/>
        <n v="0.42294999999999999" u="1"/>
        <n v="1.6712" u="1"/>
        <n v="1.6158999999999999" u="1"/>
        <n v="3.2534000000000001" u="1"/>
        <n v="0.898397" u="1"/>
        <n v="0.214478" u="1"/>
        <n v="0.252" u="1"/>
        <n v="0.60389000000000004" u="1"/>
        <n v="0.48" u="1"/>
        <n v="5.0049000000000001" u="1"/>
        <n v="1.74" u="1"/>
        <n v="0.38904" u="1"/>
        <n v="1.0898920000000001" u="1"/>
        <n v="0.93817499999999998" u="1"/>
        <n v="1.615" u="1"/>
        <n v="3.2081" u="1"/>
        <n v="3.5573999999999999" u="1"/>
        <n v="0.34494000000000002" u="1"/>
        <n v="0.169518" u="1"/>
        <n v="1.6895450000000001" u="1"/>
        <n v="0.22228000000000001" u="1"/>
        <n v="1.2143250000000001" u="1"/>
        <n v="1.5770999999999999" u="1"/>
        <n v="0.6" u="1"/>
        <n v="1.0469225" u="1"/>
        <n v="1.875" u="1"/>
        <n v="0.89920000000000011" u="1"/>
        <n v="0.17499999999999999" u="1"/>
      </sharedItems>
    </cacheField>
    <cacheField name="indice" numFmtId="0">
      <sharedItems/>
    </cacheField>
    <cacheField name="Percentual Multiplicador/Rentabilidade" numFmtId="0">
      <sharedItems containsMixedTypes="1" containsNumber="1" minValue="80" maxValue="146.5"/>
    </cacheField>
    <cacheField name="JurosCriterioNovo-Taxa" numFmtId="0">
      <sharedItems containsBlank="1" containsMixedTypes="1" containsNumber="1" minValue="0.45400000000000001" maxValue="12.25"/>
    </cacheField>
    <cacheField name="Spread DI+" numFmtId="10">
      <sharedItems containsSemiMixedTypes="0" containsString="0" containsNumber="1" minValue="-2.0816001846274228E-2" maxValue="8.0867187505597959E-2" count="382">
        <n v="1.1940699254376463E-2"/>
        <n v="1.8243284135623039E-2"/>
        <n v="0.03"/>
        <n v="2.3E-2"/>
        <n v="1.3999999999999999E-2"/>
        <n v="1.8000000000000002E-2"/>
        <n v="2.1499999999999998E-2"/>
        <n v="1.9E-2"/>
        <n v="1.192847043520584E-2"/>
        <n v="2.0530424709657602E-2"/>
        <n v="1.9581088218107286E-2"/>
        <n v="3.0695966659125551E-2"/>
        <n v="1.4098648233335002E-2"/>
        <n v="1.9763618005311328E-2"/>
        <n v="1.3334596901974803E-2"/>
        <n v="1.03E-2"/>
        <n v="1.301109180961219E-2"/>
        <n v="2.1109162423284023E-2"/>
        <n v="1.3728575122936541E-2"/>
        <n v="1.3730194668303969E-2"/>
        <n v="1.5428548827166107E-2"/>
        <n v="1.1812850252158391E-2"/>
        <n v="1.5132821505853046E-2"/>
        <n v="1.4667591244999861E-2"/>
        <n v="1.5236903832019529E-2"/>
        <n v="3.7302364716141012E-2"/>
        <n v="1.7299889270069091E-2"/>
        <n v="2.7650555444061808E-2"/>
        <n v="3.0171006128791644E-2"/>
        <n v="1.0154394942621438E-2"/>
        <n v="2.5918275031720832E-2"/>
        <n v="2.8999999999999998E-2"/>
        <n v="7.5441064164305741E-3"/>
        <n v="5.4000000000000006E-2"/>
        <n v="4.9623241768894877E-2"/>
        <n v="5.2837497010265371E-3"/>
        <n v="9.840006657273942E-3"/>
        <n v="3.0202927202235993E-2"/>
        <n v="4.0417528558939264E-2"/>
        <n v="6.765181369987272E-2"/>
        <n v="2.959836153967476E-2"/>
        <n v="2.343930710942525E-2"/>
        <n v="2.4482383374950623E-2"/>
        <n v="3.3341303280623673E-2"/>
        <n v="3.1475868118271078E-2"/>
        <n v="2.4094206287527543E-2"/>
        <n v="2.8500000000000001E-2"/>
        <n v="1.4999999999999999E-2"/>
        <n v="0.05"/>
        <n v="5.7849645880048151E-2"/>
        <n v="4.7873274823730716E-2"/>
        <n v="7.4999999999999997E-3"/>
        <n v="1.29E-2"/>
        <n v="4.0500000000000001E-2"/>
        <n v="3.7999999999999999E-2"/>
        <n v="1.95E-2"/>
        <n v="1.609587357932396E-2"/>
        <n v="1.8500000000000003E-2"/>
        <n v="3.5000000000000003E-2"/>
        <n v="3.1506175639021139E-2"/>
        <n v="4.015736044542062E-2"/>
        <n v="1.5655636247780658E-2"/>
        <n v="1.3981539578857394E-2"/>
        <n v="6.4483573642899472E-3"/>
        <n v="1.6699915905651563E-2"/>
        <n v="1.5244251038439627E-2"/>
        <n v="4.7333622949210508E-3"/>
        <n v="3.4199026263797672E-2"/>
        <n v="7.0491951816031628E-2"/>
        <n v="1.0791639435281386E-3"/>
        <n v="8.0000000000000002E-3"/>
        <n v="2.6438609515595513E-2"/>
        <n v="1.4499999999999999E-2"/>
        <n v="-3.8286906505957674E-4"/>
        <n v="2.11059573457959E-2"/>
        <n v="4.023753387741702E-2"/>
        <n v="3.0723252824105263E-3"/>
        <n v="4.1188055372809451E-4"/>
        <n v="1.9452624262604967E-2"/>
        <n v="3.9972371689434905E-2"/>
        <n v="1.8972618106170458E-2"/>
        <n v="6.8999999999999999E-3"/>
        <n v="8.1521380967564117E-3"/>
        <n v="1.087163456281659E-2"/>
        <n v="4.6923739593280958E-2"/>
        <n v="1.7500000000000002E-2"/>
        <n v="4.5399999999999998E-3"/>
        <n v="4.1325287443632064E-3"/>
        <n v="9.0000000000000011E-3"/>
        <n v="8.5000000000000006E-3"/>
        <n v="1.7000000000000001E-2"/>
        <n v="1.6E-2"/>
        <n v="4.6189209405952517E-2"/>
        <n v="8.8398325053484772E-3"/>
        <n v="1.4475248313748024E-2"/>
        <n v="9.5540485226726091E-3"/>
        <n v="2.6847053391805136E-2"/>
        <n v="5.5905388633823883E-2"/>
        <n v="4.5432526897638104E-2"/>
        <n v="1.55E-2"/>
        <n v="2.9739089651910078E-3"/>
        <n v="7.4582735496095606E-3"/>
        <n v="2.4006291517652606E-3"/>
        <n v="1.4076687668435506E-2"/>
        <n v="2.1536877034549897E-2"/>
        <n v="2.2258713158324065E-2"/>
        <n v="4.3576180954415858E-3"/>
        <n v="1.6500000000000001E-2"/>
        <n v="0.02"/>
        <n v="1.8582648043217409E-2"/>
        <n v="2.6499999999999999E-2"/>
        <n v="2.2628024356858401E-2"/>
        <n v="1.8362899748158856E-2"/>
        <n v="1.3518927037481143E-2"/>
        <n v="1.4865820908918748E-2"/>
        <n v="2.7610563309885761E-2"/>
        <n v="1.0185622550690443E-2"/>
        <n v="1.0354764919061399E-2"/>
        <n v="4.1526636118506266E-2"/>
        <n v="4.9964836445694827E-2"/>
        <n v="2.6064604795942081E-2"/>
        <n v="3.9238069640534556E-2"/>
        <n v="3.7734363683545658E-2"/>
        <n v="5.0095109176576447E-2"/>
        <n v="2.3966635794522739E-2"/>
        <n v="3.9182267411901339E-2"/>
        <n v="3.5658030132180718E-2"/>
        <n v="3.9936663477124101E-2"/>
        <n v="6.9999999999999993E-3"/>
        <n v="0.01"/>
        <n v="9.9580365641116497E-3"/>
        <n v="1.2E-2"/>
        <n v="1.2125318250302497E-2"/>
        <n v="2.033447348682027E-2"/>
        <n v="1.3480780535695791E-2"/>
        <n v="9.7562734682465901E-3"/>
        <n v="4.0206608393469345E-3"/>
        <n v="1.8651845037651275E-2"/>
        <n v="6.2185755510817398E-3"/>
        <n v="6.3056578334491187E-2"/>
        <n v="5.908266142141877E-3"/>
        <n v="4.5577590836291355E-3"/>
        <n v="6.433802739494357E-3"/>
        <n v="9.4556217395396214E-3"/>
        <n v="1.4423597626045614E-2"/>
        <n v="3.5467931354284499E-2"/>
        <n v="1.4190824862453599E-2"/>
        <n v="1.2443403559372346E-2"/>
        <n v="1.2190923266410802E-2"/>
        <n v="3.3896976234699429E-2"/>
        <n v="5.1819030804687721E-2"/>
        <n v="4.4999999999999998E-2"/>
        <n v="3.1322493570187238E-2"/>
        <n v="3.3622968399086073E-2"/>
        <n v="6.8343820082715778E-2"/>
        <n v="6.2383573989025498E-2"/>
        <n v="6.287704603173716E-2"/>
        <n v="4.9276563587330902E-2"/>
        <n v="6.965528671008081E-2"/>
        <n v="1.270252601352384E-2"/>
        <n v="1.2509766887391249E-2"/>
        <n v="3.1559344107938925E-2"/>
        <n v="2.3432653155916805E-2"/>
        <n v="1.4115161866876289E-2"/>
        <n v="1.0989691938876599E-2"/>
        <n v="1.3258711060067339E-2"/>
        <n v="1.2548325769659373E-2"/>
        <n v="1.2500000000000001E-2"/>
        <n v="1.41124262469337E-2"/>
        <n v="1.1553595392548743E-2"/>
        <n v="1.6247324630025539E-2"/>
        <n v="3.7499999999999999E-2"/>
        <n v="1.4164291090012484E-2"/>
        <n v="1.6306716609078009E-2"/>
        <n v="-1.2812260942345834E-3"/>
        <n v="9.4999999999999998E-3"/>
        <n v="3.0748646073593067E-2"/>
        <n v="1.3197724978515095E-2"/>
        <n v="4.0312141728838569E-2"/>
        <n v="2.0409370729472132E-2"/>
        <n v="1.6201249241704074E-2"/>
        <n v="7.9904938668893255E-3"/>
        <n v="1.1766151987582685E-2"/>
        <n v="4.6014971236980839E-2"/>
        <n v="2.7905437766002184E-2"/>
        <n v="0.04"/>
        <n v="4.0999999999999995E-2"/>
        <n v="1.142545649491189E-2"/>
        <n v="1.18E-2"/>
        <n v="2.6000000000000002E-2"/>
        <n v="2.8072431015108812E-2"/>
        <n v="1.5342850392917606E-2"/>
        <n v="2.5099999999999997E-2"/>
        <n v="3.9040698438589816E-2"/>
        <n v="2.8884797597171996E-2"/>
        <n v="4.2000000000000003E-2"/>
        <n v="2.2000000000000002E-2"/>
        <n v="3.6142913974750446E-2"/>
        <n v="1.3500000000000002E-2"/>
        <n v="8.4341361251929481E-3"/>
        <n v="2.349734366634082E-2"/>
        <n v="1.8529427683058642E-2"/>
        <n v="1.15E-2"/>
        <n v="3.2883220489348108E-3"/>
        <n v="3.0281665583921757E-2"/>
        <n v="3.0164443942955366E-2"/>
        <n v="3.465399115130971E-2"/>
        <n v="2.9883486935029069E-2"/>
        <n v="2.424881051711214E-2"/>
        <n v="3.3068475659474794E-2"/>
        <n v="2.6399463532976508E-2"/>
        <n v="3.2679352680916152E-2"/>
        <n v="3.7083175447063077E-2"/>
        <n v="3.8252856066533836E-2"/>
        <n v="6.9273082454898605E-2"/>
        <n v="7.405760536218442E-2"/>
        <n v="3.3568350216095499E-2"/>
        <n v="4.1031330001819244E-2"/>
        <n v="2.143565323755614E-2"/>
        <n v="1.9129053004034224E-2"/>
        <n v="1.7976200985041269E-2"/>
        <n v="2.5288359312976905E-2"/>
        <n v="4.1470649175676666E-2"/>
        <n v="1.8719447467970385E-2"/>
        <n v="7.8918372935750769E-2"/>
        <n v="3.7178928481767404E-2"/>
        <n v="8.0867187505597959E-2"/>
        <n v="1.9299999999999998E-2"/>
        <n v="3.7000000000000005E-2"/>
        <n v="2.0499999999999997E-2"/>
        <n v="2.75E-2"/>
        <n v="3.3301888425993686E-2"/>
        <n v="3.752599291835601E-2"/>
        <n v="2.5000000000000001E-2"/>
        <n v="3.2000000000000001E-2"/>
        <n v="2.7000000000000003E-2"/>
        <n v="2.9500000000000002E-2"/>
        <n v="1.5727705203647968E-2"/>
        <n v="3.4508060670419782E-2"/>
        <n v="3.2888592540073924E-2"/>
        <n v="8.4788981808620427E-3"/>
        <n v="9.5028440230666006E-3"/>
        <n v="7.4150203878619323E-3"/>
        <n v="8.8213961141190914E-3"/>
        <n v="9.2460075600163446E-3"/>
        <n v="1.1077013807165486E-2"/>
        <n v="1.081201627685595E-2"/>
        <n v="9.9579739307182093E-3"/>
        <n v="1.2010042098670064E-2"/>
        <n v="1.3189020710146215E-2"/>
        <n v="2.1758156496881842E-2"/>
        <n v="1.805013833392799E-2"/>
        <n v="9.3999999999999986E-3"/>
        <n v="1.2374478439314052E-2"/>
        <n v="-2.0816001846274228E-2"/>
        <n v="1.8277996246921946E-2"/>
        <n v="5.3772411338334658E-2"/>
        <n v="5.5261974590611537E-3"/>
        <n v="-1.1025469042358349E-3"/>
        <n v="-3.5346357219493418E-3"/>
        <n v="8.6028476264177201E-4"/>
        <n v="1.8373437826946226E-3"/>
        <n v="-4.1516193542532331E-3"/>
        <n v="9.6104995909662705E-4"/>
        <n v="6.6759137794922272E-3"/>
        <n v="5.7480659251790966E-3"/>
        <n v="3.2445691227251272E-2"/>
        <n v="3.544129370823601E-2"/>
        <n v="3.6100445862176533E-2"/>
        <n v="2.3777894020265089E-2"/>
        <n v="3.8369561739408864E-2"/>
        <n v="1.6374834684147466E-2"/>
        <n v="1.8023954684549093E-2"/>
        <n v="2.9568365235058458E-2"/>
        <n v="3.4371682858379105E-2"/>
        <n v="4.6185498059376995E-2"/>
        <n v="2.5517885094564541E-2"/>
        <n v="3.3065159368694585E-2"/>
        <n v="2.3698309243131543E-2"/>
        <n v="1.5981106764594299E-2"/>
        <n v="6.35581542044239E-3"/>
        <n v="8.5579889134503873E-3"/>
        <n v="2.1628928786174617E-2"/>
        <n v="4.1836218274165615E-2"/>
        <n v="-4.1753560869517425E-4"/>
        <n v="8.7451265491358399E-3"/>
        <n v="3.165859118178016E-3"/>
        <n v="-2.8946580467299476E-3"/>
        <n v="1.2773335320889867E-2"/>
        <n v="3.5820001863068891E-2"/>
        <n v="1.9018154910432673E-2"/>
        <n v="1.3205942263497262E-2"/>
        <n v="1.7105466406881067E-2"/>
        <n v="1.0180001104728262E-2"/>
        <n v="5.243613224615664E-2"/>
        <n v="2.2142673285790431E-2"/>
        <n v="9.0513681464847728E-3"/>
        <n v="8.8999999999999999E-3"/>
        <n v="3.5893393102754967E-3"/>
        <n v="2.1297387243117472E-2"/>
        <n v="7.2281627997561326E-3"/>
        <n v="2.8543755705650042E-3"/>
        <n v="3.5874829767077676E-2"/>
        <n v="9.0285496807668147E-3"/>
        <n v="2.1000000000000001E-2"/>
        <n v="1.0200000000000001E-2"/>
        <n v="6.2943663344020183E-3"/>
        <n v="2.4E-2"/>
        <n v="7.9000000000000008E-3"/>
        <n v="1.7567539926467424E-2"/>
        <n v="1.3810003622565459E-2"/>
        <n v="1.7587056110925259E-2"/>
        <n v="1.3000000000000001E-2"/>
        <n v="1.9193198348066431E-2"/>
        <n v="2.5499999999999998E-2"/>
        <n v="1.2331886793079949E-3"/>
        <n v="6.8613025290367169E-3"/>
        <n v="2.8576984540753747E-2"/>
        <n v="4.1822530079089759E-3"/>
        <n v="7.5067311753969079E-3"/>
        <n v="3.0341799518824875E-3"/>
        <n v="6.8807341954011392E-3"/>
        <n v="3.4909510387220566E-2"/>
        <n v="2.1179202871856706E-2"/>
        <n v="2.1962358542059985E-2"/>
        <n v="2.0465598430974351E-2"/>
        <n v="1.8882530055031443E-2"/>
        <n v="2.0154403245554658E-2"/>
        <n v="1.9798020773846181E-2"/>
        <n v="2.3068193821138241E-2"/>
        <n v="2.2765255468301326E-2"/>
        <n v="2.2092331408492878E-2"/>
        <n v="9.4818592281103488E-3"/>
        <n v="3.4315254502407466E-2"/>
        <n v="3.6943968404894223E-2"/>
        <n v="3.5294796357836722E-2"/>
        <n v="4.2921095395236586E-2"/>
        <n v="1.4775311220029147E-2"/>
        <n v="1.9761106845022744E-3"/>
        <n v="3.1304109926429291E-2"/>
        <n v="3.6085786666145925E-2"/>
        <n v="1.2449799526929706E-2"/>
        <n v="1.958697356956085E-2"/>
        <n v="7.7868652583821252E-3"/>
        <n v="6.5381578677621288E-3"/>
        <n v="1.3286814777627276E-2"/>
        <n v="1.7126975598439342E-2"/>
        <n v="4.2369839199843939E-2"/>
        <n v="1.6377653273914383E-2"/>
        <n v="3.5770224885680824E-2"/>
        <n v="3.4534885764128553E-2"/>
        <n v="2.2161454320951623E-2"/>
        <n v="8.52775741801645E-3"/>
        <n v="1.1199780455757058E-2"/>
        <n v="4.8186262296113719E-3"/>
        <n v="2.0824236100700722E-2"/>
        <n v="8.3817677559336889E-3"/>
        <n v="3.5403578924644963E-2"/>
        <n v="3.2106564280990568E-2"/>
        <n v="-1.1284162663882658E-4"/>
        <n v="7.5205878770552292E-3"/>
        <n v="2.4544996723085966E-4"/>
        <n v="7.6999024418418216E-3"/>
        <n v="1.5348639145729148E-3"/>
        <n v="2.1918542666863328E-3"/>
        <n v="1.803324538990414E-2"/>
        <n v="1.2194609831299053E-2"/>
        <n v="1.8286108583573712E-2"/>
        <n v="1.4181478949022441E-3"/>
        <n v="2.5937831332745409E-2"/>
        <n v="9.7810905659582829E-3"/>
        <n v="1.8736446205041373E-2"/>
        <n v="2.233316455374515E-2"/>
        <n v="8.7377622129751632E-3"/>
        <n v="1.7597398896003959E-2"/>
        <n v="1.09E-2"/>
        <n v="1.7820376526369006E-2"/>
        <n v="1.5707999980897322E-2"/>
        <n v="1.2301859665232232E-2"/>
        <n v="8.79967786004659E-3"/>
        <n v="3.0551174246535862E-2"/>
        <n v="3.7635157834776889E-2"/>
      </sharedItems>
    </cacheField>
    <cacheField name="Juros Criterio Novo - Prazo" numFmtId="0">
      <sharedItems containsSemiMixedTypes="0" containsString="0" containsNumber="1" containsInteger="1" minValue="252" maxValue="360"/>
    </cacheField>
    <cacheField name="Juros Criterio Novo - Criterio" numFmtId="0">
      <sharedItems/>
    </cacheField>
    <cacheField name="Deb. Incent. (Lei 12.431)" numFmtId="0">
      <sharedItems/>
    </cacheField>
    <cacheField name="βDebInc" numFmtId="0">
      <sharedItems containsSemiMixedTypes="0" containsString="0" containsNumber="1" containsInteger="1" minValue="0" maxValue="1" count="2">
        <n v="1"/>
        <n v="0"/>
      </sharedItems>
    </cacheField>
    <cacheField name="Resgate Antecipado" numFmtId="0">
      <sharedItems/>
    </cacheField>
    <cacheField name="βCall" numFmtId="0">
      <sharedItems containsSemiMixedTypes="0" containsString="0" containsNumber="1" containsInteger="1" minValue="0" maxValue="1" count="2">
        <n v="0"/>
        <n v="1"/>
      </sharedItems>
    </cacheField>
    <cacheField name="Corporate Rating na data da Emissão" numFmtId="0">
      <sharedItems count="15">
        <s v="BB"/>
        <s v="NR"/>
        <s v="BBB-"/>
        <s v="B-"/>
        <s v="CCC-"/>
        <s v="CCC+"/>
        <s v="BB+"/>
        <s v="BBB"/>
        <s v="B+"/>
        <s v="B"/>
        <s v="BBB+"/>
        <s v="BB-"/>
        <s v="CCC"/>
        <s v="C"/>
        <s v="D"/>
      </sharedItems>
    </cacheField>
    <cacheField name="βHighGrade" numFmtId="0">
      <sharedItems containsSemiMixedTypes="0" containsString="0" containsNumber="1" containsInteger="1" minValue="0" maxValue="1" count="2">
        <n v="0"/>
        <n v="1"/>
      </sharedItems>
    </cacheField>
    <cacheField name="RiscoPaís (%)" numFmtId="0">
      <sharedItems containsSemiMixedTypes="0" containsString="0" containsNumber="1" minValue="1.43" maxValue="4.8499999999999996" count="165">
        <n v="2.76"/>
        <n v="2.5499999999999998"/>
        <n v="1.57"/>
        <n v="2.19"/>
        <n v="2.95"/>
        <n v="2.14"/>
        <n v="3.11"/>
        <n v="2.92"/>
        <n v="3.34"/>
        <n v="2.48"/>
        <n v="3.33"/>
        <n v="2.1800000000000002"/>
        <n v="1.43"/>
        <n v="2.2400000000000002"/>
        <n v="2.0299999999999998"/>
        <n v="2.7"/>
        <n v="2.4300000000000002"/>
        <n v="2.54"/>
        <n v="4.2699999999999996"/>
        <n v="3.75"/>
        <n v="3.07"/>
        <n v="2.72"/>
        <n v="3.28"/>
        <n v="1.69"/>
        <n v="2.64"/>
        <n v="2.33"/>
        <n v="2.31"/>
        <n v="1.55"/>
        <n v="2.38"/>
        <n v="3.06"/>
        <n v="1.74"/>
        <n v="1.64"/>
        <n v="1.91"/>
        <n v="2.4500000000000002"/>
        <n v="2.12"/>
        <n v="3.18"/>
        <n v="3.27"/>
        <n v="2.99"/>
        <n v="3.43"/>
        <n v="2.68"/>
        <n v="2.66"/>
        <n v="2.42"/>
        <n v="4.7"/>
        <n v="3.92"/>
        <n v="2.86"/>
        <n v="3.32"/>
        <n v="1.63"/>
        <n v="2.0499999999999998"/>
        <n v="2.78"/>
        <n v="1.83"/>
        <n v="1.75"/>
        <n v="3.51"/>
        <n v="2.52"/>
        <n v="2.15"/>
        <n v="1.78"/>
        <n v="2.21"/>
        <n v="3.17"/>
        <n v="2.13"/>
        <n v="1.58"/>
        <n v="4.6500000000000004"/>
        <n v="2.44"/>
        <n v="2.67"/>
        <n v="2.29"/>
        <n v="2.8"/>
        <n v="3.25"/>
        <n v="2.63"/>
        <n v="2.36"/>
        <n v="3.39"/>
        <n v="2.0699999999999998"/>
        <n v="2.91"/>
        <n v="2.4700000000000002"/>
        <n v="1.65"/>
        <n v="1.62"/>
        <n v="2.35"/>
        <n v="3.8"/>
        <n v="2.27"/>
        <n v="2.4900000000000002"/>
        <n v="2.56"/>
        <n v="3.22"/>
        <n v="3.99"/>
        <n v="2.9"/>
        <n v="1.97"/>
        <n v="2.71"/>
        <n v="2.5"/>
        <n v="2.34"/>
        <n v="1.77"/>
        <n v="4.8499999999999996"/>
        <n v="3.46"/>
        <n v="2.39"/>
        <n v="2.59"/>
        <n v="3.24"/>
        <n v="2.2599999999999998"/>
        <n v="1.7"/>
        <n v="2.2000000000000002"/>
        <n v="4.45"/>
        <n v="3.14"/>
        <n v="1.76"/>
        <n v="1.81"/>
        <n v="3.2"/>
        <n v="1.79"/>
        <n v="2.2200000000000002"/>
        <n v="2.61"/>
        <n v="2.4"/>
        <n v="2.73"/>
        <n v="3.29"/>
        <n v="2.75"/>
        <n v="2.23"/>
        <n v="3.89"/>
        <n v="2.93"/>
        <n v="2.37"/>
        <n v="3.94"/>
        <n v="3.49"/>
        <n v="3.21"/>
        <n v="2.16"/>
        <n v="1.67"/>
        <n v="2.88"/>
        <n v="2.82"/>
        <n v="3.71"/>
        <n v="1.68"/>
        <n v="1.51"/>
        <n v="2.6"/>
        <n v="2.89"/>
        <n v="2.85"/>
        <n v="2.0099999999999998"/>
        <n v="4.5"/>
        <n v="4.22"/>
        <n v="3.66"/>
        <n v="3.3"/>
        <n v="2.74"/>
        <n v="3.1"/>
        <n v="3.44"/>
        <n v="2.57"/>
        <n v="2.87"/>
        <n v="2.77"/>
        <n v="1.89"/>
        <n v="2.69"/>
        <n v="2.5099999999999998"/>
        <n v="3.97"/>
        <n v="2.25"/>
        <n v="2.1"/>
        <n v="2.08"/>
        <n v="1.56"/>
        <n v="3.87"/>
        <n v="2.94"/>
        <n v="3.12"/>
        <n v="3.31"/>
        <n v="3.37"/>
        <n v="2.11"/>
        <n v="3.74"/>
        <n v="2.2799999999999998"/>
        <n v="1.73"/>
        <n v="2.41"/>
        <n v="3.82"/>
        <n v="3.36"/>
        <n v="2.83"/>
        <n v="3.09"/>
        <n v="2.3199999999999998"/>
        <n v="1.71"/>
        <n v="3.55"/>
        <n v="1.53"/>
        <n v="3.16"/>
        <n v="3.83"/>
        <n v="3.05"/>
        <n v="2.2999999999999998"/>
        <n v="1.96"/>
      </sharedItems>
    </cacheField>
    <cacheField name="Trimestres" numFmtId="0" databaseField="0">
      <fieldGroup base="9">
        <rangePr groupBy="quarters" startDate="2011-01-18T00:00:00" endDate="2021-12-16T00:00:00"/>
        <groupItems count="6">
          <s v="&lt;18/01/2011"/>
          <s v="Trim1"/>
          <s v="Trim2"/>
          <s v="Trim3"/>
          <s v="Trim4"/>
          <s v="&gt;16/12/2021"/>
        </groupItems>
      </fieldGroup>
    </cacheField>
    <cacheField name="Anos" numFmtId="0" databaseField="0">
      <fieldGroup base="9">
        <rangePr groupBy="years" startDate="2011-01-18T00:00:00" endDate="2021-12-16T00:00:00"/>
        <groupItems count="13">
          <s v="&lt;18/01/2011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&gt;16/12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3">
  <r>
    <n v="0"/>
    <s v="Adecoagro4415046371"/>
    <n v="1"/>
    <s v="ADECOAGRO VALE DO IVINHEMA S.A."/>
    <s v="Adecoagro"/>
    <x v="0"/>
    <n v="0"/>
    <s v="ADAG11    "/>
    <n v="1"/>
    <x v="0"/>
    <d v="2026-12-15T00:00:00"/>
    <x v="0"/>
    <n v="1"/>
    <x v="0"/>
    <x v="0"/>
    <n v="400000"/>
    <n v="1000"/>
    <s v=""/>
    <n v="400000000"/>
    <x v="0"/>
    <s v="IPCA"/>
    <s v="-"/>
    <n v="4.24"/>
    <x v="0"/>
    <n v="252"/>
    <s v="Útil"/>
    <s v="S"/>
    <x v="0"/>
    <s v="N"/>
    <x v="0"/>
    <x v="0"/>
    <x v="0"/>
    <x v="0"/>
  </r>
  <r>
    <n v="1"/>
    <s v="Adecoagro4299921/09/2027"/>
    <n v="1"/>
    <s v="Adecoagro SA"/>
    <s v="Adecoagro"/>
    <x v="1"/>
    <n v="1"/>
    <m/>
    <n v="2"/>
    <x v="1"/>
    <s v="21/09/2027"/>
    <x v="1"/>
    <n v="1"/>
    <x v="1"/>
    <x v="0"/>
    <m/>
    <m/>
    <n v="3.1341000000000001"/>
    <n v="500000000"/>
    <x v="1"/>
    <s v="USD"/>
    <s v="-"/>
    <n v="6"/>
    <x v="1"/>
    <n v="360"/>
    <s v="Corrido"/>
    <s v="N"/>
    <x v="1"/>
    <s v="S"/>
    <x v="1"/>
    <x v="0"/>
    <x v="0"/>
    <x v="1"/>
  </r>
  <r>
    <n v="0"/>
    <s v="Aegea4121241572"/>
    <n v="2"/>
    <s v="AEGEA SANEAMENTO E PARTICIPACOES S/A"/>
    <s v="Aegea"/>
    <x v="0"/>
    <n v="0"/>
    <s v="AEGA11    "/>
    <n v="1"/>
    <x v="2"/>
    <d v="2013-10-25T00:00:00"/>
    <x v="2"/>
    <n v="0"/>
    <x v="0"/>
    <x v="0"/>
    <n v="300"/>
    <n v="500000"/>
    <s v=""/>
    <n v="150000000"/>
    <x v="2"/>
    <s v="DI"/>
    <n v="100"/>
    <n v="3"/>
    <x v="2"/>
    <n v="252"/>
    <s v="Útil"/>
    <s v="N"/>
    <x v="1"/>
    <s v="S"/>
    <x v="1"/>
    <x v="1"/>
    <x v="0"/>
    <x v="2"/>
  </r>
  <r>
    <n v="0"/>
    <s v="Aegea4157242119"/>
    <n v="2"/>
    <s v="AEGEA SANEAMENTO E PARTICIPACOES S/A"/>
    <s v="Aegea"/>
    <x v="0"/>
    <n v="0"/>
    <s v="AEGA12    "/>
    <n v="2"/>
    <x v="3"/>
    <d v="2015-04-25T00:00:00"/>
    <x v="3"/>
    <n v="0"/>
    <x v="0"/>
    <x v="0"/>
    <n v="150000"/>
    <n v="1000"/>
    <s v=""/>
    <n v="150000000"/>
    <x v="2"/>
    <s v="DI"/>
    <n v="100"/>
    <n v="2.2999999999999998"/>
    <x v="3"/>
    <n v="252"/>
    <s v="Útil"/>
    <s v="N"/>
    <x v="1"/>
    <s v="S"/>
    <x v="1"/>
    <x v="1"/>
    <x v="0"/>
    <x v="3"/>
  </r>
  <r>
    <n v="0"/>
    <s v="Aegea4329645122"/>
    <n v="2"/>
    <s v="AEGEA SANEAMENTO E PARTICIPACOES S/A"/>
    <s v="Aegea"/>
    <x v="0"/>
    <n v="0"/>
    <s v="AEGP13    "/>
    <n v="3"/>
    <x v="4"/>
    <d v="2023-07-15T00:00:00"/>
    <x v="4"/>
    <n v="1"/>
    <x v="2"/>
    <x v="1"/>
    <n v="53350"/>
    <n v="10000"/>
    <s v=""/>
    <n v="533500000"/>
    <x v="3"/>
    <s v="DI"/>
    <n v="100"/>
    <n v="1.4"/>
    <x v="4"/>
    <n v="252"/>
    <s v="Útil"/>
    <s v="N"/>
    <x v="1"/>
    <s v="S"/>
    <x v="1"/>
    <x v="0"/>
    <x v="0"/>
    <x v="4"/>
  </r>
  <r>
    <n v="0"/>
    <s v="Aegea4386645693"/>
    <n v="2"/>
    <s v="AEGEA SANEAMENTO E PARTICIPACOES S/A"/>
    <s v="Aegea"/>
    <x v="0"/>
    <n v="0"/>
    <s v="AEGP14    "/>
    <n v="4"/>
    <x v="5"/>
    <d v="2025-02-05T00:00:00"/>
    <x v="5"/>
    <n v="1"/>
    <x v="2"/>
    <x v="1"/>
    <n v="305000"/>
    <n v="1000"/>
    <s v=""/>
    <n v="305000000"/>
    <x v="4"/>
    <s v="DI"/>
    <n v="100"/>
    <n v="1.8"/>
    <x v="5"/>
    <n v="252"/>
    <s v="Útil"/>
    <s v="N"/>
    <x v="1"/>
    <s v="S"/>
    <x v="1"/>
    <x v="0"/>
    <x v="0"/>
    <x v="5"/>
  </r>
  <r>
    <n v="0"/>
    <s v="Aegea4408545180"/>
    <n v="2"/>
    <s v="AEGEA SANEAMENTO E PARTICIPACOES S/A"/>
    <s v="Aegea"/>
    <x v="0"/>
    <n v="0"/>
    <s v="AEGP15    "/>
    <n v="5"/>
    <x v="6"/>
    <d v="2023-09-11T00:00:00"/>
    <x v="6"/>
    <n v="0"/>
    <x v="2"/>
    <x v="1"/>
    <n v="300000"/>
    <n v="1000"/>
    <s v=""/>
    <n v="300000000"/>
    <x v="5"/>
    <s v="DI"/>
    <n v="100"/>
    <n v="3"/>
    <x v="2"/>
    <n v="252"/>
    <s v="Útil"/>
    <s v="N"/>
    <x v="1"/>
    <s v="S"/>
    <x v="1"/>
    <x v="0"/>
    <x v="0"/>
    <x v="6"/>
  </r>
  <r>
    <n v="0"/>
    <s v="Aegea4429846489"/>
    <n v="2"/>
    <s v="AEGEA SANEAMENTO E PARTICIPACOES S/A"/>
    <s v="Aegea"/>
    <x v="0"/>
    <n v="0"/>
    <s v="AEGP17    "/>
    <n v="6"/>
    <x v="7"/>
    <d v="2027-04-12T00:00:00"/>
    <x v="7"/>
    <n v="1"/>
    <x v="2"/>
    <x v="1"/>
    <n v="400000"/>
    <n v="1000"/>
    <s v=""/>
    <n v="400000000"/>
    <x v="0"/>
    <s v="DI"/>
    <n v="100"/>
    <n v="2.15"/>
    <x v="6"/>
    <n v="252"/>
    <s v="Útil"/>
    <s v="N"/>
    <x v="1"/>
    <s v="S"/>
    <x v="1"/>
    <x v="0"/>
    <x v="0"/>
    <x v="7"/>
  </r>
  <r>
    <n v="0"/>
    <s v="Aegea4447347030"/>
    <n v="2"/>
    <s v="AEGEA SANEAMENTO E PARTICIPACOES S/A"/>
    <s v="Aegea"/>
    <x v="0"/>
    <n v="0"/>
    <s v="AEGP19    "/>
    <n v="7"/>
    <x v="8"/>
    <d v="2028-10-04T00:00:00"/>
    <x v="8"/>
    <n v="1"/>
    <x v="2"/>
    <x v="1"/>
    <n v="800000"/>
    <n v="1000"/>
    <s v=""/>
    <n v="800000000"/>
    <x v="6"/>
    <s v="DI"/>
    <n v="100"/>
    <n v="1.9"/>
    <x v="7"/>
    <n v="252"/>
    <s v="Útil"/>
    <s v="N"/>
    <x v="1"/>
    <s v="S"/>
    <x v="1"/>
    <x v="0"/>
    <x v="0"/>
    <x v="8"/>
  </r>
  <r>
    <n v="0"/>
    <s v="Aegea4329645853"/>
    <n v="2"/>
    <s v="AEGEA SANEAMENTO E PARTICIPACOES S/A"/>
    <s v="Aegea"/>
    <x v="0"/>
    <n v="0"/>
    <s v="AEGP23    "/>
    <n v="8"/>
    <x v="4"/>
    <d v="2025-07-15T00:00:00"/>
    <x v="8"/>
    <n v="1"/>
    <x v="2"/>
    <x v="1"/>
    <n v="6650"/>
    <n v="10000"/>
    <s v=""/>
    <n v="66500000"/>
    <x v="7"/>
    <s v="IPCA"/>
    <s v="-"/>
    <n v="7.0824999999999996"/>
    <x v="8"/>
    <n v="252"/>
    <s v="Útil"/>
    <s v="N"/>
    <x v="1"/>
    <s v="S"/>
    <x v="1"/>
    <x v="0"/>
    <x v="0"/>
    <x v="4"/>
  </r>
  <r>
    <n v="2"/>
    <s v="Aegea4301810/10/2024"/>
    <n v="2"/>
    <s v="Aegea Finance Sarl"/>
    <s v="Aegea"/>
    <x v="1"/>
    <n v="1"/>
    <m/>
    <n v="9"/>
    <x v="9"/>
    <s v="10/10/2024"/>
    <x v="8"/>
    <n v="1"/>
    <x v="1"/>
    <x v="0"/>
    <m/>
    <m/>
    <n v="3.1682000000000001"/>
    <n v="400000000"/>
    <x v="8"/>
    <s v="USD"/>
    <s v="-"/>
    <n v="5.75"/>
    <x v="9"/>
    <n v="360"/>
    <s v="Corrido"/>
    <s v="N"/>
    <x v="1"/>
    <s v="S"/>
    <x v="1"/>
    <x v="0"/>
    <x v="0"/>
    <x v="9"/>
  </r>
  <r>
    <n v="0"/>
    <s v="Americanas4107342899"/>
    <n v="3"/>
    <s v="AMERICANAS S/A"/>
    <s v="Americanas"/>
    <x v="0"/>
    <n v="0"/>
    <s v="BTOW13    "/>
    <n v="1"/>
    <x v="10"/>
    <d v="2017-06-13T00:00:00"/>
    <x v="4"/>
    <n v="1"/>
    <x v="2"/>
    <x v="1"/>
    <n v="30000"/>
    <n v="10000"/>
    <s v=""/>
    <n v="300000000"/>
    <x v="5"/>
    <s v="DI"/>
    <n v="120"/>
    <m/>
    <x v="10"/>
    <n v="252"/>
    <s v="Útil"/>
    <s v="N"/>
    <x v="1"/>
    <s v="S"/>
    <x v="1"/>
    <x v="1"/>
    <x v="0"/>
    <x v="5"/>
  </r>
  <r>
    <n v="0"/>
    <s v="Americanas4415047832"/>
    <n v="3"/>
    <s v="AMERICANAS S/A"/>
    <s v="Americanas"/>
    <x v="0"/>
    <n v="0"/>
    <s v="BTOW15    "/>
    <n v="2"/>
    <x v="0"/>
    <d v="2030-12-15T00:00:00"/>
    <x v="9"/>
    <n v="1"/>
    <x v="2"/>
    <x v="1"/>
    <n v="3100000"/>
    <n v="1000"/>
    <s v=""/>
    <n v="3100000000"/>
    <x v="9"/>
    <s v="IPCA"/>
    <s v="-"/>
    <n v="6.9569999999999999"/>
    <x v="11"/>
    <n v="252"/>
    <s v="Útil"/>
    <s v="S"/>
    <x v="0"/>
    <s v="N"/>
    <x v="0"/>
    <x v="0"/>
    <x v="0"/>
    <x v="0"/>
  </r>
  <r>
    <n v="0"/>
    <s v="Americanas4269543790"/>
    <n v="3"/>
    <s v="AMERICANAS S/A"/>
    <s v="Americanas"/>
    <x v="0"/>
    <n v="0"/>
    <s v="LAME10    "/>
    <n v="3"/>
    <x v="11"/>
    <d v="2019-11-21T00:00:00"/>
    <x v="6"/>
    <n v="0"/>
    <x v="2"/>
    <x v="1"/>
    <n v="30000"/>
    <n v="10000"/>
    <s v=""/>
    <n v="300000000"/>
    <x v="5"/>
    <s v="DI"/>
    <n v="112"/>
    <m/>
    <x v="12"/>
    <n v="252"/>
    <s v="Útil"/>
    <s v="N"/>
    <x v="1"/>
    <s v="S"/>
    <x v="1"/>
    <x v="1"/>
    <x v="0"/>
    <x v="10"/>
  </r>
  <r>
    <n v="0"/>
    <s v="Americanas4079145468"/>
    <n v="3"/>
    <s v="AMERICANAS S/A"/>
    <s v="Americanas"/>
    <x v="0"/>
    <n v="0"/>
    <s v="LAME14    "/>
    <n v="4"/>
    <x v="12"/>
    <d v="2024-06-25T00:00:00"/>
    <x v="10"/>
    <n v="1"/>
    <x v="3"/>
    <x v="0"/>
    <n v="50000"/>
    <n v="10000"/>
    <s v=""/>
    <n v="500000000"/>
    <x v="10"/>
    <s v="DI"/>
    <n v="117.5"/>
    <m/>
    <x v="13"/>
    <n v="252"/>
    <s v="Útil"/>
    <s v="N"/>
    <x v="1"/>
    <s v="S"/>
    <x v="1"/>
    <x v="1"/>
    <x v="0"/>
    <x v="5"/>
  </r>
  <r>
    <n v="0"/>
    <s v="Americanas4093443126"/>
    <n v="3"/>
    <s v="AMERICANAS S/A"/>
    <s v="Americanas"/>
    <x v="0"/>
    <n v="0"/>
    <s v="LAME16    "/>
    <n v="5"/>
    <x v="13"/>
    <d v="2018-01-26T00:00:00"/>
    <x v="11"/>
    <n v="1"/>
    <x v="2"/>
    <x v="1"/>
    <n v="30000"/>
    <n v="10000"/>
    <s v=""/>
    <n v="300000000"/>
    <x v="5"/>
    <s v="DI"/>
    <n v="112"/>
    <m/>
    <x v="14"/>
    <n v="252"/>
    <s v="Útil"/>
    <s v="N"/>
    <x v="1"/>
    <s v="S"/>
    <x v="1"/>
    <x v="1"/>
    <x v="0"/>
    <x v="11"/>
  </r>
  <r>
    <n v="0"/>
    <s v="Americanas4126443090"/>
    <n v="3"/>
    <s v="AMERICANAS S/A"/>
    <s v="Americanas"/>
    <x v="0"/>
    <n v="0"/>
    <s v="LAME17    "/>
    <n v="6"/>
    <x v="14"/>
    <d v="2017-12-21T00:00:00"/>
    <x v="4"/>
    <n v="1"/>
    <x v="2"/>
    <x v="1"/>
    <n v="30000"/>
    <n v="10000"/>
    <s v=""/>
    <n v="300000000"/>
    <x v="5"/>
    <s v="DI"/>
    <n v="100"/>
    <n v="1.03"/>
    <x v="15"/>
    <n v="252"/>
    <s v="Útil"/>
    <s v="N"/>
    <x v="1"/>
    <s v="S"/>
    <x v="1"/>
    <x v="1"/>
    <x v="0"/>
    <x v="12"/>
  </r>
  <r>
    <n v="0"/>
    <s v="Americanas4147043296"/>
    <n v="3"/>
    <s v="AMERICANAS S/A"/>
    <s v="Americanas"/>
    <x v="0"/>
    <n v="0"/>
    <s v="LAME18    "/>
    <n v="7"/>
    <x v="15"/>
    <d v="2018-07-15T00:00:00"/>
    <x v="4"/>
    <n v="1"/>
    <x v="2"/>
    <x v="1"/>
    <n v="15460"/>
    <n v="10000"/>
    <s v=""/>
    <n v="154600000"/>
    <x v="11"/>
    <s v="DI"/>
    <n v="112"/>
    <m/>
    <x v="16"/>
    <n v="252"/>
    <s v="Útil"/>
    <s v="N"/>
    <x v="1"/>
    <s v="S"/>
    <x v="1"/>
    <x v="1"/>
    <x v="0"/>
    <x v="13"/>
  </r>
  <r>
    <n v="0"/>
    <s v="Americanas4181545468"/>
    <n v="3"/>
    <s v="AMERICANAS S/A"/>
    <s v="Americanas"/>
    <x v="0"/>
    <n v="0"/>
    <s v="LAME19    "/>
    <n v="8"/>
    <x v="16"/>
    <d v="2024-06-25T00:00:00"/>
    <x v="12"/>
    <n v="1"/>
    <x v="2"/>
    <x v="1"/>
    <n v="70000"/>
    <n v="10000"/>
    <s v=""/>
    <n v="700000000"/>
    <x v="12"/>
    <s v="DI"/>
    <n v="117.5"/>
    <m/>
    <x v="17"/>
    <n v="252"/>
    <s v="Útil"/>
    <s v="N"/>
    <x v="1"/>
    <s v="S"/>
    <x v="1"/>
    <x v="1"/>
    <x v="0"/>
    <x v="14"/>
  </r>
  <r>
    <n v="0"/>
    <s v="Americanas4093443126"/>
    <n v="3"/>
    <s v="AMERICANAS S/A"/>
    <s v="Americanas"/>
    <x v="0"/>
    <n v="0"/>
    <s v="LAME26    "/>
    <n v="9"/>
    <x v="13"/>
    <d v="2018-01-26T00:00:00"/>
    <x v="11"/>
    <n v="1"/>
    <x v="2"/>
    <x v="1"/>
    <n v="20000"/>
    <n v="10000"/>
    <s v=""/>
    <n v="200000000"/>
    <x v="13"/>
    <s v="DI"/>
    <n v="112"/>
    <m/>
    <x v="14"/>
    <n v="252"/>
    <s v="Útil"/>
    <s v="N"/>
    <x v="1"/>
    <s v="S"/>
    <x v="1"/>
    <x v="1"/>
    <x v="0"/>
    <x v="11"/>
  </r>
  <r>
    <n v="0"/>
    <s v="Americanas4126444916"/>
    <n v="3"/>
    <s v="AMERICANAS S/A"/>
    <s v="Americanas"/>
    <x v="0"/>
    <n v="0"/>
    <s v="LAME27    "/>
    <n v="10"/>
    <x v="14"/>
    <d v="2022-12-21T00:00:00"/>
    <x v="1"/>
    <n v="1"/>
    <x v="2"/>
    <x v="1"/>
    <n v="35000"/>
    <n v="10000"/>
    <s v=""/>
    <n v="350000000"/>
    <x v="14"/>
    <s v="DI"/>
    <n v="114.5"/>
    <m/>
    <x v="18"/>
    <n v="252"/>
    <s v="Útil"/>
    <s v="N"/>
    <x v="1"/>
    <s v="S"/>
    <x v="1"/>
    <x v="1"/>
    <x v="0"/>
    <x v="12"/>
  </r>
  <r>
    <n v="0"/>
    <s v="Americanas4147043661"/>
    <n v="3"/>
    <s v="AMERICANAS S/A"/>
    <s v="Americanas"/>
    <x v="0"/>
    <n v="0"/>
    <s v="LAME28    "/>
    <n v="11"/>
    <x v="15"/>
    <d v="2019-07-15T00:00:00"/>
    <x v="7"/>
    <n v="1"/>
    <x v="2"/>
    <x v="1"/>
    <n v="4540"/>
    <n v="10000"/>
    <s v=""/>
    <n v="45400000"/>
    <x v="15"/>
    <s v="DI"/>
    <n v="112.55"/>
    <m/>
    <x v="19"/>
    <n v="252"/>
    <s v="Útil"/>
    <s v="N"/>
    <x v="1"/>
    <s v="S"/>
    <x v="1"/>
    <x v="1"/>
    <x v="0"/>
    <x v="13"/>
  </r>
  <r>
    <n v="0"/>
    <s v="Americanas4181544372"/>
    <n v="3"/>
    <s v="AMERICANAS S/A"/>
    <s v="Americanas"/>
    <x v="0"/>
    <n v="0"/>
    <s v="LAME29    "/>
    <n v="12"/>
    <x v="16"/>
    <d v="2021-06-25T00:00:00"/>
    <x v="8"/>
    <n v="1"/>
    <x v="2"/>
    <x v="1"/>
    <n v="25000"/>
    <n v="10000"/>
    <s v=""/>
    <n v="250000000"/>
    <x v="16"/>
    <s v="DI"/>
    <n v="113"/>
    <m/>
    <x v="20"/>
    <n v="252"/>
    <s v="Útil"/>
    <s v="N"/>
    <x v="1"/>
    <s v="S"/>
    <x v="1"/>
    <x v="1"/>
    <x v="0"/>
    <x v="14"/>
  </r>
  <r>
    <n v="0"/>
    <s v="Americanas4147044392"/>
    <n v="3"/>
    <s v="AMERICANAS S/A"/>
    <s v="Americanas"/>
    <x v="0"/>
    <n v="0"/>
    <s v="LAME38    "/>
    <n v="13"/>
    <x v="15"/>
    <d v="2021-07-15T00:00:00"/>
    <x v="13"/>
    <n v="1"/>
    <x v="2"/>
    <x v="1"/>
    <n v="20000"/>
    <n v="10000"/>
    <s v=""/>
    <n v="200000000"/>
    <x v="13"/>
    <s v="IPCA"/>
    <s v="-"/>
    <n v="6.39"/>
    <x v="21"/>
    <n v="252"/>
    <s v="Útil"/>
    <s v="N"/>
    <x v="1"/>
    <s v="S"/>
    <x v="1"/>
    <x v="1"/>
    <x v="0"/>
    <x v="13"/>
  </r>
  <r>
    <n v="0"/>
    <s v="Americanas4284044666"/>
    <n v="3"/>
    <s v="AMERICANAS S/A"/>
    <s v="Americanas"/>
    <x v="0"/>
    <n v="0"/>
    <s v="LAMEA1    "/>
    <n v="14"/>
    <x v="17"/>
    <d v="2022-04-15T00:00:00"/>
    <x v="4"/>
    <n v="1"/>
    <x v="2"/>
    <x v="1"/>
    <n v="126335"/>
    <n v="10000"/>
    <s v=""/>
    <n v="1263350000"/>
    <x v="17"/>
    <s v="DI"/>
    <n v="115"/>
    <m/>
    <x v="22"/>
    <n v="252"/>
    <s v="Útil"/>
    <s v="N"/>
    <x v="1"/>
    <s v="S"/>
    <x v="1"/>
    <x v="1"/>
    <x v="0"/>
    <x v="15"/>
  </r>
  <r>
    <n v="0"/>
    <s v="Americanas4321045036"/>
    <n v="3"/>
    <s v="AMERICANAS S/A"/>
    <s v="Americanas"/>
    <x v="0"/>
    <n v="0"/>
    <s v="LAMEA2    "/>
    <n v="15"/>
    <x v="18"/>
    <d v="2023-04-20T00:00:00"/>
    <x v="4"/>
    <n v="1"/>
    <x v="2"/>
    <x v="1"/>
    <n v="100000"/>
    <n v="10000"/>
    <s v=""/>
    <n v="1000000000"/>
    <x v="18"/>
    <s v="DI"/>
    <n v="116"/>
    <m/>
    <x v="23"/>
    <n v="252"/>
    <s v="Útil"/>
    <s v="N"/>
    <x v="1"/>
    <s v="S"/>
    <x v="1"/>
    <x v="1"/>
    <x v="0"/>
    <x v="16"/>
  </r>
  <r>
    <n v="0"/>
    <s v="Americanas4347546032"/>
    <n v="3"/>
    <s v="AMERICANAS S/A"/>
    <s v="Americanas"/>
    <x v="0"/>
    <n v="0"/>
    <s v="LAMEA3    "/>
    <n v="16"/>
    <x v="19"/>
    <d v="2026-01-10T00:00:00"/>
    <x v="8"/>
    <n v="1"/>
    <x v="2"/>
    <x v="1"/>
    <n v="100000"/>
    <n v="10000"/>
    <s v=""/>
    <n v="1000000000"/>
    <x v="18"/>
    <s v="DI"/>
    <n v="116.7"/>
    <m/>
    <x v="24"/>
    <n v="252"/>
    <s v="Útil"/>
    <s v="N"/>
    <x v="1"/>
    <s v="S"/>
    <x v="1"/>
    <x v="1"/>
    <x v="0"/>
    <x v="17"/>
  </r>
  <r>
    <n v="0"/>
    <s v="Americanas4396945064"/>
    <n v="3"/>
    <s v="AMERICANAS S/A"/>
    <s v="Americanas"/>
    <x v="0"/>
    <n v="0"/>
    <s v="LAMEA4    "/>
    <n v="17"/>
    <x v="20"/>
    <d v="2023-05-18T00:00:00"/>
    <x v="6"/>
    <n v="0"/>
    <x v="2"/>
    <x v="1"/>
    <n v="50000"/>
    <n v="10000"/>
    <s v=""/>
    <n v="500000000"/>
    <x v="10"/>
    <s v="DI"/>
    <n v="100"/>
    <n v="3"/>
    <x v="2"/>
    <n v="252"/>
    <s v="Útil"/>
    <s v="N"/>
    <x v="1"/>
    <s v="N"/>
    <x v="0"/>
    <x v="0"/>
    <x v="0"/>
    <x v="18"/>
  </r>
  <r>
    <n v="0"/>
    <s v="Americanas4398445079"/>
    <n v="3"/>
    <s v="AMERICANAS S/A"/>
    <s v="Americanas"/>
    <x v="0"/>
    <n v="0"/>
    <s v="LAMEA5    "/>
    <n v="18"/>
    <x v="21"/>
    <d v="2023-06-02T00:00:00"/>
    <x v="6"/>
    <n v="0"/>
    <x v="2"/>
    <x v="1"/>
    <n v="50000"/>
    <n v="10000"/>
    <s v=""/>
    <n v="500000000"/>
    <x v="10"/>
    <s v="DI"/>
    <n v="100"/>
    <n v="3"/>
    <x v="2"/>
    <n v="252"/>
    <s v="Útil"/>
    <s v="N"/>
    <x v="1"/>
    <s v="N"/>
    <x v="0"/>
    <x v="0"/>
    <x v="0"/>
    <x v="19"/>
  </r>
  <r>
    <n v="0"/>
    <s v="Americanas4408947771"/>
    <n v="3"/>
    <s v="AMERICANAS S/A"/>
    <s v="Americanas"/>
    <x v="0"/>
    <n v="0"/>
    <s v="LAMEA6    "/>
    <n v="19"/>
    <x v="22"/>
    <d v="2030-10-15T00:00:00"/>
    <x v="9"/>
    <n v="1"/>
    <x v="2"/>
    <x v="1"/>
    <n v="3100000"/>
    <n v="1000"/>
    <s v=""/>
    <n v="3100000000"/>
    <x v="9"/>
    <s v="IPCA"/>
    <s v="-"/>
    <n v="7.4"/>
    <x v="25"/>
    <n v="252"/>
    <s v="Útil"/>
    <s v="S"/>
    <x v="0"/>
    <s v="N"/>
    <x v="0"/>
    <x v="0"/>
    <x v="0"/>
    <x v="20"/>
  </r>
  <r>
    <n v="0"/>
    <s v="Americanas4284045397"/>
    <n v="3"/>
    <s v="AMERICANAS S/A"/>
    <s v="Americanas"/>
    <x v="0"/>
    <n v="0"/>
    <s v="LAMEB1    "/>
    <n v="20"/>
    <x v="17"/>
    <d v="2024-04-15T00:00:00"/>
    <x v="8"/>
    <n v="1"/>
    <x v="2"/>
    <x v="1"/>
    <n v="23665"/>
    <n v="10000"/>
    <s v=""/>
    <n v="236650000"/>
    <x v="19"/>
    <s v="IPCA"/>
    <s v="-"/>
    <n v="7.0972"/>
    <x v="26"/>
    <n v="252"/>
    <s v="Útil"/>
    <s v="N"/>
    <x v="1"/>
    <s v="S"/>
    <x v="1"/>
    <x v="1"/>
    <x v="0"/>
    <x v="15"/>
  </r>
  <r>
    <n v="3"/>
    <s v="Americanas4415920/12/2030"/>
    <n v="3"/>
    <s v="B2W Digital Lux Sarl"/>
    <s v="Americanas"/>
    <x v="1"/>
    <n v="1"/>
    <m/>
    <n v="21"/>
    <x v="23"/>
    <s v="20/12/2030"/>
    <x v="14"/>
    <n v="1"/>
    <x v="1"/>
    <x v="0"/>
    <m/>
    <m/>
    <n v="5.4031000000000002"/>
    <n v="500000000"/>
    <x v="20"/>
    <s v="USD"/>
    <s v="-"/>
    <n v="4.375"/>
    <x v="27"/>
    <n v="360"/>
    <s v="Corrido"/>
    <s v="N"/>
    <x v="1"/>
    <s v="S"/>
    <x v="1"/>
    <x v="0"/>
    <x v="0"/>
    <x v="21"/>
  </r>
  <r>
    <n v="4"/>
    <s v="Americanas4411020/10/2030"/>
    <n v="3"/>
    <s v="JSM Global Sarl"/>
    <s v="Americanas"/>
    <x v="1"/>
    <n v="1"/>
    <m/>
    <n v="22"/>
    <x v="24"/>
    <s v="20/10/2030"/>
    <x v="15"/>
    <n v="1"/>
    <x v="1"/>
    <x v="0"/>
    <m/>
    <m/>
    <n v="5.5198999999999998"/>
    <n v="500000000"/>
    <x v="21"/>
    <s v="USD"/>
    <s v="-"/>
    <n v="4.75"/>
    <x v="28"/>
    <n v="360"/>
    <s v="Corrido"/>
    <s v="N"/>
    <x v="1"/>
    <s v="S"/>
    <x v="1"/>
    <x v="0"/>
    <x v="0"/>
    <x v="22"/>
  </r>
  <r>
    <n v="0"/>
    <s v="Andrade Gutierrez4139643953"/>
    <n v="4"/>
    <s v="ANDRADE GUTIERREZ PARTICIPACOES S.A."/>
    <s v="Andrade Gutierrez"/>
    <x v="0"/>
    <n v="0"/>
    <s v="ANDG11    "/>
    <n v="1"/>
    <x v="25"/>
    <d v="2020-05-02T00:00:00"/>
    <x v="8"/>
    <n v="1"/>
    <x v="2"/>
    <x v="1"/>
    <n v="25400"/>
    <n v="10000"/>
    <s v=""/>
    <n v="254000000"/>
    <x v="22"/>
    <s v="DI"/>
    <n v="111"/>
    <m/>
    <x v="29"/>
    <n v="252"/>
    <s v="Útil"/>
    <s v="N"/>
    <x v="1"/>
    <s v="S"/>
    <x v="1"/>
    <x v="2"/>
    <x v="1"/>
    <x v="23"/>
  </r>
  <r>
    <n v="0"/>
    <s v="Andrade Gutierrez4295044046"/>
    <n v="4"/>
    <s v="ANDRADE GUTIERREZ PARTICIPACOES S.A."/>
    <s v="Andrade Gutierrez"/>
    <x v="0"/>
    <n v="0"/>
    <s v="ANDG12    "/>
    <n v="2"/>
    <x v="26"/>
    <d v="2020-08-03T00:00:00"/>
    <x v="16"/>
    <n v="0"/>
    <x v="2"/>
    <x v="1"/>
    <n v="88000"/>
    <n v="1000"/>
    <s v=""/>
    <n v="88000000"/>
    <x v="23"/>
    <s v="DI"/>
    <n v="129"/>
    <m/>
    <x v="30"/>
    <n v="252"/>
    <s v="Útil"/>
    <s v="N"/>
    <x v="1"/>
    <s v="S"/>
    <x v="1"/>
    <x v="3"/>
    <x v="0"/>
    <x v="24"/>
  </r>
  <r>
    <n v="0"/>
    <s v="Andrade Gutierrez4107542901"/>
    <n v="4"/>
    <s v="ANDRADE GUTIERREZ PARTICIPACOES S.A."/>
    <s v="Andrade Gutierrez"/>
    <x v="0"/>
    <n v="0"/>
    <s v="CANT12    "/>
    <n v="3"/>
    <x v="27"/>
    <d v="2017-06-15T00:00:00"/>
    <x v="4"/>
    <n v="1"/>
    <x v="2"/>
    <x v="1"/>
    <n v="8294"/>
    <n v="10000"/>
    <s v=""/>
    <n v="82940000"/>
    <x v="24"/>
    <s v="DI"/>
    <n v="100"/>
    <n v="2.9"/>
    <x v="31"/>
    <n v="252"/>
    <s v="Útil"/>
    <s v="N"/>
    <x v="1"/>
    <s v="S"/>
    <x v="1"/>
    <x v="2"/>
    <x v="1"/>
    <x v="14"/>
  </r>
  <r>
    <n v="0"/>
    <s v="Andrade Gutierrez4159342019"/>
    <n v="4"/>
    <s v="ANDRADE GUTIERREZ PARTICIPACOES S.A."/>
    <s v="Andrade Gutierrez"/>
    <x v="0"/>
    <n v="0"/>
    <s v="CANT13    "/>
    <n v="4"/>
    <x v="28"/>
    <d v="2015-01-15T00:00:00"/>
    <x v="17"/>
    <n v="0"/>
    <x v="2"/>
    <x v="1"/>
    <n v="18000"/>
    <n v="10000"/>
    <s v=""/>
    <n v="180000000"/>
    <x v="25"/>
    <s v="DI"/>
    <n v="107"/>
    <m/>
    <x v="32"/>
    <n v="252"/>
    <s v="Útil"/>
    <s v="N"/>
    <x v="1"/>
    <s v="S"/>
    <x v="1"/>
    <x v="2"/>
    <x v="1"/>
    <x v="25"/>
  </r>
  <r>
    <n v="0"/>
    <s v="Andrade Gutierrez4380846000"/>
    <n v="4"/>
    <s v="ANDRADE GUTIERREZ PARTICIPACOES S.A."/>
    <s v="Andrade Gutierrez"/>
    <x v="0"/>
    <n v="0"/>
    <s v="CANT15    "/>
    <n v="5"/>
    <x v="29"/>
    <d v="2025-12-09T00:00:00"/>
    <x v="11"/>
    <n v="1"/>
    <x v="0"/>
    <x v="0"/>
    <n v="550000"/>
    <n v="1000"/>
    <s v=""/>
    <n v="550000000"/>
    <x v="26"/>
    <s v="DI"/>
    <n v="100"/>
    <n v="5.4"/>
    <x v="33"/>
    <n v="252"/>
    <s v="Útil"/>
    <s v="N"/>
    <x v="1"/>
    <s v="S"/>
    <x v="1"/>
    <x v="4"/>
    <x v="0"/>
    <x v="26"/>
  </r>
  <r>
    <n v="0"/>
    <s v="Andrade Gutierrez4107543631"/>
    <n v="4"/>
    <s v="ANDRADE GUTIERREZ PARTICIPACOES S.A."/>
    <s v="Andrade Gutierrez"/>
    <x v="0"/>
    <n v="0"/>
    <s v="CANT22    "/>
    <n v="6"/>
    <x v="27"/>
    <d v="2019-06-15T00:00:00"/>
    <x v="18"/>
    <n v="1"/>
    <x v="2"/>
    <x v="1"/>
    <n v="7845"/>
    <n v="10000"/>
    <s v=""/>
    <n v="78450000"/>
    <x v="27"/>
    <s v="DI"/>
    <n v="100"/>
    <n v="3"/>
    <x v="2"/>
    <n v="252"/>
    <s v="Útil"/>
    <s v="N"/>
    <x v="1"/>
    <s v="S"/>
    <x v="1"/>
    <x v="2"/>
    <x v="1"/>
    <x v="14"/>
  </r>
  <r>
    <n v="0"/>
    <s v="Andrade Gutierrez4107544727"/>
    <n v="4"/>
    <s v="ANDRADE GUTIERREZ PARTICIPACOES S.A."/>
    <s v="Andrade Gutierrez"/>
    <x v="0"/>
    <n v="0"/>
    <s v="CANT32    "/>
    <n v="7"/>
    <x v="27"/>
    <d v="2022-06-15T00:00:00"/>
    <x v="1"/>
    <n v="1"/>
    <x v="2"/>
    <x v="1"/>
    <n v="47806"/>
    <n v="10000"/>
    <s v=""/>
    <n v="478060000"/>
    <x v="28"/>
    <s v="IPCA"/>
    <s v="-"/>
    <n v="9.8000000000000007"/>
    <x v="34"/>
    <n v="252"/>
    <s v="Útil"/>
    <s v="N"/>
    <x v="1"/>
    <s v="S"/>
    <x v="1"/>
    <x v="2"/>
    <x v="1"/>
    <x v="14"/>
  </r>
  <r>
    <n v="0"/>
    <s v="Andrade Gutierrez4125341983"/>
    <n v="4"/>
    <s v="ANDRADE GUTIERREZ S/A"/>
    <s v="Andrade Gutierrez"/>
    <x v="0"/>
    <n v="0"/>
    <s v="AGUT12    "/>
    <n v="8"/>
    <x v="30"/>
    <d v="2014-12-10T00:00:00"/>
    <x v="19"/>
    <n v="0"/>
    <x v="2"/>
    <x v="1"/>
    <n v="400000"/>
    <n v="1000"/>
    <s v=""/>
    <n v="400000000"/>
    <x v="0"/>
    <s v="DI"/>
    <n v="107"/>
    <m/>
    <x v="35"/>
    <n v="252"/>
    <s v="Útil"/>
    <s v="N"/>
    <x v="1"/>
    <s v="S"/>
    <x v="1"/>
    <x v="2"/>
    <x v="1"/>
    <x v="27"/>
  </r>
  <r>
    <n v="0"/>
    <s v="Andrade Gutierrez4162542355"/>
    <n v="4"/>
    <s v="ANDRADE GUTIERREZ S/A"/>
    <s v="Andrade Gutierrez"/>
    <x v="0"/>
    <n v="0"/>
    <s v="AGUT13    "/>
    <n v="9"/>
    <x v="31"/>
    <d v="2015-12-17T00:00:00"/>
    <x v="19"/>
    <n v="0"/>
    <x v="2"/>
    <x v="1"/>
    <n v="43000"/>
    <n v="10000"/>
    <s v=""/>
    <n v="430000000"/>
    <x v="29"/>
    <s v="DI"/>
    <n v="108.6"/>
    <m/>
    <x v="36"/>
    <n v="252"/>
    <s v="Útil"/>
    <s v="N"/>
    <x v="1"/>
    <s v="S"/>
    <x v="1"/>
    <x v="2"/>
    <x v="1"/>
    <x v="28"/>
  </r>
  <r>
    <n v="0"/>
    <s v="Andrade Gutierrez4196243058"/>
    <n v="4"/>
    <s v="ANDRADE GUTIERREZ S/A"/>
    <s v="Andrade Gutierrez"/>
    <x v="0"/>
    <n v="0"/>
    <s v="AGUT14    "/>
    <n v="10"/>
    <x v="32"/>
    <d v="2017-11-19T00:00:00"/>
    <x v="16"/>
    <n v="0"/>
    <x v="2"/>
    <x v="1"/>
    <n v="600000"/>
    <n v="1000"/>
    <s v=""/>
    <n v="600000000"/>
    <x v="30"/>
    <s v="DI"/>
    <n v="124"/>
    <m/>
    <x v="37"/>
    <n v="252"/>
    <s v="Útil"/>
    <s v="N"/>
    <x v="1"/>
    <s v="S"/>
    <x v="1"/>
    <x v="2"/>
    <x v="1"/>
    <x v="1"/>
  </r>
  <r>
    <n v="0"/>
    <s v="Andrade Gutierrez4332745884"/>
    <n v="4"/>
    <s v="ANDRADE GUTIERREZ S/A"/>
    <s v="Andrade Gutierrez"/>
    <x v="0"/>
    <n v="0"/>
    <s v="AGUT15    "/>
    <n v="11"/>
    <x v="33"/>
    <d v="2025-08-15T00:00:00"/>
    <x v="8"/>
    <n v="1"/>
    <x v="2"/>
    <x v="1"/>
    <n v="252000"/>
    <n v="1000"/>
    <s v=""/>
    <n v="252000000"/>
    <x v="31"/>
    <s v="DI"/>
    <n v="135"/>
    <s v=""/>
    <x v="38"/>
    <n v="252"/>
    <s v="Útil"/>
    <s v="N"/>
    <x v="1"/>
    <s v="S"/>
    <x v="1"/>
    <x v="4"/>
    <x v="0"/>
    <x v="29"/>
  </r>
  <r>
    <n v="5"/>
    <s v="Andrade Gutierrez4380830/12/2024"/>
    <n v="4"/>
    <s v="Andrade Gutierrez International SA"/>
    <s v="Andrade Gutierrez"/>
    <x v="1"/>
    <n v="1"/>
    <m/>
    <n v="12"/>
    <x v="29"/>
    <s v="30/12/2024"/>
    <x v="20"/>
    <n v="1"/>
    <x v="4"/>
    <x v="0"/>
    <m/>
    <m/>
    <n v="4.1497000000000002"/>
    <n v="480000000"/>
    <x v="32"/>
    <s v="USD"/>
    <s v="-"/>
    <n v="9.5"/>
    <x v="39"/>
    <n v="360"/>
    <s v="Corrido"/>
    <s v="N"/>
    <x v="1"/>
    <s v="S"/>
    <x v="1"/>
    <x v="4"/>
    <x v="0"/>
    <x v="26"/>
  </r>
  <r>
    <n v="0"/>
    <s v="Azul Linhas Aéreas4070941805"/>
    <n v="5"/>
    <s v="AZUL LINHAS AEREAS BRASILEIRAS S.A."/>
    <s v="Azul Linhas Aéreas"/>
    <x v="0"/>
    <n v="0"/>
    <s v="AZLA11    "/>
    <n v="1"/>
    <x v="34"/>
    <d v="2014-06-15T00:00:00"/>
    <x v="16"/>
    <n v="0"/>
    <x v="2"/>
    <x v="1"/>
    <n v="300"/>
    <n v="1000000"/>
    <s v=""/>
    <n v="300000000"/>
    <x v="5"/>
    <s v="DI"/>
    <n v="124"/>
    <m/>
    <x v="40"/>
    <n v="252"/>
    <s v="Útil"/>
    <s v="N"/>
    <x v="1"/>
    <s v="S"/>
    <x v="1"/>
    <x v="1"/>
    <x v="0"/>
    <x v="30"/>
  </r>
  <r>
    <n v="0"/>
    <s v="Azul Linhas Aéreas4117742272"/>
    <n v="5"/>
    <s v="AZUL LINHAS AEREAS BRASILEIRAS S.A."/>
    <s v="Azul Linhas Aéreas"/>
    <x v="0"/>
    <n v="0"/>
    <s v="AZLA12    "/>
    <n v="2"/>
    <x v="35"/>
    <d v="2015-09-25T00:00:00"/>
    <x v="6"/>
    <n v="0"/>
    <x v="2"/>
    <x v="1"/>
    <n v="100"/>
    <n v="1000000"/>
    <s v=""/>
    <n v="100000000"/>
    <x v="33"/>
    <s v="DI"/>
    <n v="127"/>
    <m/>
    <x v="41"/>
    <n v="252"/>
    <s v="Útil"/>
    <s v="N"/>
    <x v="1"/>
    <s v="S"/>
    <x v="1"/>
    <x v="1"/>
    <x v="0"/>
    <x v="31"/>
  </r>
  <r>
    <n v="0"/>
    <s v="Azul Linhas Aéreas4142142396"/>
    <n v="5"/>
    <s v="AZUL LINHAS AEREAS BRASILEIRAS S.A."/>
    <s v="Azul Linhas Aéreas"/>
    <x v="0"/>
    <n v="0"/>
    <s v="AZLA13    "/>
    <n v="3"/>
    <x v="36"/>
    <d v="2016-01-27T00:00:00"/>
    <x v="21"/>
    <n v="0"/>
    <x v="2"/>
    <x v="1"/>
    <n v="30000"/>
    <n v="10000"/>
    <s v=""/>
    <n v="300000000"/>
    <x v="5"/>
    <s v="DI"/>
    <n v="127"/>
    <m/>
    <x v="42"/>
    <n v="252"/>
    <s v="Útil"/>
    <s v="N"/>
    <x v="1"/>
    <s v="S"/>
    <x v="1"/>
    <x v="1"/>
    <x v="0"/>
    <x v="32"/>
  </r>
  <r>
    <n v="0"/>
    <s v="Azul Linhas Aéreas4169842914"/>
    <n v="5"/>
    <s v="AZUL LINHAS AEREAS BRASILEIRAS S.A."/>
    <s v="Azul Linhas Aéreas"/>
    <x v="0"/>
    <n v="0"/>
    <s v="AZLA14    "/>
    <n v="4"/>
    <x v="37"/>
    <d v="2017-06-28T00:00:00"/>
    <x v="22"/>
    <n v="0"/>
    <x v="0"/>
    <x v="0"/>
    <n v="105"/>
    <n v="1000000"/>
    <s v=""/>
    <n v="105000000"/>
    <x v="34"/>
    <s v="DI"/>
    <n v="127"/>
    <m/>
    <x v="43"/>
    <n v="252"/>
    <s v="Útil"/>
    <s v="N"/>
    <x v="1"/>
    <s v="S"/>
    <x v="1"/>
    <x v="1"/>
    <x v="0"/>
    <x v="33"/>
  </r>
  <r>
    <n v="0"/>
    <s v="Azul Linhas Aéreas4190143727"/>
    <n v="5"/>
    <s v="AZUL LINHAS AEREAS BRASILEIRAS S.A."/>
    <s v="Azul Linhas Aéreas"/>
    <x v="0"/>
    <n v="0"/>
    <s v="AZLA15    "/>
    <n v="5"/>
    <x v="38"/>
    <d v="2019-09-19T00:00:00"/>
    <x v="4"/>
    <n v="1"/>
    <x v="2"/>
    <x v="1"/>
    <n v="100000"/>
    <n v="10000"/>
    <s v=""/>
    <n v="1000000000"/>
    <x v="18"/>
    <s v="DI"/>
    <n v="127"/>
    <m/>
    <x v="44"/>
    <n v="252"/>
    <s v="Útil"/>
    <s v="N"/>
    <x v="1"/>
    <s v="N"/>
    <x v="0"/>
    <x v="1"/>
    <x v="0"/>
    <x v="34"/>
  </r>
  <r>
    <n v="0"/>
    <s v="Azul Linhas Aéreas4209342916"/>
    <n v="5"/>
    <s v="AZUL LINHAS AEREAS BRASILEIRAS S.A."/>
    <s v="Azul Linhas Aéreas"/>
    <x v="0"/>
    <n v="0"/>
    <s v="AZLA16    "/>
    <n v="6"/>
    <x v="39"/>
    <d v="2017-06-30T00:00:00"/>
    <x v="23"/>
    <n v="0"/>
    <x v="2"/>
    <x v="1"/>
    <n v="20000"/>
    <n v="10000"/>
    <s v=""/>
    <n v="200000000"/>
    <x v="13"/>
    <s v="DI"/>
    <n v="118"/>
    <m/>
    <x v="45"/>
    <n v="252"/>
    <s v="Útil"/>
    <s v="N"/>
    <x v="1"/>
    <s v="S"/>
    <x v="1"/>
    <x v="1"/>
    <x v="0"/>
    <x v="35"/>
  </r>
  <r>
    <n v="0"/>
    <s v="Azul Linhas Aéreas4272343818"/>
    <n v="5"/>
    <s v="AZUL LINHAS AEREAS BRASILEIRAS S.A."/>
    <s v="Azul Linhas Aéreas"/>
    <x v="0"/>
    <n v="0"/>
    <s v="AZLA17    "/>
    <n v="7"/>
    <x v="40"/>
    <d v="2019-12-19T00:00:00"/>
    <x v="6"/>
    <n v="0"/>
    <x v="2"/>
    <x v="1"/>
    <n v="15000"/>
    <n v="10000"/>
    <s v=""/>
    <n v="150000000"/>
    <x v="2"/>
    <s v="DI"/>
    <n v="100"/>
    <n v="2.85"/>
    <x v="46"/>
    <n v="252"/>
    <s v="Útil"/>
    <s v="N"/>
    <x v="1"/>
    <s v="S"/>
    <x v="1"/>
    <x v="1"/>
    <x v="0"/>
    <x v="36"/>
  </r>
  <r>
    <n v="0"/>
    <s v="Azul Linhas Aéreas4290643468"/>
    <n v="5"/>
    <s v="AZUL LINHAS AEREAS BRASILEIRAS S.A."/>
    <s v="Azul Linhas Aéreas"/>
    <x v="0"/>
    <n v="0"/>
    <s v="AZLA18    "/>
    <n v="8"/>
    <x v="41"/>
    <d v="2019-01-03T00:00:00"/>
    <x v="24"/>
    <n v="0"/>
    <x v="2"/>
    <x v="1"/>
    <n v="20000"/>
    <n v="10000"/>
    <s v=""/>
    <n v="200000000"/>
    <x v="13"/>
    <s v="DI"/>
    <n v="100"/>
    <n v="1.5"/>
    <x v="47"/>
    <n v="252"/>
    <s v="Útil"/>
    <s v="N"/>
    <x v="1"/>
    <s v="S"/>
    <x v="1"/>
    <x v="1"/>
    <x v="0"/>
    <x v="37"/>
  </r>
  <r>
    <n v="0"/>
    <s v="Azul Linhas Aéreas4326946741"/>
    <n v="5"/>
    <s v="AZUL LINHAS AEREAS BRASILEIRAS S.A."/>
    <s v="Azul Linhas Aéreas"/>
    <x v="0"/>
    <n v="0"/>
    <s v="AZLA19    "/>
    <n v="9"/>
    <x v="42"/>
    <d v="2027-12-20T00:00:00"/>
    <x v="25"/>
    <n v="1"/>
    <x v="2"/>
    <x v="1"/>
    <n v="50000"/>
    <n v="10000"/>
    <s v=""/>
    <n v="500000000"/>
    <x v="10"/>
    <s v="DI"/>
    <n v="100"/>
    <n v="5"/>
    <x v="48"/>
    <n v="252"/>
    <s v="Útil"/>
    <s v="N"/>
    <x v="1"/>
    <s v="S"/>
    <x v="1"/>
    <x v="1"/>
    <x v="0"/>
    <x v="38"/>
  </r>
  <r>
    <n v="0"/>
    <s v="Azul Linhas Aéreas4345446741"/>
    <n v="5"/>
    <s v="AZUL LINHAS AEREAS BRASILEIRAS S.A."/>
    <s v="Azul Linhas Aéreas"/>
    <x v="0"/>
    <n v="0"/>
    <s v="AZLAA0    "/>
    <n v="10"/>
    <x v="43"/>
    <d v="2027-12-20T00:00:00"/>
    <x v="26"/>
    <n v="1"/>
    <x v="2"/>
    <x v="1"/>
    <n v="20000"/>
    <n v="10000"/>
    <s v=""/>
    <n v="200000000"/>
    <x v="13"/>
    <s v="DI"/>
    <n v="100"/>
    <n v="5"/>
    <x v="48"/>
    <n v="252"/>
    <s v="Útil"/>
    <s v="N"/>
    <x v="1"/>
    <s v="S"/>
    <x v="1"/>
    <x v="1"/>
    <x v="0"/>
    <x v="39"/>
  </r>
  <r>
    <n v="6"/>
    <s v="Azul Linhas Aéreas4436215/06/2026"/>
    <n v="5"/>
    <s v="Azul Investments LLP"/>
    <s v="Azul Linhas Aéreas"/>
    <x v="1"/>
    <n v="1"/>
    <m/>
    <n v="11"/>
    <x v="44"/>
    <s v="15/06/2026"/>
    <x v="4"/>
    <n v="1"/>
    <x v="1"/>
    <x v="0"/>
    <m/>
    <m/>
    <n v="5.0873999999999997"/>
    <n v="600000000"/>
    <x v="35"/>
    <s v="USD"/>
    <s v="-"/>
    <n v="7.25"/>
    <x v="49"/>
    <n v="360"/>
    <s v="Corrido"/>
    <s v="N"/>
    <x v="1"/>
    <s v="S"/>
    <x v="1"/>
    <x v="5"/>
    <x v="0"/>
    <x v="40"/>
  </r>
  <r>
    <n v="7"/>
    <s v="Azul Linhas Aéreas4303426/10/2024"/>
    <n v="5"/>
    <s v="Azul Investments LLP"/>
    <s v="Azul Linhas Aéreas"/>
    <x v="1"/>
    <n v="1"/>
    <m/>
    <n v="12"/>
    <x v="45"/>
    <s v="26/10/2024"/>
    <x v="8"/>
    <n v="1"/>
    <x v="1"/>
    <x v="0"/>
    <m/>
    <m/>
    <n v="3.2437999999999998"/>
    <n v="400000000"/>
    <x v="36"/>
    <s v="USD"/>
    <s v="-"/>
    <n v="5.875"/>
    <x v="50"/>
    <n v="360"/>
    <s v="Corrido"/>
    <s v="N"/>
    <x v="1"/>
    <s v="S"/>
    <x v="1"/>
    <x v="1"/>
    <x v="0"/>
    <x v="41"/>
  </r>
  <r>
    <n v="0"/>
    <s v="Braskem4361943985"/>
    <n v="6"/>
    <s v="BRK AMBIENTAL PARTICIPACOES S/A"/>
    <s v="Braskem"/>
    <x v="0"/>
    <n v="0"/>
    <s v="BRKP14    "/>
    <n v="1"/>
    <x v="46"/>
    <d v="2020-06-03T00:00:00"/>
    <x v="27"/>
    <n v="0"/>
    <x v="2"/>
    <x v="1"/>
    <n v="45000"/>
    <n v="10000"/>
    <s v=""/>
    <n v="450000000"/>
    <x v="37"/>
    <s v="DI"/>
    <n v="100"/>
    <n v="0.75"/>
    <x v="51"/>
    <n v="252"/>
    <s v="Útil"/>
    <s v="N"/>
    <x v="1"/>
    <s v="S"/>
    <x v="1"/>
    <x v="2"/>
    <x v="1"/>
    <x v="0"/>
  </r>
  <r>
    <n v="0"/>
    <s v="Braskem4381444362"/>
    <n v="6"/>
    <s v="BRK AMBIENTAL PARTICIPACOES S/A"/>
    <s v="Braskem"/>
    <x v="0"/>
    <n v="0"/>
    <s v="BRKP15    "/>
    <n v="2"/>
    <x v="47"/>
    <d v="2021-06-15T00:00:00"/>
    <x v="28"/>
    <n v="0"/>
    <x v="2"/>
    <x v="1"/>
    <n v="160000"/>
    <n v="1000"/>
    <s v=""/>
    <n v="160000000"/>
    <x v="38"/>
    <s v="DI"/>
    <n v="100"/>
    <n v="1.29"/>
    <x v="52"/>
    <n v="252"/>
    <s v="Útil"/>
    <s v="N"/>
    <x v="1"/>
    <s v="S"/>
    <x v="1"/>
    <x v="2"/>
    <x v="1"/>
    <x v="34"/>
  </r>
  <r>
    <n v="0"/>
    <s v="Braskem4394944314"/>
    <n v="6"/>
    <s v="BRK AMBIENTAL PARTICIPACOES S/A"/>
    <s v="Braskem"/>
    <x v="0"/>
    <n v="0"/>
    <s v="BRKP16    "/>
    <n v="3"/>
    <x v="48"/>
    <d v="2021-04-28T00:00:00"/>
    <x v="29"/>
    <n v="0"/>
    <x v="2"/>
    <x v="1"/>
    <n v="50000"/>
    <n v="1000"/>
    <s v=""/>
    <n v="50000000"/>
    <x v="39"/>
    <s v="DI"/>
    <n v="100"/>
    <n v="3"/>
    <x v="2"/>
    <n v="252"/>
    <s v="Útil"/>
    <s v="N"/>
    <x v="1"/>
    <s v="S"/>
    <x v="1"/>
    <x v="6"/>
    <x v="0"/>
    <x v="42"/>
  </r>
  <r>
    <n v="0"/>
    <s v="Braskem4398044529"/>
    <n v="6"/>
    <s v="BRK AMBIENTAL PARTICIPACOES S/A"/>
    <s v="Braskem"/>
    <x v="0"/>
    <n v="0"/>
    <s v="BRKP17    "/>
    <n v="4"/>
    <x v="49"/>
    <d v="2021-11-29T00:00:00"/>
    <x v="30"/>
    <n v="0"/>
    <x v="2"/>
    <x v="1"/>
    <n v="45000"/>
    <n v="10000"/>
    <s v=""/>
    <n v="450000000"/>
    <x v="37"/>
    <s v="DI"/>
    <n v="100"/>
    <n v="4.05"/>
    <x v="53"/>
    <n v="252"/>
    <s v="Útil"/>
    <s v="N"/>
    <x v="1"/>
    <s v="S"/>
    <x v="1"/>
    <x v="6"/>
    <x v="0"/>
    <x v="43"/>
  </r>
  <r>
    <n v="0"/>
    <s v="Braskem4408945915"/>
    <n v="6"/>
    <s v="BRK AMBIENTAL PARTICIPACOES S/A"/>
    <s v="Braskem"/>
    <x v="0"/>
    <n v="0"/>
    <s v="BRKP18    "/>
    <n v="5"/>
    <x v="22"/>
    <d v="2025-09-15T00:00:00"/>
    <x v="4"/>
    <n v="1"/>
    <x v="2"/>
    <x v="1"/>
    <n v="795000"/>
    <n v="1000"/>
    <s v=""/>
    <n v="795000000"/>
    <x v="40"/>
    <s v="DI"/>
    <n v="100"/>
    <n v="3.8"/>
    <x v="54"/>
    <n v="252"/>
    <s v="Útil"/>
    <s v="N"/>
    <x v="1"/>
    <s v="S"/>
    <x v="1"/>
    <x v="6"/>
    <x v="0"/>
    <x v="20"/>
  </r>
  <r>
    <n v="0"/>
    <s v="Braskem4437846204"/>
    <n v="6"/>
    <s v="BRK AMBIENTAL PARTICIPACOES S/A"/>
    <s v="Braskem"/>
    <x v="0"/>
    <n v="0"/>
    <s v="BRKP19    "/>
    <n v="6"/>
    <x v="50"/>
    <d v="2026-07-01T00:00:00"/>
    <x v="4"/>
    <n v="1"/>
    <x v="2"/>
    <x v="1"/>
    <n v="200000"/>
    <n v="1000"/>
    <s v=""/>
    <n v="200000000"/>
    <x v="13"/>
    <s v="DI"/>
    <n v="100"/>
    <n v="1.95"/>
    <x v="55"/>
    <n v="252"/>
    <s v="Útil"/>
    <s v="N"/>
    <x v="1"/>
    <s v="S"/>
    <x v="1"/>
    <x v="6"/>
    <x v="0"/>
    <x v="0"/>
  </r>
  <r>
    <n v="0"/>
    <s v="Braskem4408949202"/>
    <n v="6"/>
    <s v="BRK AMBIENTAL PARTICIPACOES S/A"/>
    <s v="Braskem"/>
    <x v="0"/>
    <n v="0"/>
    <s v="BRKP28    "/>
    <n v="7"/>
    <x v="22"/>
    <d v="2034-09-15T00:00:00"/>
    <x v="31"/>
    <n v="1"/>
    <x v="2"/>
    <x v="1"/>
    <n v="305000"/>
    <n v="1000"/>
    <s v=""/>
    <n v="305000000"/>
    <x v="4"/>
    <s v="IPCA"/>
    <s v="-"/>
    <n v="5.5365000000000002"/>
    <x v="56"/>
    <n v="252"/>
    <s v="Útil"/>
    <s v="S"/>
    <x v="0"/>
    <s v="N"/>
    <x v="0"/>
    <x v="6"/>
    <x v="0"/>
    <x v="20"/>
  </r>
  <r>
    <n v="0"/>
    <s v="Braskem4203044210"/>
    <n v="6"/>
    <s v="BRK AMBIENTAL PARTICIPACOES S/A"/>
    <s v="Braskem"/>
    <x v="0"/>
    <n v="0"/>
    <s v="ODAP11    "/>
    <n v="8"/>
    <x v="51"/>
    <d v="2021-01-14T00:00:00"/>
    <x v="32"/>
    <n v="1"/>
    <x v="2"/>
    <x v="1"/>
    <n v="10"/>
    <n v="10000000"/>
    <s v=""/>
    <n v="100000000"/>
    <x v="33"/>
    <s v="DI"/>
    <n v="100"/>
    <n v="1.85"/>
    <x v="57"/>
    <n v="252"/>
    <s v="Útil"/>
    <s v="N"/>
    <x v="1"/>
    <s v="N"/>
    <x v="0"/>
    <x v="2"/>
    <x v="1"/>
    <x v="44"/>
  </r>
  <r>
    <n v="0"/>
    <s v="Braskem4271944545"/>
    <n v="6"/>
    <s v="BRK AMBIENTAL PARTICIPACOES S/A"/>
    <s v="Braskem"/>
    <x v="0"/>
    <n v="0"/>
    <s v="ODBA13    "/>
    <n v="9"/>
    <x v="52"/>
    <d v="2021-12-15T00:00:00"/>
    <x v="4"/>
    <n v="1"/>
    <x v="0"/>
    <x v="0"/>
    <n v="399000000"/>
    <n v="1"/>
    <s v=""/>
    <n v="399000000"/>
    <x v="41"/>
    <s v="DI"/>
    <n v="100"/>
    <n v="3.5"/>
    <x v="58"/>
    <n v="252"/>
    <s v="Útil"/>
    <s v="N"/>
    <x v="1"/>
    <s v="S"/>
    <x v="1"/>
    <x v="2"/>
    <x v="1"/>
    <x v="45"/>
  </r>
  <r>
    <n v="8"/>
    <s v="Braskem4074622/07/2041"/>
    <n v="6"/>
    <s v="Braskem America Finance Co"/>
    <s v="Braskem"/>
    <x v="1"/>
    <n v="1"/>
    <m/>
    <n v="10"/>
    <x v="53"/>
    <s v="22/07/2041"/>
    <x v="33"/>
    <n v="1"/>
    <x v="1"/>
    <x v="0"/>
    <m/>
    <m/>
    <n v="1.5539000000000001"/>
    <n v="500000000"/>
    <x v="42"/>
    <s v="USD"/>
    <s v="-"/>
    <n v="7.125"/>
    <x v="59"/>
    <n v="360"/>
    <s v="Corrido"/>
    <s v="N"/>
    <x v="1"/>
    <s v="S"/>
    <x v="1"/>
    <x v="6"/>
    <x v="0"/>
    <x v="46"/>
  </r>
  <r>
    <n v="9"/>
    <s v="Braskem4111322/07/2041"/>
    <n v="6"/>
    <s v="Braskem America Finance Co"/>
    <s v="Braskem"/>
    <x v="1"/>
    <n v="1"/>
    <m/>
    <n v="11"/>
    <x v="54"/>
    <s v="22/07/2041"/>
    <x v="34"/>
    <n v="1"/>
    <x v="1"/>
    <x v="0"/>
    <m/>
    <m/>
    <n v="2.0406"/>
    <n v="250000000"/>
    <x v="43"/>
    <s v="USD"/>
    <s v="-"/>
    <n v="7.125"/>
    <x v="60"/>
    <n v="360"/>
    <s v="Corrido"/>
    <s v="N"/>
    <x v="1"/>
    <s v="S"/>
    <x v="1"/>
    <x v="2"/>
    <x v="1"/>
    <x v="47"/>
  </r>
  <r>
    <n v="10"/>
    <s v="Braskem4167303/02/2024"/>
    <n v="6"/>
    <s v="Braskem Finance Ltd"/>
    <s v="Braskem"/>
    <x v="1"/>
    <n v="1"/>
    <m/>
    <n v="12"/>
    <x v="55"/>
    <s v="03/02/2024"/>
    <x v="1"/>
    <n v="1"/>
    <x v="1"/>
    <x v="0"/>
    <m/>
    <m/>
    <n v="2.4083999999999999"/>
    <n v="500000000"/>
    <x v="44"/>
    <s v="USD"/>
    <s v="-"/>
    <n v="6.45"/>
    <x v="61"/>
    <n v="360"/>
    <s v="Corrido"/>
    <s v="N"/>
    <x v="1"/>
    <s v="N"/>
    <x v="0"/>
    <x v="2"/>
    <x v="1"/>
    <x v="48"/>
  </r>
  <r>
    <n v="11"/>
    <s v="Braskem4103102/05/2022"/>
    <n v="6"/>
    <s v="Braskem Finance Ltd"/>
    <s v="Braskem"/>
    <x v="1"/>
    <n v="1"/>
    <m/>
    <n v="13"/>
    <x v="56"/>
    <s v="02/05/2022"/>
    <x v="1"/>
    <n v="1"/>
    <x v="1"/>
    <x v="0"/>
    <m/>
    <m/>
    <n v="1.9142999999999999"/>
    <n v="500000000"/>
    <x v="45"/>
    <s v="USD"/>
    <s v="-"/>
    <n v="5.375"/>
    <x v="62"/>
    <n v="360"/>
    <s v="Corrido"/>
    <s v="N"/>
    <x v="1"/>
    <s v="N"/>
    <x v="0"/>
    <x v="2"/>
    <x v="1"/>
    <x v="49"/>
  </r>
  <r>
    <n v="12"/>
    <s v="Braskem4064815/04/2021"/>
    <n v="6"/>
    <s v="Braskem Finance Ltd"/>
    <s v="Braskem"/>
    <x v="1"/>
    <n v="1"/>
    <m/>
    <n v="14"/>
    <x v="57"/>
    <s v="15/04/2021"/>
    <x v="12"/>
    <n v="1"/>
    <x v="1"/>
    <x v="0"/>
    <m/>
    <m/>
    <n v="1.5768"/>
    <n v="750000000"/>
    <x v="46"/>
    <s v="USD"/>
    <s v="-"/>
    <n v="5.75"/>
    <x v="63"/>
    <n v="360"/>
    <s v="Corrido"/>
    <s v="N"/>
    <x v="1"/>
    <s v="N"/>
    <x v="0"/>
    <x v="6"/>
    <x v="0"/>
    <x v="50"/>
  </r>
  <r>
    <n v="13"/>
    <s v="Braskem4094115/04/2021"/>
    <n v="6"/>
    <s v="Braskem Finance Ltd"/>
    <s v="Braskem"/>
    <x v="1"/>
    <n v="1"/>
    <m/>
    <n v="15"/>
    <x v="58"/>
    <s v="15/04/2021"/>
    <x v="35"/>
    <n v="1"/>
    <x v="1"/>
    <x v="0"/>
    <m/>
    <m/>
    <n v="1.732"/>
    <n v="250000000"/>
    <x v="47"/>
    <s v="USD"/>
    <s v="-"/>
    <n v="5.75"/>
    <x v="64"/>
    <n v="360"/>
    <s v="Corrido"/>
    <s v="N"/>
    <x v="1"/>
    <s v="S"/>
    <x v="1"/>
    <x v="2"/>
    <x v="1"/>
    <x v="11"/>
  </r>
  <r>
    <n v="14"/>
    <s v="Braskem4377031/01/2030"/>
    <n v="6"/>
    <s v="Braskem Netherlands Finance BV"/>
    <s v="Braskem"/>
    <x v="1"/>
    <n v="1"/>
    <m/>
    <n v="16"/>
    <x v="59"/>
    <s v="31/01/2030"/>
    <x v="36"/>
    <n v="1"/>
    <x v="1"/>
    <x v="0"/>
    <m/>
    <m/>
    <n v="3.9780000000000002"/>
    <n v="1500000000"/>
    <x v="48"/>
    <s v="USD"/>
    <s v="-"/>
    <n v="4.5"/>
    <x v="65"/>
    <n v="360"/>
    <s v="Corrido"/>
    <s v="N"/>
    <x v="1"/>
    <s v="N"/>
    <x v="0"/>
    <x v="2"/>
    <x v="1"/>
    <x v="26"/>
  </r>
  <r>
    <n v="15"/>
    <s v="Braskem4301810/01/2028"/>
    <n v="6"/>
    <s v="Braskem Netherlands Finance BV"/>
    <s v="Braskem"/>
    <x v="1"/>
    <n v="1"/>
    <m/>
    <n v="17"/>
    <x v="9"/>
    <s v="10/01/2028"/>
    <x v="36"/>
    <n v="1"/>
    <x v="1"/>
    <x v="0"/>
    <m/>
    <m/>
    <n v="3.1682000000000001"/>
    <n v="1250000000"/>
    <x v="49"/>
    <s v="USD"/>
    <s v="-"/>
    <n v="4.5"/>
    <x v="66"/>
    <n v="360"/>
    <s v="Corrido"/>
    <s v="N"/>
    <x v="1"/>
    <s v="S"/>
    <x v="1"/>
    <x v="2"/>
    <x v="1"/>
    <x v="9"/>
  </r>
  <r>
    <n v="16"/>
    <s v="Braskem4377031/01/2050"/>
    <n v="6"/>
    <s v="Braskem Netherlands Finance BV"/>
    <s v="Braskem"/>
    <x v="1"/>
    <n v="1"/>
    <m/>
    <n v="18"/>
    <x v="59"/>
    <s v="31/01/2050"/>
    <x v="37"/>
    <n v="1"/>
    <x v="1"/>
    <x v="0"/>
    <m/>
    <m/>
    <n v="3.9780000000000002"/>
    <n v="750000000"/>
    <x v="50"/>
    <s v="USD"/>
    <s v="-"/>
    <n v="5.875"/>
    <x v="67"/>
    <n v="360"/>
    <s v="Corrido"/>
    <s v="N"/>
    <x v="1"/>
    <s v="N"/>
    <x v="0"/>
    <x v="2"/>
    <x v="1"/>
    <x v="26"/>
  </r>
  <r>
    <n v="17"/>
    <s v="Braskem4403523/01/2081"/>
    <n v="6"/>
    <s v="Braskem Netherlands Finance BV"/>
    <s v="Braskem"/>
    <x v="1"/>
    <n v="1"/>
    <m/>
    <n v="19"/>
    <x v="60"/>
    <s v="23/01/2081"/>
    <x v="38"/>
    <n v="1"/>
    <x v="1"/>
    <x v="0"/>
    <m/>
    <m/>
    <n v="5.1641000000000004"/>
    <n v="600000000"/>
    <x v="51"/>
    <s v="USD"/>
    <s v="-"/>
    <n v="8.5"/>
    <x v="68"/>
    <n v="360"/>
    <s v="Corrido"/>
    <s v="N"/>
    <x v="1"/>
    <s v="S"/>
    <x v="1"/>
    <x v="6"/>
    <x v="0"/>
    <x v="51"/>
  </r>
  <r>
    <n v="18"/>
    <s v="Braskem4301810/01/2023"/>
    <n v="6"/>
    <s v="Braskem Netherlands Finance BV"/>
    <s v="Braskem"/>
    <x v="1"/>
    <n v="1"/>
    <m/>
    <n v="20"/>
    <x v="9"/>
    <s v="10/01/2023"/>
    <x v="39"/>
    <n v="1"/>
    <x v="1"/>
    <x v="0"/>
    <m/>
    <m/>
    <n v="3.1682000000000001"/>
    <n v="500000000"/>
    <x v="52"/>
    <s v="USD"/>
    <s v="-"/>
    <n v="3.5"/>
    <x v="69"/>
    <n v="360"/>
    <s v="Corrido"/>
    <s v="N"/>
    <x v="1"/>
    <s v="S"/>
    <x v="1"/>
    <x v="2"/>
    <x v="1"/>
    <x v="9"/>
  </r>
  <r>
    <n v="0"/>
    <s v="BRF4358544681"/>
    <n v="7"/>
    <s v="BRF S/A"/>
    <s v="BRF"/>
    <x v="0"/>
    <n v="0"/>
    <s v="BRFS11    "/>
    <n v="1"/>
    <x v="61"/>
    <d v="2022-04-30T00:00:00"/>
    <x v="16"/>
    <n v="0"/>
    <x v="2"/>
    <x v="1"/>
    <n v="70000"/>
    <n v="1000"/>
    <s v=""/>
    <n v="70000000"/>
    <x v="53"/>
    <s v="DI"/>
    <n v="100"/>
    <n v="0.8"/>
    <x v="70"/>
    <n v="252"/>
    <s v="Útil"/>
    <s v="N"/>
    <x v="1"/>
    <s v="S"/>
    <x v="1"/>
    <x v="0"/>
    <x v="0"/>
    <x v="52"/>
  </r>
  <r>
    <n v="0"/>
    <s v="BRF4358546142"/>
    <n v="7"/>
    <s v="BRF S/A"/>
    <s v="BRF"/>
    <x v="0"/>
    <n v="0"/>
    <s v="BRFS31    "/>
    <n v="2"/>
    <x v="61"/>
    <d v="2026-04-30T00:00:00"/>
    <x v="8"/>
    <n v="1"/>
    <x v="2"/>
    <x v="1"/>
    <n v="411732"/>
    <n v="1000"/>
    <s v=""/>
    <n v="411732000"/>
    <x v="54"/>
    <s v="IPCA"/>
    <s v="-"/>
    <n v="5.5"/>
    <x v="71"/>
    <n v="252"/>
    <s v="Útil"/>
    <s v="N"/>
    <x v="1"/>
    <s v="S"/>
    <x v="1"/>
    <x v="0"/>
    <x v="0"/>
    <x v="52"/>
  </r>
  <r>
    <n v="0"/>
    <s v="BRF4358546142"/>
    <n v="7"/>
    <s v="BRF S/A"/>
    <s v="BRF"/>
    <x v="0"/>
    <n v="0"/>
    <s v="BRFS41    "/>
    <n v="3"/>
    <x v="61"/>
    <d v="2026-04-30T00:00:00"/>
    <x v="8"/>
    <n v="1"/>
    <x v="2"/>
    <x v="1"/>
    <n v="268268"/>
    <n v="1000"/>
    <s v=""/>
    <n v="268268000"/>
    <x v="55"/>
    <s v="DI"/>
    <n v="100"/>
    <n v="1.45"/>
    <x v="72"/>
    <n v="252"/>
    <s v="Útil"/>
    <s v="N"/>
    <x v="1"/>
    <s v="S"/>
    <x v="1"/>
    <x v="0"/>
    <x v="0"/>
    <x v="52"/>
  </r>
  <r>
    <n v="19"/>
    <s v="BRF4264229/09/2026"/>
    <n v="7"/>
    <s v="BRF GmbH"/>
    <s v="BRF"/>
    <x v="1"/>
    <n v="1"/>
    <m/>
    <n v="4"/>
    <x v="62"/>
    <s v="29/09/2026"/>
    <x v="1"/>
    <n v="1"/>
    <x v="1"/>
    <x v="0"/>
    <m/>
    <m/>
    <n v="3.2229000000000001"/>
    <n v="500000000"/>
    <x v="56"/>
    <s v="USD"/>
    <s v="-"/>
    <n v="4.3499999999999996"/>
    <x v="73"/>
    <n v="360"/>
    <s v="Corrido"/>
    <s v="N"/>
    <x v="1"/>
    <s v="N"/>
    <x v="0"/>
    <x v="7"/>
    <x v="1"/>
    <x v="35"/>
  </r>
  <r>
    <n v="20"/>
    <s v="BRF4373224/01/2030"/>
    <n v="7"/>
    <s v="BRF SA"/>
    <s v="BRF"/>
    <x v="1"/>
    <n v="1"/>
    <m/>
    <n v="5"/>
    <x v="63"/>
    <s v="24/01/2030"/>
    <x v="40"/>
    <n v="1"/>
    <x v="5"/>
    <x v="1"/>
    <m/>
    <m/>
    <n v="4.1715"/>
    <n v="750000000"/>
    <x v="57"/>
    <s v="USD"/>
    <s v="-"/>
    <n v="4.875"/>
    <x v="74"/>
    <n v="360"/>
    <s v="Corrido"/>
    <s v="N"/>
    <x v="1"/>
    <s v="S"/>
    <x v="1"/>
    <x v="0"/>
    <x v="0"/>
    <x v="16"/>
  </r>
  <r>
    <n v="21"/>
    <s v="BRF4409521/09/2050"/>
    <n v="7"/>
    <s v="BRF SA"/>
    <s v="BRF"/>
    <x v="1"/>
    <n v="1"/>
    <m/>
    <n v="6"/>
    <x v="64"/>
    <s v="21/09/2050"/>
    <x v="41"/>
    <n v="1"/>
    <x v="5"/>
    <x v="1"/>
    <m/>
    <m/>
    <n v="5.4433999999999996"/>
    <n v="500000000"/>
    <x v="58"/>
    <s v="USD"/>
    <s v="-"/>
    <n v="5.75"/>
    <x v="75"/>
    <n v="360"/>
    <s v="Corrido"/>
    <s v="N"/>
    <x v="1"/>
    <s v="S"/>
    <x v="1"/>
    <x v="0"/>
    <x v="0"/>
    <x v="36"/>
  </r>
  <r>
    <n v="22"/>
    <s v="BRF4178122/05/2024"/>
    <n v="7"/>
    <s v="BRF SA"/>
    <s v="BRF"/>
    <x v="1"/>
    <n v="1"/>
    <m/>
    <n v="7"/>
    <x v="65"/>
    <s v="22/05/2024"/>
    <x v="12"/>
    <n v="1"/>
    <x v="5"/>
    <x v="1"/>
    <m/>
    <m/>
    <n v="2.2124999999999999"/>
    <n v="500000000"/>
    <x v="59"/>
    <s v="USD"/>
    <s v="-"/>
    <n v="4.75"/>
    <x v="76"/>
    <n v="360"/>
    <s v="Corrido"/>
    <s v="N"/>
    <x v="1"/>
    <s v="N"/>
    <x v="0"/>
    <x v="2"/>
    <x v="1"/>
    <x v="53"/>
  </r>
  <r>
    <n v="23"/>
    <s v="BRF4141622/05/2023"/>
    <n v="7"/>
    <s v="BRF SA"/>
    <s v="BRF"/>
    <x v="1"/>
    <n v="1"/>
    <m/>
    <n v="8"/>
    <x v="66"/>
    <s v="22/05/2023"/>
    <x v="1"/>
    <n v="1"/>
    <x v="5"/>
    <x v="1"/>
    <m/>
    <m/>
    <n v="2.0381"/>
    <n v="500000000"/>
    <x v="60"/>
    <s v="USD"/>
    <s v="-"/>
    <n v="3.95"/>
    <x v="77"/>
    <n v="360"/>
    <s v="Corrido"/>
    <s v="N"/>
    <x v="1"/>
    <s v="N"/>
    <x v="0"/>
    <x v="2"/>
    <x v="1"/>
    <x v="54"/>
  </r>
  <r>
    <n v="24"/>
    <s v="BRF4106606/06/2022"/>
    <n v="7"/>
    <s v="BRF SA"/>
    <s v="BRF"/>
    <x v="1"/>
    <n v="1"/>
    <m/>
    <n v="9"/>
    <x v="67"/>
    <s v="06/06/2022"/>
    <x v="1"/>
    <n v="1"/>
    <x v="5"/>
    <x v="1"/>
    <m/>
    <m/>
    <n v="2.0175999999999998"/>
    <n v="500000000"/>
    <x v="61"/>
    <s v="USD"/>
    <s v="-"/>
    <n v="5.875"/>
    <x v="78"/>
    <n v="360"/>
    <s v="Corrido"/>
    <s v="N"/>
    <x v="1"/>
    <s v="N"/>
    <x v="0"/>
    <x v="2"/>
    <x v="1"/>
    <x v="55"/>
  </r>
  <r>
    <n v="25"/>
    <s v="BRF4413021/09/2050"/>
    <n v="7"/>
    <s v="BRF SA"/>
    <s v="BRF"/>
    <x v="1"/>
    <n v="1"/>
    <m/>
    <n v="10"/>
    <x v="68"/>
    <s v="21/09/2050"/>
    <x v="42"/>
    <n v="1"/>
    <x v="5"/>
    <x v="1"/>
    <m/>
    <m/>
    <n v="5.6322000000000001"/>
    <n v="300000000"/>
    <x v="62"/>
    <s v="USD"/>
    <s v="-"/>
    <n v="5.75"/>
    <x v="79"/>
    <n v="360"/>
    <s v="Corrido"/>
    <s v="N"/>
    <x v="1"/>
    <s v="S"/>
    <x v="1"/>
    <x v="0"/>
    <x v="0"/>
    <x v="56"/>
  </r>
  <r>
    <n v="26"/>
    <s v="BRF4108606/06/2022"/>
    <n v="7"/>
    <s v="BRF SA"/>
    <s v="BRF"/>
    <x v="1"/>
    <n v="1"/>
    <m/>
    <n v="11"/>
    <x v="69"/>
    <s v="06/06/2022"/>
    <x v="43"/>
    <n v="1"/>
    <x v="1"/>
    <x v="0"/>
    <m/>
    <m/>
    <n v="2.0737000000000001"/>
    <n v="250000000"/>
    <x v="63"/>
    <s v="USD"/>
    <s v="-"/>
    <n v="5.875"/>
    <x v="80"/>
    <n v="360"/>
    <s v="Corrido"/>
    <s v="N"/>
    <x v="1"/>
    <s v="S"/>
    <x v="1"/>
    <x v="2"/>
    <x v="1"/>
    <x v="57"/>
  </r>
  <r>
    <n v="0"/>
    <s v="Cemig4136043186"/>
    <n v="8"/>
    <s v="CEMIG CAPIM BRANCO ENERGIA S.A."/>
    <s v="Cemig"/>
    <x v="0"/>
    <n v="0"/>
    <s v="CMCB11    "/>
    <n v="1"/>
    <x v="70"/>
    <d v="2018-03-27T00:00:00"/>
    <x v="4"/>
    <n v="1"/>
    <x v="2"/>
    <x v="1"/>
    <n v="7200"/>
    <n v="10000"/>
    <s v=""/>
    <n v="72000000"/>
    <x v="64"/>
    <s v="DI"/>
    <n v="100"/>
    <n v="0.8"/>
    <x v="70"/>
    <n v="252"/>
    <s v="Útil"/>
    <s v="N"/>
    <x v="1"/>
    <s v="N"/>
    <x v="0"/>
    <x v="1"/>
    <x v="0"/>
    <x v="32"/>
  </r>
  <r>
    <n v="0"/>
    <s v="Cemig4132043146"/>
    <n v="8"/>
    <s v="CEMIG DISTRIBUICAO S/A"/>
    <s v="Cemig"/>
    <x v="0"/>
    <n v="0"/>
    <s v="CMDT13    "/>
    <n v="2"/>
    <x v="71"/>
    <d v="2018-02-15T00:00:00"/>
    <x v="4"/>
    <n v="1"/>
    <x v="2"/>
    <x v="1"/>
    <n v="410817"/>
    <n v="1000"/>
    <s v=""/>
    <n v="410817000"/>
    <x v="65"/>
    <s v="DI"/>
    <n v="100"/>
    <n v="0.69"/>
    <x v="81"/>
    <n v="252"/>
    <s v="Útil"/>
    <s v="N"/>
    <x v="1"/>
    <s v="N"/>
    <x v="0"/>
    <x v="1"/>
    <x v="0"/>
    <x v="58"/>
  </r>
  <r>
    <n v="0"/>
    <s v="Cemig4235343449"/>
    <n v="8"/>
    <s v="CEMIG DISTRIBUICAO S/A"/>
    <s v="Cemig"/>
    <x v="0"/>
    <n v="0"/>
    <s v="CMDT14    "/>
    <n v="3"/>
    <x v="72"/>
    <d v="2018-12-15T00:00:00"/>
    <x v="16"/>
    <n v="0"/>
    <x v="2"/>
    <x v="1"/>
    <n v="161500"/>
    <n v="10000"/>
    <s v=""/>
    <n v="1615000000"/>
    <x v="66"/>
    <s v="DI"/>
    <n v="100"/>
    <n v="4.05"/>
    <x v="53"/>
    <n v="252"/>
    <s v="Útil"/>
    <s v="N"/>
    <x v="1"/>
    <s v="S"/>
    <x v="1"/>
    <x v="1"/>
    <x v="0"/>
    <x v="59"/>
  </r>
  <r>
    <n v="0"/>
    <s v="Cemig4132044242"/>
    <n v="8"/>
    <s v="CEMIG DISTRIBUICAO S/A"/>
    <s v="Cemig"/>
    <x v="0"/>
    <n v="0"/>
    <s v="CMDT23    "/>
    <n v="4"/>
    <x v="71"/>
    <d v="2021-02-15T00:00:00"/>
    <x v="13"/>
    <n v="1"/>
    <x v="2"/>
    <x v="1"/>
    <n v="1095508"/>
    <n v="1000"/>
    <s v=""/>
    <n v="1095508000"/>
    <x v="67"/>
    <s v="IPCA"/>
    <s v="-"/>
    <n v="4.7"/>
    <x v="82"/>
    <n v="252"/>
    <s v="Útil"/>
    <s v="N"/>
    <x v="1"/>
    <s v="S"/>
    <x v="1"/>
    <x v="1"/>
    <x v="0"/>
    <x v="58"/>
  </r>
  <r>
    <n v="0"/>
    <s v="Cemig4132045703"/>
    <n v="8"/>
    <s v="CEMIG DISTRIBUICAO S/A"/>
    <s v="Cemig"/>
    <x v="0"/>
    <n v="0"/>
    <s v="CMDT33    "/>
    <n v="5"/>
    <x v="71"/>
    <d v="2025-02-15T00:00:00"/>
    <x v="44"/>
    <n v="1"/>
    <x v="2"/>
    <x v="1"/>
    <n v="653675"/>
    <n v="1000"/>
    <s v=""/>
    <n v="653675000"/>
    <x v="68"/>
    <s v="IPCA"/>
    <s v="-"/>
    <n v="5.0999999999999996"/>
    <x v="83"/>
    <n v="252"/>
    <s v="Útil"/>
    <s v="N"/>
    <x v="1"/>
    <s v="S"/>
    <x v="1"/>
    <x v="1"/>
    <x v="0"/>
    <x v="58"/>
  </r>
  <r>
    <n v="0"/>
    <s v="Cemig4308444727"/>
    <n v="8"/>
    <s v="CEMIG DISTRIBUICAO S/A"/>
    <s v="Cemig"/>
    <x v="0"/>
    <n v="0"/>
    <s v="CMGD15    "/>
    <n v="6"/>
    <x v="73"/>
    <d v="2022-06-15T00:00:00"/>
    <x v="45"/>
    <n v="0"/>
    <x v="0"/>
    <x v="0"/>
    <n v="157500"/>
    <n v="10000"/>
    <s v=""/>
    <n v="1575000000"/>
    <x v="69"/>
    <s v="DI"/>
    <n v="146.5"/>
    <m/>
    <x v="84"/>
    <n v="252"/>
    <s v="Útil"/>
    <s v="N"/>
    <x v="1"/>
    <s v="S"/>
    <x v="1"/>
    <x v="8"/>
    <x v="0"/>
    <x v="60"/>
  </r>
  <r>
    <n v="0"/>
    <s v="Cemig4343743985"/>
    <n v="8"/>
    <s v="CEMIG DISTRIBUICAO S/A"/>
    <s v="Cemig"/>
    <x v="0"/>
    <n v="0"/>
    <s v="CMGD16    "/>
    <n v="7"/>
    <x v="74"/>
    <d v="2020-06-03T00:00:00"/>
    <x v="28"/>
    <n v="0"/>
    <x v="0"/>
    <x v="0"/>
    <n v="550000"/>
    <n v="1000"/>
    <s v=""/>
    <n v="550000000"/>
    <x v="26"/>
    <s v="DI"/>
    <n v="100"/>
    <n v="1.75"/>
    <x v="85"/>
    <n v="252"/>
    <s v="Útil"/>
    <s v="N"/>
    <x v="1"/>
    <s v="S"/>
    <x v="1"/>
    <x v="9"/>
    <x v="0"/>
    <x v="61"/>
  </r>
  <r>
    <n v="0"/>
    <s v="Cemig4363145458"/>
    <n v="8"/>
    <s v="CEMIG DISTRIBUICAO S/A"/>
    <s v="Cemig"/>
    <x v="0"/>
    <n v="0"/>
    <s v="CMGD17    "/>
    <n v="8"/>
    <x v="75"/>
    <d v="2024-06-15T00:00:00"/>
    <x v="5"/>
    <n v="1"/>
    <x v="2"/>
    <x v="1"/>
    <n v="2160000"/>
    <n v="1000"/>
    <s v=""/>
    <n v="2160000000"/>
    <x v="70"/>
    <s v="DI"/>
    <n v="100"/>
    <n v="0.45400000000000001"/>
    <x v="86"/>
    <n v="252"/>
    <s v="Útil"/>
    <s v="N"/>
    <x v="1"/>
    <s v="S"/>
    <x v="1"/>
    <x v="8"/>
    <x v="0"/>
    <x v="52"/>
  </r>
  <r>
    <n v="0"/>
    <s v="Cemig4363146188"/>
    <n v="8"/>
    <s v="CEMIG DISTRIBUICAO S/A"/>
    <s v="Cemig"/>
    <x v="0"/>
    <n v="0"/>
    <s v="CMGD27    "/>
    <n v="9"/>
    <x v="75"/>
    <d v="2026-06-15T00:00:00"/>
    <x v="8"/>
    <n v="1"/>
    <x v="2"/>
    <x v="1"/>
    <n v="1500000"/>
    <n v="1000"/>
    <s v=""/>
    <n v="1500000000"/>
    <x v="71"/>
    <s v="IPCA"/>
    <s v="-"/>
    <n v="4.0999999999999996"/>
    <x v="87"/>
    <n v="252"/>
    <s v="Útil"/>
    <s v="S"/>
    <x v="0"/>
    <s v="N"/>
    <x v="0"/>
    <x v="8"/>
    <x v="0"/>
    <x v="52"/>
  </r>
  <r>
    <n v="0"/>
    <s v="Cemig4095442781"/>
    <n v="8"/>
    <s v="CEMIG GERACAO E TRANSMISSAO S/A"/>
    <s v="Cemig"/>
    <x v="0"/>
    <n v="0"/>
    <s v="CMTR13    "/>
    <n v="10"/>
    <x v="76"/>
    <d v="2017-02-15T00:00:00"/>
    <x v="5"/>
    <n v="1"/>
    <x v="2"/>
    <x v="1"/>
    <n v="480000"/>
    <n v="1000"/>
    <s v=""/>
    <n v="480000000"/>
    <x v="72"/>
    <s v="DI"/>
    <n v="100"/>
    <n v="0.9"/>
    <x v="88"/>
    <n v="252"/>
    <s v="Útil"/>
    <s v="N"/>
    <x v="1"/>
    <s v="S"/>
    <x v="1"/>
    <x v="1"/>
    <x v="0"/>
    <x v="47"/>
  </r>
  <r>
    <n v="0"/>
    <s v="Cemig4163142727"/>
    <n v="8"/>
    <s v="CEMIG GERACAO E TRANSMISSAO S/A"/>
    <s v="Cemig"/>
    <x v="0"/>
    <n v="0"/>
    <s v="CMTR14    "/>
    <n v="11"/>
    <x v="77"/>
    <d v="2016-12-23T00:00:00"/>
    <x v="16"/>
    <n v="0"/>
    <x v="2"/>
    <x v="1"/>
    <n v="50000"/>
    <n v="10000"/>
    <s v=""/>
    <n v="500000000"/>
    <x v="10"/>
    <s v="DI"/>
    <n v="100"/>
    <n v="0.85"/>
    <x v="89"/>
    <n v="252"/>
    <s v="Útil"/>
    <s v="N"/>
    <x v="1"/>
    <s v="N"/>
    <x v="0"/>
    <x v="1"/>
    <x v="0"/>
    <x v="62"/>
  </r>
  <r>
    <n v="0"/>
    <s v="Cemig4198343444"/>
    <n v="8"/>
    <s v="CEMIG GERACAO E TRANSMISSAO S/A"/>
    <s v="Cemig"/>
    <x v="0"/>
    <n v="0"/>
    <s v="CMTR15    "/>
    <n v="12"/>
    <x v="78"/>
    <d v="2018-12-10T00:00:00"/>
    <x v="46"/>
    <n v="0"/>
    <x v="2"/>
    <x v="1"/>
    <n v="140000"/>
    <n v="10000"/>
    <s v=""/>
    <n v="1400000000"/>
    <x v="73"/>
    <s v="DI"/>
    <n v="100"/>
    <n v="1.7"/>
    <x v="90"/>
    <n v="252"/>
    <s v="Útil"/>
    <s v="N"/>
    <x v="1"/>
    <s v="N"/>
    <x v="0"/>
    <x v="1"/>
    <x v="0"/>
    <x v="63"/>
  </r>
  <r>
    <n v="0"/>
    <s v="Cemig4220043296"/>
    <n v="8"/>
    <s v="CEMIG GERACAO E TRANSMISSAO S/A"/>
    <s v="Cemig"/>
    <x v="0"/>
    <n v="0"/>
    <s v="CMTR16    "/>
    <n v="13"/>
    <x v="79"/>
    <d v="2018-07-15T00:00:00"/>
    <x v="16"/>
    <n v="0"/>
    <x v="2"/>
    <x v="1"/>
    <n v="97275"/>
    <n v="10000"/>
    <s v=""/>
    <n v="972750000"/>
    <x v="74"/>
    <s v="DI"/>
    <n v="100"/>
    <n v="1.6"/>
    <x v="91"/>
    <n v="252"/>
    <s v="Útil"/>
    <s v="N"/>
    <x v="1"/>
    <s v="N"/>
    <x v="0"/>
    <x v="1"/>
    <x v="0"/>
    <x v="29"/>
  </r>
  <r>
    <n v="0"/>
    <s v="Cemig4272744553"/>
    <n v="8"/>
    <s v="CEMIG GERACAO E TRANSMISSAO S/A"/>
    <s v="Cemig"/>
    <x v="0"/>
    <n v="0"/>
    <s v="CMTR17    "/>
    <n v="14"/>
    <x v="80"/>
    <d v="2021-12-23T00:00:00"/>
    <x v="4"/>
    <n v="1"/>
    <x v="0"/>
    <x v="0"/>
    <n v="224000"/>
    <n v="10000"/>
    <s v=""/>
    <n v="2240000000"/>
    <x v="75"/>
    <s v="DI"/>
    <n v="140"/>
    <m/>
    <x v="92"/>
    <n v="252"/>
    <s v="Útil"/>
    <s v="N"/>
    <x v="1"/>
    <s v="S"/>
    <x v="1"/>
    <x v="1"/>
    <x v="0"/>
    <x v="64"/>
  </r>
  <r>
    <n v="0"/>
    <s v="Cemig4095443511"/>
    <n v="8"/>
    <s v="CEMIG GERACAO E TRANSMISSAO S/A"/>
    <s v="Cemig"/>
    <x v="0"/>
    <n v="0"/>
    <s v="CMTR23    "/>
    <n v="15"/>
    <x v="76"/>
    <d v="2019-02-15T00:00:00"/>
    <x v="8"/>
    <n v="1"/>
    <x v="2"/>
    <x v="1"/>
    <n v="200000"/>
    <n v="1000"/>
    <s v=""/>
    <n v="200000000"/>
    <x v="13"/>
    <s v="IPCA"/>
    <s v="-"/>
    <n v="6"/>
    <x v="93"/>
    <n v="252"/>
    <s v="Útil"/>
    <s v="N"/>
    <x v="1"/>
    <s v="S"/>
    <x v="1"/>
    <x v="1"/>
    <x v="0"/>
    <x v="47"/>
  </r>
  <r>
    <n v="0"/>
    <s v="Cemig4220044027"/>
    <n v="8"/>
    <s v="CEMIG GERACAO E TRANSMISSAO S/A"/>
    <s v="Cemig"/>
    <x v="0"/>
    <n v="0"/>
    <s v="CMTR26    "/>
    <n v="16"/>
    <x v="79"/>
    <d v="2020-07-15T00:00:00"/>
    <x v="5"/>
    <n v="1"/>
    <x v="2"/>
    <x v="1"/>
    <n v="2725"/>
    <n v="10000"/>
    <s v=""/>
    <n v="27250000"/>
    <x v="76"/>
    <s v="IPCA"/>
    <s v="-"/>
    <n v="8.0670000000000002"/>
    <x v="94"/>
    <n v="252"/>
    <s v="Útil"/>
    <s v="N"/>
    <x v="1"/>
    <s v="N"/>
    <x v="0"/>
    <x v="1"/>
    <x v="0"/>
    <x v="29"/>
  </r>
  <r>
    <n v="0"/>
    <s v="Cemig4095444607"/>
    <n v="8"/>
    <s v="CEMIG GERACAO E TRANSMISSAO S/A"/>
    <s v="Cemig"/>
    <x v="0"/>
    <n v="0"/>
    <s v="CMTR33    "/>
    <n v="17"/>
    <x v="76"/>
    <d v="2022-02-15T00:00:00"/>
    <x v="12"/>
    <n v="1"/>
    <x v="2"/>
    <x v="1"/>
    <n v="670000"/>
    <n v="1000"/>
    <s v=""/>
    <n v="670000000"/>
    <x v="77"/>
    <s v="IPCA"/>
    <s v="-"/>
    <n v="6.2"/>
    <x v="95"/>
    <n v="252"/>
    <s v="Útil"/>
    <s v="N"/>
    <x v="1"/>
    <s v="S"/>
    <x v="1"/>
    <x v="1"/>
    <x v="0"/>
    <x v="47"/>
  </r>
  <r>
    <n v="0"/>
    <s v="Cemig4284743577"/>
    <n v="8"/>
    <s v="COMPANHIA ENERGETICA DE MINAS GERAIS - CEMIG"/>
    <s v="Cemig"/>
    <x v="0"/>
    <n v="0"/>
    <s v="CMTG12    "/>
    <n v="18"/>
    <x v="81"/>
    <d v="2019-04-22T00:00:00"/>
    <x v="19"/>
    <n v="0"/>
    <x v="0"/>
    <x v="0"/>
    <n v="2700"/>
    <n v="10000"/>
    <s v=""/>
    <n v="27000000"/>
    <x v="78"/>
    <s v="DI"/>
    <n v="128.5"/>
    <m/>
    <x v="96"/>
    <n v="252"/>
    <s v="Útil"/>
    <s v="N"/>
    <x v="1"/>
    <s v="N"/>
    <x v="0"/>
    <x v="8"/>
    <x v="0"/>
    <x v="65"/>
  </r>
  <r>
    <n v="27"/>
    <s v="Cemig4307405/12/2024"/>
    <n v="8"/>
    <s v="Cemig Geracao e Transmissao SA"/>
    <s v="Cemig"/>
    <x v="1"/>
    <n v="1"/>
    <m/>
    <n v="19"/>
    <x v="82"/>
    <s v="05/12/2024"/>
    <x v="8"/>
    <n v="1"/>
    <x v="1"/>
    <x v="0"/>
    <m/>
    <m/>
    <n v="3.2315999999999998"/>
    <n v="1000000000"/>
    <x v="79"/>
    <s v="USD"/>
    <s v="-"/>
    <n v="9.25"/>
    <x v="97"/>
    <n v="360"/>
    <s v="Corrido"/>
    <s v="N"/>
    <x v="1"/>
    <s v="S"/>
    <x v="1"/>
    <x v="8"/>
    <x v="0"/>
    <x v="66"/>
  </r>
  <r>
    <n v="28"/>
    <s v="Cemig4329905/12/2024"/>
    <n v="8"/>
    <s v="Cemig Geracao e Transmissao SA"/>
    <s v="Cemig"/>
    <x v="1"/>
    <n v="1"/>
    <m/>
    <n v="20"/>
    <x v="83"/>
    <s v="05/12/2024"/>
    <x v="47"/>
    <n v="1"/>
    <x v="1"/>
    <x v="0"/>
    <m/>
    <m/>
    <n v="3.8468"/>
    <n v="500000000"/>
    <x v="80"/>
    <s v="USD"/>
    <s v="-"/>
    <n v="9.25"/>
    <x v="98"/>
    <n v="360"/>
    <s v="Corrido"/>
    <s v="N"/>
    <x v="1"/>
    <s v="S"/>
    <x v="1"/>
    <x v="9"/>
    <x v="0"/>
    <x v="7"/>
  </r>
  <r>
    <n v="0"/>
    <s v="Cia Brasileira de Alumínio4454547284"/>
    <n v="9"/>
    <s v="COMPANHIA BRASILEIRA DE ALUMINIO"/>
    <s v="Cia Brasileira de Alumínio"/>
    <x v="0"/>
    <n v="0"/>
    <s v="CBAV11    "/>
    <n v="1"/>
    <x v="84"/>
    <d v="2029-06-15T00:00:00"/>
    <x v="48"/>
    <n v="1"/>
    <x v="2"/>
    <x v="1"/>
    <n v="230000"/>
    <n v="1000"/>
    <s v=""/>
    <n v="230000000"/>
    <x v="81"/>
    <s v="DI"/>
    <n v="100"/>
    <n v="1.55"/>
    <x v="99"/>
    <n v="252"/>
    <s v="Útil"/>
    <s v="N"/>
    <x v="1"/>
    <s v="S"/>
    <x v="1"/>
    <x v="1"/>
    <x v="0"/>
    <x v="67"/>
  </r>
  <r>
    <n v="29"/>
    <s v="Cia Brasileira de Alumínio4180717/06/2024"/>
    <n v="9"/>
    <s v="Cia Brasileira de Aluminio"/>
    <s v="Cia Brasileira de Alumínio"/>
    <x v="1"/>
    <n v="1"/>
    <m/>
    <n v="2"/>
    <x v="85"/>
    <s v="17/06/2024"/>
    <x v="12"/>
    <n v="1"/>
    <x v="1"/>
    <x v="0"/>
    <m/>
    <m/>
    <n v="2.2480000000000002"/>
    <n v="400000000"/>
    <x v="82"/>
    <s v="USD"/>
    <s v="-"/>
    <n v="4.75"/>
    <x v="100"/>
    <n v="360"/>
    <s v="Corrido"/>
    <s v="N"/>
    <x v="1"/>
    <s v="N"/>
    <x v="0"/>
    <x v="7"/>
    <x v="1"/>
    <x v="68"/>
  </r>
  <r>
    <n v="0"/>
    <s v="Cielo4210743203"/>
    <n v="10"/>
    <s v="CIELO S.A."/>
    <s v="Cielo"/>
    <x v="0"/>
    <n v="0"/>
    <s v="CIEL14    "/>
    <n v="1"/>
    <x v="86"/>
    <d v="2018-04-13T00:00:00"/>
    <x v="16"/>
    <n v="0"/>
    <x v="2"/>
    <x v="1"/>
    <n v="460000"/>
    <n v="10000"/>
    <s v=""/>
    <n v="4600000000"/>
    <x v="83"/>
    <s v="DI"/>
    <n v="105.8"/>
    <m/>
    <x v="101"/>
    <n v="252"/>
    <s v="Útil"/>
    <s v="N"/>
    <x v="1"/>
    <s v="S"/>
    <x v="1"/>
    <x v="10"/>
    <x v="1"/>
    <x v="69"/>
  </r>
  <r>
    <n v="0"/>
    <s v="Cielo4363444412"/>
    <n v="10"/>
    <s v="CIELO S.A."/>
    <s v="Cielo"/>
    <x v="0"/>
    <n v="0"/>
    <s v="CIEL15    "/>
    <n v="2"/>
    <x v="87"/>
    <d v="2021-08-04T00:00:00"/>
    <x v="49"/>
    <n v="0"/>
    <x v="2"/>
    <x v="1"/>
    <n v="3000000"/>
    <n v="1000"/>
    <s v=""/>
    <n v="3000000000"/>
    <x v="84"/>
    <s v="DI"/>
    <n v="103.8"/>
    <m/>
    <x v="102"/>
    <n v="252"/>
    <s v="Útil"/>
    <s v="N"/>
    <x v="1"/>
    <s v="S"/>
    <x v="1"/>
    <x v="6"/>
    <x v="0"/>
    <x v="70"/>
  </r>
  <r>
    <n v="30"/>
    <s v="Cielo4122916/11/2022"/>
    <n v="10"/>
    <s v="Cielo SA"/>
    <s v="Cielo"/>
    <x v="1"/>
    <n v="1"/>
    <m/>
    <n v="3"/>
    <x v="88"/>
    <s v="16/11/2022"/>
    <x v="1"/>
    <n v="1"/>
    <x v="5"/>
    <x v="1"/>
    <m/>
    <m/>
    <n v="2.0706000000000002"/>
    <n v="470000000"/>
    <x v="85"/>
    <s v="USD"/>
    <s v="-"/>
    <n v="3.75"/>
    <x v="103"/>
    <n v="360"/>
    <s v="Corrido"/>
    <s v="N"/>
    <x v="1"/>
    <s v="N"/>
    <x v="0"/>
    <x v="10"/>
    <x v="1"/>
    <x v="71"/>
  </r>
  <r>
    <n v="31"/>
    <s v="Cielo4122916/11/2022"/>
    <n v="10"/>
    <s v="Cielo USA Inc"/>
    <s v="Cielo"/>
    <x v="1"/>
    <n v="1"/>
    <m/>
    <n v="4"/>
    <x v="88"/>
    <s v="16/11/2022"/>
    <x v="1"/>
    <n v="1"/>
    <x v="1"/>
    <x v="0"/>
    <m/>
    <m/>
    <n v="2.0706000000000002"/>
    <n v="405000000"/>
    <x v="86"/>
    <s v="USD"/>
    <s v="-"/>
    <n v="3.75"/>
    <x v="103"/>
    <n v="360"/>
    <s v="Corrido"/>
    <s v="N"/>
    <x v="1"/>
    <s v="N"/>
    <x v="0"/>
    <x v="10"/>
    <x v="1"/>
    <x v="71"/>
  </r>
  <r>
    <n v="0"/>
    <s v="Cosan4118343374"/>
    <n v="11"/>
    <s v="COSAN S.A."/>
    <s v="Cosan"/>
    <x v="0"/>
    <n v="0"/>
    <s v="COIC11    "/>
    <n v="1"/>
    <x v="89"/>
    <d v="2018-10-01T00:00:00"/>
    <x v="7"/>
    <n v="1"/>
    <x v="2"/>
    <x v="1"/>
    <n v="1900"/>
    <n v="1000000"/>
    <s v=""/>
    <n v="1900000000"/>
    <x v="87"/>
    <s v="DI"/>
    <n v="123"/>
    <m/>
    <x v="104"/>
    <n v="252"/>
    <s v="Útil"/>
    <s v="N"/>
    <x v="1"/>
    <s v="S"/>
    <x v="1"/>
    <x v="6"/>
    <x v="0"/>
    <x v="72"/>
  </r>
  <r>
    <n v="0"/>
    <s v="Cosan4118344105"/>
    <n v="11"/>
    <s v="COSAN S.A."/>
    <s v="Cosan"/>
    <x v="0"/>
    <n v="0"/>
    <s v="COIC21    "/>
    <n v="2"/>
    <x v="89"/>
    <d v="2020-10-01T00:00:00"/>
    <x v="13"/>
    <n v="1"/>
    <x v="2"/>
    <x v="1"/>
    <n v="1400"/>
    <n v="1000000"/>
    <s v=""/>
    <n v="1400000000"/>
    <x v="73"/>
    <s v="DI"/>
    <n v="123"/>
    <m/>
    <x v="105"/>
    <n v="252"/>
    <s v="Útil"/>
    <s v="N"/>
    <x v="1"/>
    <s v="S"/>
    <x v="1"/>
    <x v="6"/>
    <x v="0"/>
    <x v="72"/>
  </r>
  <r>
    <n v="0"/>
    <s v="Cosan4352444255"/>
    <n v="11"/>
    <s v="COSAN S.A."/>
    <s v="Cosan"/>
    <x v="0"/>
    <n v="0"/>
    <s v="CSAN12    "/>
    <n v="3"/>
    <x v="90"/>
    <d v="2021-02-28T00:00:00"/>
    <x v="50"/>
    <n v="0"/>
    <x v="2"/>
    <x v="1"/>
    <n v="1700000"/>
    <n v="1000"/>
    <s v=""/>
    <n v="1700000000"/>
    <x v="88"/>
    <s v="DI"/>
    <n v="106"/>
    <m/>
    <x v="106"/>
    <n v="252"/>
    <s v="Útil"/>
    <s v="N"/>
    <x v="1"/>
    <s v="S"/>
    <x v="1"/>
    <x v="0"/>
    <x v="0"/>
    <x v="73"/>
  </r>
  <r>
    <n v="0"/>
    <s v="Cosan4439246980"/>
    <n v="11"/>
    <s v="COSAN S.A."/>
    <s v="Cosan"/>
    <x v="0"/>
    <n v="0"/>
    <s v="CSAN13    "/>
    <n v="4"/>
    <x v="91"/>
    <d v="2028-08-15T00:00:00"/>
    <x v="51"/>
    <n v="1"/>
    <x v="2"/>
    <x v="1"/>
    <n v="750000"/>
    <n v="1000"/>
    <s v=""/>
    <n v="750000000"/>
    <x v="89"/>
    <s v="DI"/>
    <n v="100"/>
    <n v="1.65"/>
    <x v="107"/>
    <n v="252"/>
    <s v="Útil"/>
    <s v="N"/>
    <x v="1"/>
    <s v="S"/>
    <x v="1"/>
    <x v="0"/>
    <x v="0"/>
    <x v="7"/>
  </r>
  <r>
    <n v="0"/>
    <s v="Cosan4439248075"/>
    <n v="11"/>
    <s v="COSAN S.A."/>
    <s v="Cosan"/>
    <x v="0"/>
    <n v="0"/>
    <s v="CSAN23    "/>
    <n v="5"/>
    <x v="91"/>
    <d v="2031-08-15T00:00:00"/>
    <x v="52"/>
    <n v="1"/>
    <x v="2"/>
    <x v="1"/>
    <n v="900000"/>
    <n v="1000"/>
    <s v=""/>
    <n v="900000000"/>
    <x v="90"/>
    <s v="DI"/>
    <n v="100"/>
    <n v="2"/>
    <x v="108"/>
    <n v="252"/>
    <s v="Útil"/>
    <s v="N"/>
    <x v="1"/>
    <s v="S"/>
    <x v="1"/>
    <x v="0"/>
    <x v="0"/>
    <x v="7"/>
  </r>
  <r>
    <n v="0"/>
    <s v="Cosan4439248075"/>
    <n v="11"/>
    <s v="COSAN S.A."/>
    <s v="Cosan"/>
    <x v="0"/>
    <n v="0"/>
    <s v="CSAN33    "/>
    <n v="6"/>
    <x v="91"/>
    <d v="2031-08-15T00:00:00"/>
    <x v="52"/>
    <n v="1"/>
    <x v="2"/>
    <x v="1"/>
    <n v="350000"/>
    <n v="1000"/>
    <s v=""/>
    <n v="350000000"/>
    <x v="14"/>
    <s v="IPCA"/>
    <s v="-"/>
    <n v="5.7530999999999999"/>
    <x v="109"/>
    <n v="252"/>
    <s v="Útil"/>
    <s v="N"/>
    <x v="1"/>
    <s v="S"/>
    <x v="1"/>
    <x v="0"/>
    <x v="0"/>
    <x v="7"/>
  </r>
  <r>
    <n v="0"/>
    <s v="Cosan4406845894"/>
    <n v="11"/>
    <s v="COSAN S.A."/>
    <s v="Cosan"/>
    <x v="0"/>
    <n v="0"/>
    <s v="RLOG11    "/>
    <n v="7"/>
    <x v="92"/>
    <d v="2025-08-25T00:00:00"/>
    <x v="4"/>
    <n v="1"/>
    <x v="2"/>
    <x v="1"/>
    <n v="1740000"/>
    <n v="1000"/>
    <s v=""/>
    <n v="1740000000"/>
    <x v="91"/>
    <s v="DI"/>
    <n v="100"/>
    <n v="2.65"/>
    <x v="110"/>
    <n v="252"/>
    <s v="Útil"/>
    <s v="N"/>
    <x v="1"/>
    <s v="S"/>
    <x v="1"/>
    <x v="0"/>
    <x v="0"/>
    <x v="8"/>
  </r>
  <r>
    <n v="32"/>
    <s v="Cosan4299820/09/2024"/>
    <n v="11"/>
    <s v="Cosan Ltd"/>
    <s v="Cosan"/>
    <x v="1"/>
    <n v="1"/>
    <m/>
    <n v="8"/>
    <x v="93"/>
    <s v="20/09/2024"/>
    <x v="8"/>
    <n v="1"/>
    <x v="5"/>
    <x v="1"/>
    <m/>
    <m/>
    <n v="3.1274999999999999"/>
    <n v="203636000"/>
    <x v="92"/>
    <s v="USD"/>
    <s v="-"/>
    <n v="5.95"/>
    <x v="111"/>
    <n v="360"/>
    <s v="Corrido"/>
    <s v="N"/>
    <x v="1"/>
    <s v="S"/>
    <x v="1"/>
    <x v="6"/>
    <x v="0"/>
    <x v="17"/>
  </r>
  <r>
    <n v="33"/>
    <s v="Cosan4254120/01/2027"/>
    <n v="11"/>
    <s v="Cosan Luxembourg SA"/>
    <s v="Cosan"/>
    <x v="1"/>
    <n v="1"/>
    <m/>
    <n v="9"/>
    <x v="94"/>
    <s v="20/01/2027"/>
    <x v="53"/>
    <n v="1"/>
    <x v="1"/>
    <x v="0"/>
    <m/>
    <m/>
    <n v="3.3828999999999998"/>
    <n v="500000000"/>
    <x v="93"/>
    <s v="USD"/>
    <s v="-"/>
    <n v="7"/>
    <x v="112"/>
    <n v="360"/>
    <s v="Corrido"/>
    <s v="N"/>
    <x v="1"/>
    <s v="S"/>
    <x v="1"/>
    <x v="6"/>
    <x v="0"/>
    <x v="74"/>
  </r>
  <r>
    <n v="34"/>
    <s v="Cosan4134714/03/2023"/>
    <n v="11"/>
    <s v="Cosan Luxembourg SA"/>
    <s v="Cosan"/>
    <x v="1"/>
    <n v="1"/>
    <m/>
    <n v="10"/>
    <x v="95"/>
    <s v="14/03/2023"/>
    <x v="1"/>
    <n v="1"/>
    <x v="1"/>
    <x v="0"/>
    <m/>
    <m/>
    <n v="1.9671000000000001"/>
    <n v="500000000"/>
    <x v="94"/>
    <s v="USD"/>
    <s v="-"/>
    <n v="5"/>
    <x v="113"/>
    <n v="360"/>
    <s v="Corrido"/>
    <s v="N"/>
    <x v="1"/>
    <s v="S"/>
    <x v="1"/>
    <x v="6"/>
    <x v="0"/>
    <x v="30"/>
  </r>
  <r>
    <n v="35"/>
    <s v="Cosan4256920/01/2027"/>
    <n v="11"/>
    <s v="Cosan Luxembourg SA"/>
    <s v="Cosan"/>
    <x v="1"/>
    <n v="1"/>
    <m/>
    <n v="11"/>
    <x v="96"/>
    <s v="20/01/2027"/>
    <x v="54"/>
    <n v="1"/>
    <x v="1"/>
    <x v="0"/>
    <m/>
    <m/>
    <n v="3.2627999999999999"/>
    <n v="150000000"/>
    <x v="95"/>
    <s v="USD"/>
    <s v="-"/>
    <n v="7"/>
    <x v="114"/>
    <n v="360"/>
    <s v="Corrido"/>
    <s v="N"/>
    <x v="1"/>
    <s v="S"/>
    <x v="1"/>
    <x v="6"/>
    <x v="0"/>
    <x v="45"/>
  </r>
  <r>
    <n v="36"/>
    <s v="Cosan4367720/09/2029"/>
    <n v="11"/>
    <s v="Cosan SA"/>
    <s v="Cosan"/>
    <x v="1"/>
    <n v="1"/>
    <m/>
    <n v="12"/>
    <x v="97"/>
    <s v="20/09/2029"/>
    <x v="55"/>
    <n v="1"/>
    <x v="5"/>
    <x v="1"/>
    <m/>
    <m/>
    <n v="3.7643"/>
    <n v="750000000"/>
    <x v="96"/>
    <s v="USD"/>
    <s v="-"/>
    <n v="5.5"/>
    <x v="115"/>
    <n v="360"/>
    <s v="Corrido"/>
    <s v="N"/>
    <x v="1"/>
    <s v="S"/>
    <x v="1"/>
    <x v="0"/>
    <x v="0"/>
    <x v="34"/>
  </r>
  <r>
    <n v="0"/>
    <s v="CSN4439248044"/>
    <n v="12"/>
    <s v="CSN MINERACAO S.A."/>
    <s v="CSN"/>
    <x v="0"/>
    <n v="0"/>
    <s v="CMIN11    "/>
    <n v="1"/>
    <x v="91"/>
    <d v="2031-07-15T00:00:00"/>
    <x v="1"/>
    <n v="1"/>
    <x v="2"/>
    <x v="1"/>
    <n v="576448"/>
    <n v="1000"/>
    <s v=""/>
    <n v="576448000"/>
    <x v="97"/>
    <s v="IPCA"/>
    <s v="-"/>
    <n v="4.8789999999999996"/>
    <x v="116"/>
    <n v="252"/>
    <s v="Útil"/>
    <s v="S"/>
    <x v="0"/>
    <s v="N"/>
    <x v="0"/>
    <x v="0"/>
    <x v="0"/>
    <x v="7"/>
  </r>
  <r>
    <n v="0"/>
    <s v="CSN4439249871"/>
    <n v="12"/>
    <s v="CSN MINERACAO S.A."/>
    <s v="CSN"/>
    <x v="0"/>
    <n v="0"/>
    <s v="CMIN21    "/>
    <n v="2"/>
    <x v="91"/>
    <d v="2036-07-15T00:00:00"/>
    <x v="56"/>
    <n v="1"/>
    <x v="2"/>
    <x v="1"/>
    <n v="423552"/>
    <n v="1000"/>
    <s v=""/>
    <n v="423552000"/>
    <x v="98"/>
    <s v="IPCA"/>
    <s v="-"/>
    <n v="5.0209999999999999"/>
    <x v="117"/>
    <n v="252"/>
    <s v="Útil"/>
    <s v="S"/>
    <x v="0"/>
    <s v="N"/>
    <x v="0"/>
    <x v="0"/>
    <x v="0"/>
    <x v="7"/>
  </r>
  <r>
    <n v="37"/>
    <s v="CSN4385828/01/2028"/>
    <n v="12"/>
    <s v="CSN Inova Ventures"/>
    <s v="CSN"/>
    <x v="1"/>
    <n v="1"/>
    <m/>
    <n v="3"/>
    <x v="98"/>
    <s v="28/01/2028"/>
    <x v="13"/>
    <n v="1"/>
    <x v="1"/>
    <x v="0"/>
    <m/>
    <m/>
    <n v="4.2058"/>
    <n v="1000000000"/>
    <x v="99"/>
    <s v="USD"/>
    <s v="-"/>
    <n v="6.75"/>
    <x v="118"/>
    <n v="360"/>
    <s v="Corrido"/>
    <s v="N"/>
    <x v="1"/>
    <s v="S"/>
    <x v="1"/>
    <x v="9"/>
    <x v="0"/>
    <x v="75"/>
  </r>
  <r>
    <n v="38"/>
    <s v="CSN4415128/01/2028"/>
    <n v="12"/>
    <s v="CSN Inova Ventures"/>
    <s v="CSN"/>
    <x v="1"/>
    <n v="1"/>
    <m/>
    <n v="4"/>
    <x v="99"/>
    <s v="28/01/2028"/>
    <x v="57"/>
    <n v="1"/>
    <x v="1"/>
    <x v="0"/>
    <m/>
    <m/>
    <n v="5.4192"/>
    <n v="300000000"/>
    <x v="100"/>
    <s v="USD"/>
    <s v="-"/>
    <n v="6.75"/>
    <x v="119"/>
    <n v="360"/>
    <s v="Corrido"/>
    <s v="N"/>
    <x v="1"/>
    <s v="S"/>
    <x v="1"/>
    <x v="9"/>
    <x v="0"/>
    <x v="0"/>
  </r>
  <r>
    <n v="39"/>
    <s v="CSN4435710/06/2031"/>
    <n v="12"/>
    <s v="CSN Resources SA"/>
    <s v="CSN"/>
    <x v="1"/>
    <n v="1"/>
    <m/>
    <n v="5"/>
    <x v="100"/>
    <s v="10/06/2031"/>
    <x v="1"/>
    <n v="1"/>
    <x v="1"/>
    <x v="0"/>
    <m/>
    <m/>
    <n v="5.0635000000000003"/>
    <n v="850000000"/>
    <x v="101"/>
    <s v="USD"/>
    <s v="-"/>
    <n v="4.625"/>
    <x v="120"/>
    <n v="360"/>
    <s v="Corrido"/>
    <s v="N"/>
    <x v="1"/>
    <s v="S"/>
    <x v="1"/>
    <x v="0"/>
    <x v="0"/>
    <x v="40"/>
  </r>
  <r>
    <n v="40"/>
    <s v="CSN4357217/04/2026"/>
    <n v="12"/>
    <s v="CSN Resources SA"/>
    <s v="CSN"/>
    <x v="1"/>
    <n v="1"/>
    <m/>
    <n v="6"/>
    <x v="101"/>
    <s v="17/04/2026"/>
    <x v="8"/>
    <n v="1"/>
    <x v="1"/>
    <x v="0"/>
    <m/>
    <m/>
    <n v="3.9218999999999999"/>
    <n v="600000000"/>
    <x v="102"/>
    <s v="USD"/>
    <s v="-"/>
    <n v="7.625"/>
    <x v="121"/>
    <n v="360"/>
    <s v="Corrido"/>
    <s v="N"/>
    <x v="1"/>
    <s v="S"/>
    <x v="1"/>
    <x v="9"/>
    <x v="0"/>
    <x v="76"/>
  </r>
  <r>
    <n v="41"/>
    <s v="CSN4314013/02/2023"/>
    <n v="12"/>
    <s v="CSN Resources SA"/>
    <s v="CSN"/>
    <x v="1"/>
    <n v="1"/>
    <m/>
    <n v="7"/>
    <x v="102"/>
    <s v="13/02/2023"/>
    <x v="58"/>
    <n v="1"/>
    <x v="1"/>
    <x v="0"/>
    <m/>
    <m/>
    <n v="3.2814999999999999"/>
    <n v="350000000"/>
    <x v="103"/>
    <s v="USD"/>
    <s v="-"/>
    <n v="7.625"/>
    <x v="122"/>
    <n v="360"/>
    <s v="Corrido"/>
    <s v="N"/>
    <x v="1"/>
    <s v="S"/>
    <x v="1"/>
    <x v="3"/>
    <x v="0"/>
    <x v="77"/>
  </r>
  <r>
    <n v="42"/>
    <s v="CSN4364813/02/2023"/>
    <n v="12"/>
    <s v="CSN Resources SA"/>
    <s v="CSN"/>
    <x v="1"/>
    <n v="1"/>
    <m/>
    <n v="8"/>
    <x v="103"/>
    <s v="13/02/2023"/>
    <x v="59"/>
    <n v="0"/>
    <x v="1"/>
    <x v="0"/>
    <m/>
    <m/>
    <n v="3.8557999999999999"/>
    <n v="175000000"/>
    <x v="104"/>
    <s v="USD"/>
    <s v="-"/>
    <n v="7.625"/>
    <x v="123"/>
    <n v="360"/>
    <s v="Corrido"/>
    <s v="N"/>
    <x v="1"/>
    <s v="S"/>
    <x v="1"/>
    <x v="9"/>
    <x v="0"/>
    <x v="28"/>
  </r>
  <r>
    <n v="43"/>
    <s v="CSN4094221/07/2020"/>
    <n v="12"/>
    <s v="CSN Resources SA"/>
    <s v="CSN"/>
    <x v="1"/>
    <n v="1"/>
    <m/>
    <n v="9"/>
    <x v="104"/>
    <s v="21/07/2020"/>
    <x v="60"/>
    <n v="1"/>
    <x v="1"/>
    <x v="0"/>
    <m/>
    <m/>
    <n v="1.7216"/>
    <n v="200000000"/>
    <x v="105"/>
    <s v="USD"/>
    <s v="-"/>
    <n v="6.5"/>
    <x v="124"/>
    <n v="360"/>
    <s v="Corrido"/>
    <s v="N"/>
    <x v="1"/>
    <s v="S"/>
    <x v="1"/>
    <x v="2"/>
    <x v="1"/>
    <x v="68"/>
  </r>
  <r>
    <n v="44"/>
    <s v="CSN4357213/02/2023"/>
    <n v="12"/>
    <s v="CSN Resources SA"/>
    <s v="CSN"/>
    <x v="1"/>
    <n v="1"/>
    <m/>
    <n v="10"/>
    <x v="101"/>
    <s v="13/02/2023"/>
    <x v="61"/>
    <n v="0"/>
    <x v="1"/>
    <x v="0"/>
    <m/>
    <m/>
    <n v="3.9218999999999999"/>
    <n v="400000000"/>
    <x v="106"/>
    <s v="USD"/>
    <s v="-"/>
    <n v="7.625"/>
    <x v="125"/>
    <n v="360"/>
    <s v="Corrido"/>
    <s v="N"/>
    <x v="1"/>
    <s v="S"/>
    <x v="1"/>
    <x v="9"/>
    <x v="0"/>
    <x v="76"/>
  </r>
  <r>
    <n v="0"/>
    <s v="Eldorado4445945555"/>
    <n v="13"/>
    <s v="ELDORADO BRASIL CELULOSE S.A."/>
    <s v="Eldorado"/>
    <x v="0"/>
    <n v="0"/>
    <s v="ELDC14    "/>
    <n v="1"/>
    <x v="105"/>
    <d v="2024-09-20T00:00:00"/>
    <x v="16"/>
    <n v="0"/>
    <x v="2"/>
    <x v="1"/>
    <n v="700000"/>
    <n v="1000"/>
    <s v=""/>
    <n v="700000000"/>
    <x v="12"/>
    <s v="DI"/>
    <n v="100"/>
    <n v="3"/>
    <x v="2"/>
    <n v="252"/>
    <s v="Útil"/>
    <s v="N"/>
    <x v="1"/>
    <s v="S"/>
    <x v="1"/>
    <x v="11"/>
    <x v="0"/>
    <x v="78"/>
  </r>
  <r>
    <n v="0"/>
    <s v="Eldorado4124446722"/>
    <n v="13"/>
    <s v="ELDORADO BRASIL CELULOSE S.A."/>
    <s v="Eldorado"/>
    <x v="0"/>
    <n v="0"/>
    <s v="ELDO12    "/>
    <n v="2"/>
    <x v="106"/>
    <d v="2027-12-01T00:00:00"/>
    <x v="62"/>
    <n v="1"/>
    <x v="2"/>
    <x v="1"/>
    <n v="940000"/>
    <n v="1000"/>
    <s v=""/>
    <n v="940000000"/>
    <x v="107"/>
    <s v="IPCA"/>
    <s v="-"/>
    <n v="7.41"/>
    <x v="126"/>
    <n v="252"/>
    <s v="Útil"/>
    <s v="N"/>
    <x v="1"/>
    <s v="S"/>
    <x v="1"/>
    <x v="1"/>
    <x v="0"/>
    <x v="27"/>
  </r>
  <r>
    <n v="45"/>
    <s v="Eldorado4253716/06/2021"/>
    <n v="13"/>
    <s v="Eldorado Intl. Finance GmbH"/>
    <s v="Eldorado"/>
    <x v="1"/>
    <n v="1"/>
    <m/>
    <n v="3"/>
    <x v="107"/>
    <s v="16/06/2021"/>
    <x v="4"/>
    <n v="1"/>
    <x v="1"/>
    <x v="0"/>
    <m/>
    <m/>
    <n v="3.4897999999999998"/>
    <n v="350000000"/>
    <x v="108"/>
    <s v="USD"/>
    <s v="-"/>
    <n v="8.625"/>
    <x v="127"/>
    <n v="360"/>
    <s v="Corrido"/>
    <s v="N"/>
    <x v="1"/>
    <s v="S"/>
    <x v="1"/>
    <x v="8"/>
    <x v="0"/>
    <x v="79"/>
  </r>
  <r>
    <n v="0"/>
    <s v="Eletrobras4358044676"/>
    <n v="14"/>
    <s v="CENTRAIS ELETRICAS BRAS.S/A - ELETROBRAS"/>
    <s v="Eletrobras"/>
    <x v="0"/>
    <n v="0"/>
    <s v="ELET12    "/>
    <n v="1"/>
    <x v="108"/>
    <d v="2022-04-25T00:00:00"/>
    <x v="16"/>
    <n v="0"/>
    <x v="2"/>
    <x v="1"/>
    <n v="1100000"/>
    <n v="1000"/>
    <s v=""/>
    <n v="1100000000"/>
    <x v="109"/>
    <s v="DI"/>
    <n v="100"/>
    <n v="0.7"/>
    <x v="128"/>
    <n v="252"/>
    <s v="Útil"/>
    <s v="N"/>
    <x v="1"/>
    <s v="S"/>
    <x v="1"/>
    <x v="11"/>
    <x v="0"/>
    <x v="52"/>
  </r>
  <r>
    <n v="0"/>
    <s v="Eletrobras4430146127"/>
    <n v="14"/>
    <s v="CENTRAIS ELETRICAS BRAS.S/A - ELETROBRAS"/>
    <s v="Eletrobras"/>
    <x v="0"/>
    <n v="0"/>
    <s v="ELET13    "/>
    <n v="2"/>
    <x v="109"/>
    <d v="2026-04-15T00:00:00"/>
    <x v="4"/>
    <n v="1"/>
    <x v="2"/>
    <x v="1"/>
    <n v="1200000"/>
    <n v="1000"/>
    <s v=""/>
    <n v="1200000000"/>
    <x v="110"/>
    <s v="DI"/>
    <n v="100"/>
    <n v="1.8"/>
    <x v="5"/>
    <n v="252"/>
    <s v="Útil"/>
    <s v="N"/>
    <x v="1"/>
    <s v="N"/>
    <x v="0"/>
    <x v="11"/>
    <x v="0"/>
    <x v="80"/>
  </r>
  <r>
    <n v="0"/>
    <s v="Eletrobras4358045407"/>
    <n v="14"/>
    <s v="CENTRAIS ELETRICAS BRAS.S/A - ELETROBRAS"/>
    <s v="Eletrobras"/>
    <x v="0"/>
    <n v="0"/>
    <s v="ELET22    "/>
    <n v="3"/>
    <x v="108"/>
    <d v="2024-04-25T00:00:00"/>
    <x v="5"/>
    <n v="1"/>
    <x v="2"/>
    <x v="1"/>
    <n v="2200000"/>
    <n v="1000"/>
    <s v=""/>
    <n v="2200000000"/>
    <x v="111"/>
    <s v="DI"/>
    <n v="100"/>
    <n v="1"/>
    <x v="129"/>
    <n v="252"/>
    <s v="Útil"/>
    <s v="N"/>
    <x v="1"/>
    <s v="S"/>
    <x v="1"/>
    <x v="11"/>
    <x v="0"/>
    <x v="52"/>
  </r>
  <r>
    <n v="0"/>
    <s v="Eletrobras4430147953"/>
    <n v="14"/>
    <s v="CENTRAIS ELETRICAS BRAS.S/A - ELETROBRAS"/>
    <s v="Eletrobras"/>
    <x v="0"/>
    <n v="0"/>
    <s v="ELET23    "/>
    <n v="4"/>
    <x v="109"/>
    <d v="2031-04-15T00:00:00"/>
    <x v="1"/>
    <n v="1"/>
    <x v="2"/>
    <x v="1"/>
    <n v="1500000"/>
    <n v="1000"/>
    <s v=""/>
    <n v="1500000000"/>
    <x v="71"/>
    <s v="IPCA"/>
    <s v="-"/>
    <n v="4.9126000000000003"/>
    <x v="130"/>
    <n v="252"/>
    <s v="Útil"/>
    <s v="S"/>
    <x v="0"/>
    <s v="N"/>
    <x v="0"/>
    <x v="11"/>
    <x v="0"/>
    <x v="80"/>
  </r>
  <r>
    <n v="0"/>
    <s v="Eletrobras4358046137"/>
    <n v="14"/>
    <s v="CENTRAIS ELETRICAS BRAS.S/A - ELETROBRAS"/>
    <s v="Eletrobras"/>
    <x v="0"/>
    <n v="0"/>
    <s v="ELET32    "/>
    <n v="5"/>
    <x v="108"/>
    <d v="2026-04-25T00:00:00"/>
    <x v="8"/>
    <n v="1"/>
    <x v="2"/>
    <x v="1"/>
    <n v="1000000"/>
    <n v="1000"/>
    <s v=""/>
    <n v="1000000000"/>
    <x v="18"/>
    <s v="DI"/>
    <n v="100"/>
    <n v="1.2"/>
    <x v="131"/>
    <n v="252"/>
    <s v="Útil"/>
    <s v="N"/>
    <x v="1"/>
    <s v="S"/>
    <x v="1"/>
    <x v="11"/>
    <x v="0"/>
    <x v="52"/>
  </r>
  <r>
    <n v="0"/>
    <s v="Eletrobras4358047253"/>
    <n v="14"/>
    <s v="CENTRAIS ELETRICAS BRAS.S/A - ELETROBRAS"/>
    <s v="Eletrobras"/>
    <x v="0"/>
    <n v="0"/>
    <s v="ELET42    "/>
    <n v="6"/>
    <x v="108"/>
    <d v="2029-05-15T00:00:00"/>
    <x v="63"/>
    <n v="1"/>
    <x v="2"/>
    <x v="1"/>
    <n v="700000"/>
    <n v="1000"/>
    <s v=""/>
    <n v="700000000"/>
    <x v="12"/>
    <s v="IPCA"/>
    <s v="-"/>
    <n v="5.1814"/>
    <x v="132"/>
    <n v="252"/>
    <s v="Útil"/>
    <s v="S"/>
    <x v="0"/>
    <s v="N"/>
    <x v="0"/>
    <x v="11"/>
    <x v="0"/>
    <x v="52"/>
  </r>
  <r>
    <n v="46"/>
    <s v="Eletrobras4386504/02/2030"/>
    <n v="14"/>
    <s v="Centrais Eletricas Brasileiras SA"/>
    <s v="Eletrobras"/>
    <x v="1"/>
    <n v="1"/>
    <m/>
    <n v="7"/>
    <x v="110"/>
    <s v="04/02/2030"/>
    <x v="12"/>
    <n v="1"/>
    <x v="5"/>
    <x v="1"/>
    <m/>
    <m/>
    <n v="4.2374999999999998"/>
    <n v="750000000"/>
    <x v="112"/>
    <s v="USD"/>
    <s v="-"/>
    <n v="4.625"/>
    <x v="133"/>
    <n v="360"/>
    <s v="Corrido"/>
    <s v="N"/>
    <x v="1"/>
    <s v="N"/>
    <x v="0"/>
    <x v="11"/>
    <x v="0"/>
    <x v="3"/>
  </r>
  <r>
    <n v="47"/>
    <s v="Eletrobras4386504/02/2025"/>
    <n v="14"/>
    <s v="Centrais Eletricas Brasileiras SA"/>
    <s v="Eletrobras"/>
    <x v="1"/>
    <n v="1"/>
    <m/>
    <n v="8"/>
    <x v="110"/>
    <s v="04/02/2025"/>
    <x v="5"/>
    <n v="1"/>
    <x v="5"/>
    <x v="1"/>
    <m/>
    <m/>
    <n v="4.2374999999999998"/>
    <n v="500000000"/>
    <x v="113"/>
    <s v="USD"/>
    <s v="-"/>
    <n v="3.625"/>
    <x v="134"/>
    <n v="360"/>
    <s v="Corrido"/>
    <s v="N"/>
    <x v="1"/>
    <s v="N"/>
    <x v="0"/>
    <x v="11"/>
    <x v="0"/>
    <x v="3"/>
  </r>
  <r>
    <n v="48"/>
    <s v="Eletrobras4084327/10/2021"/>
    <n v="14"/>
    <s v="Centrais Eletricas Brasileiras SA"/>
    <s v="Eletrobras"/>
    <x v="1"/>
    <n v="1"/>
    <m/>
    <n v="9"/>
    <x v="111"/>
    <s v="27/10/2021"/>
    <x v="12"/>
    <n v="1"/>
    <x v="5"/>
    <x v="1"/>
    <m/>
    <m/>
    <n v="1.7316"/>
    <n v="1750000000"/>
    <x v="114"/>
    <s v="USD"/>
    <s v="-"/>
    <n v="5.75"/>
    <x v="135"/>
    <n v="360"/>
    <s v="Corrido"/>
    <s v="N"/>
    <x v="1"/>
    <s v="N"/>
    <x v="0"/>
    <x v="7"/>
    <x v="1"/>
    <x v="81"/>
  </r>
  <r>
    <n v="0"/>
    <s v="Equatorial4271944545"/>
    <n v="15"/>
    <s v="EQUATORIAL PARA DISTRIBUIDORA DE ENERGIA S.A."/>
    <s v="Equatorial"/>
    <x v="0"/>
    <n v="0"/>
    <s v="CLPP13    "/>
    <n v="1"/>
    <x v="52"/>
    <d v="2021-12-15T00:00:00"/>
    <x v="4"/>
    <n v="1"/>
    <x v="2"/>
    <x v="1"/>
    <n v="199069"/>
    <n v="1000"/>
    <s v=""/>
    <n v="199069000"/>
    <x v="115"/>
    <s v="IPCA"/>
    <s v="-"/>
    <n v="6.6970999999999998"/>
    <x v="136"/>
    <n v="252"/>
    <s v="Útil"/>
    <s v="S"/>
    <x v="0"/>
    <s v="S"/>
    <x v="1"/>
    <x v="1"/>
    <x v="0"/>
    <x v="45"/>
  </r>
  <r>
    <n v="0"/>
    <s v="Equatorial4271943814"/>
    <n v="15"/>
    <s v="EQUATORIAL PARA DISTRIBUIDORA DE ENERGIA S.A."/>
    <s v="Equatorial"/>
    <x v="0"/>
    <n v="0"/>
    <s v="CLPP14    "/>
    <n v="2"/>
    <x v="52"/>
    <d v="2019-12-15T00:00:00"/>
    <x v="6"/>
    <n v="0"/>
    <x v="2"/>
    <x v="1"/>
    <n v="50000"/>
    <n v="10000"/>
    <s v=""/>
    <n v="500000000"/>
    <x v="10"/>
    <s v="DI"/>
    <n v="116"/>
    <m/>
    <x v="137"/>
    <n v="252"/>
    <s v="Útil"/>
    <s v="N"/>
    <x v="1"/>
    <s v="S"/>
    <x v="1"/>
    <x v="1"/>
    <x v="0"/>
    <x v="45"/>
  </r>
  <r>
    <n v="0"/>
    <s v="Equatorial4271945275"/>
    <n v="15"/>
    <s v="EQUATORIAL PARA DISTRIBUIDORA DE ENERGIA S.A."/>
    <s v="Equatorial"/>
    <x v="0"/>
    <n v="0"/>
    <s v="CLPP23    "/>
    <n v="3"/>
    <x v="52"/>
    <d v="2023-12-15T00:00:00"/>
    <x v="18"/>
    <n v="1"/>
    <x v="2"/>
    <x v="1"/>
    <n v="100931"/>
    <n v="1000"/>
    <s v=""/>
    <n v="100931000"/>
    <x v="116"/>
    <s v="IPCA"/>
    <s v="-"/>
    <n v="6.8701999999999996"/>
    <x v="138"/>
    <n v="252"/>
    <s v="Útil"/>
    <s v="S"/>
    <x v="0"/>
    <s v="S"/>
    <x v="1"/>
    <x v="1"/>
    <x v="0"/>
    <x v="45"/>
  </r>
  <r>
    <n v="49"/>
    <s v="Equatorial4069703/06/2016"/>
    <n v="15"/>
    <s v="EQUATORIAL PARA DISTRIBUIDORA"/>
    <s v="Equatorial"/>
    <x v="1"/>
    <n v="1"/>
    <m/>
    <n v="4"/>
    <x v="112"/>
    <s v="03/06/2016"/>
    <x v="5"/>
    <n v="1"/>
    <x v="5"/>
    <x v="1"/>
    <m/>
    <m/>
    <n v="1.5736000000000001"/>
    <n v="250000000"/>
    <x v="117"/>
    <s v="USD"/>
    <s v="-"/>
    <n v="10.5"/>
    <x v="139"/>
    <n v="360"/>
    <s v="Corrido"/>
    <s v="N"/>
    <x v="1"/>
    <s v="S"/>
    <x v="1"/>
    <x v="9"/>
    <x v="0"/>
    <x v="50"/>
  </r>
  <r>
    <n v="0"/>
    <s v="Gerdau4342544886"/>
    <n v="16"/>
    <s v="GERDAU S/A"/>
    <s v="Gerdau"/>
    <x v="0"/>
    <n v="0"/>
    <s v="GGBRA5    "/>
    <n v="1"/>
    <x v="113"/>
    <d v="2022-11-21T00:00:00"/>
    <x v="46"/>
    <n v="0"/>
    <x v="2"/>
    <x v="1"/>
    <n v="1500000"/>
    <n v="1000"/>
    <s v=""/>
    <n v="1500000000"/>
    <x v="71"/>
    <s v="DI"/>
    <n v="106.5"/>
    <m/>
    <x v="140"/>
    <n v="252"/>
    <s v="Útil"/>
    <s v="N"/>
    <x v="1"/>
    <s v="S"/>
    <x v="1"/>
    <x v="2"/>
    <x v="1"/>
    <x v="82"/>
  </r>
  <r>
    <n v="0"/>
    <s v="Gerdau4359145052"/>
    <n v="16"/>
    <s v="GERDAU S/A"/>
    <s v="Gerdau"/>
    <x v="0"/>
    <n v="0"/>
    <s v="GGBRA6    "/>
    <n v="2"/>
    <x v="114"/>
    <d v="2023-05-06T00:00:00"/>
    <x v="46"/>
    <n v="0"/>
    <x v="2"/>
    <x v="1"/>
    <n v="600000"/>
    <n v="1000"/>
    <s v=""/>
    <n v="600000000"/>
    <x v="30"/>
    <s v="DI"/>
    <n v="105.5"/>
    <m/>
    <x v="141"/>
    <n v="252"/>
    <s v="Útil"/>
    <s v="N"/>
    <x v="1"/>
    <s v="S"/>
    <x v="1"/>
    <x v="2"/>
    <x v="1"/>
    <x v="83"/>
  </r>
  <r>
    <n v="0"/>
    <s v="Gerdau4359146148"/>
    <n v="16"/>
    <s v="GERDAU S/A"/>
    <s v="Gerdau"/>
    <x v="0"/>
    <n v="0"/>
    <s v="GGBRB6    "/>
    <n v="3"/>
    <x v="114"/>
    <d v="2026-05-06T00:00:00"/>
    <x v="8"/>
    <n v="1"/>
    <x v="2"/>
    <x v="1"/>
    <n v="800000"/>
    <n v="1000"/>
    <s v=""/>
    <n v="800000000"/>
    <x v="6"/>
    <s v="DI"/>
    <n v="107.25"/>
    <m/>
    <x v="142"/>
    <n v="252"/>
    <s v="Útil"/>
    <s v="N"/>
    <x v="1"/>
    <s v="S"/>
    <x v="1"/>
    <x v="2"/>
    <x v="1"/>
    <x v="83"/>
  </r>
  <r>
    <n v="50"/>
    <s v="Gerdau4303224/10/2027"/>
    <n v="16"/>
    <s v="Gerdau Trade Inc"/>
    <s v="Gerdau"/>
    <x v="1"/>
    <n v="1"/>
    <m/>
    <n v="4"/>
    <x v="115"/>
    <s v="24/10/2027"/>
    <x v="1"/>
    <n v="1"/>
    <x v="1"/>
    <x v="0"/>
    <m/>
    <m/>
    <n v="3.2464"/>
    <n v="650000000"/>
    <x v="118"/>
    <s v="USD"/>
    <s v="-"/>
    <n v="4.875"/>
    <x v="143"/>
    <n v="360"/>
    <s v="Corrido"/>
    <s v="N"/>
    <x v="1"/>
    <s v="N"/>
    <x v="0"/>
    <x v="2"/>
    <x v="1"/>
    <x v="84"/>
  </r>
  <r>
    <n v="51"/>
    <s v="Gerdau4137915/04/2023"/>
    <n v="16"/>
    <s v="Gerdau Trade Inc"/>
    <s v="Gerdau"/>
    <x v="1"/>
    <n v="1"/>
    <m/>
    <n v="5"/>
    <x v="116"/>
    <s v="15/04/2023"/>
    <x v="1"/>
    <n v="1"/>
    <x v="1"/>
    <x v="0"/>
    <m/>
    <m/>
    <n v="1.9783999999999999"/>
    <n v="750000000"/>
    <x v="119"/>
    <s v="USD"/>
    <s v="-"/>
    <n v="4.75"/>
    <x v="144"/>
    <n v="360"/>
    <s v="Corrido"/>
    <s v="N"/>
    <x v="1"/>
    <s v="N"/>
    <x v="0"/>
    <x v="2"/>
    <x v="1"/>
    <x v="30"/>
  </r>
  <r>
    <n v="52"/>
    <s v="Gerdau4174516/04/2044"/>
    <n v="16"/>
    <s v="GTL Trade Finance Inc"/>
    <s v="Gerdau"/>
    <x v="1"/>
    <n v="1"/>
    <m/>
    <n v="6"/>
    <x v="117"/>
    <s v="16/04/2044"/>
    <x v="33"/>
    <n v="1"/>
    <x v="1"/>
    <x v="0"/>
    <m/>
    <m/>
    <n v="2.2336"/>
    <n v="500000000"/>
    <x v="120"/>
    <s v="USD"/>
    <s v="-"/>
    <n v="7.25"/>
    <x v="145"/>
    <n v="360"/>
    <s v="Corrido"/>
    <s v="N"/>
    <x v="1"/>
    <s v="S"/>
    <x v="1"/>
    <x v="2"/>
    <x v="1"/>
    <x v="55"/>
  </r>
  <r>
    <n v="53"/>
    <s v="Gerdau4176829/04/2024"/>
    <n v="16"/>
    <s v="GTL Trade Finance Inc"/>
    <s v="Gerdau"/>
    <x v="1"/>
    <n v="1"/>
    <m/>
    <n v="7"/>
    <x v="118"/>
    <s v="29/04/2024"/>
    <x v="64"/>
    <n v="1"/>
    <x v="1"/>
    <x v="0"/>
    <m/>
    <m/>
    <n v="2.2185999999999999"/>
    <n v="600000000"/>
    <x v="121"/>
    <s v="USD"/>
    <s v="-"/>
    <n v="5.8929999999999998"/>
    <x v="146"/>
    <n v="360"/>
    <s v="Corrido"/>
    <s v="N"/>
    <x v="1"/>
    <s v="S"/>
    <x v="1"/>
    <x v="2"/>
    <x v="1"/>
    <x v="47"/>
  </r>
  <r>
    <n v="54"/>
    <s v="Gerdau4175829/04/2024"/>
    <n v="16"/>
    <s v="GTL Trade Finance Inc / Gerdau Holdings Inc"/>
    <s v="Gerdau"/>
    <x v="1"/>
    <n v="1"/>
    <m/>
    <n v="8"/>
    <x v="119"/>
    <s v="29/04/2024"/>
    <x v="12"/>
    <n v="1"/>
    <x v="1"/>
    <x v="0"/>
    <m/>
    <m/>
    <n v="2.2193000000000001"/>
    <n v="600000000"/>
    <x v="122"/>
    <s v="USD"/>
    <s v="-"/>
    <n v="5.8929999999999998"/>
    <x v="147"/>
    <n v="360"/>
    <s v="Corrido"/>
    <s v="N"/>
    <x v="1"/>
    <s v="S"/>
    <x v="1"/>
    <x v="2"/>
    <x v="1"/>
    <x v="5"/>
  </r>
  <r>
    <n v="55"/>
    <s v="Gerdau4379021/01/2030"/>
    <n v="16"/>
    <s v="GUSAP III LP"/>
    <s v="Gerdau"/>
    <x v="1"/>
    <n v="1"/>
    <m/>
    <n v="9"/>
    <x v="120"/>
    <s v="21/01/2030"/>
    <x v="65"/>
    <n v="1"/>
    <x v="1"/>
    <x v="0"/>
    <m/>
    <m/>
    <n v="4.2005999999999997"/>
    <n v="500000000"/>
    <x v="123"/>
    <s v="USD"/>
    <s v="-"/>
    <n v="4.25"/>
    <x v="148"/>
    <n v="360"/>
    <s v="Corrido"/>
    <s v="N"/>
    <x v="1"/>
    <s v="S"/>
    <x v="1"/>
    <x v="2"/>
    <x v="1"/>
    <x v="33"/>
  </r>
  <r>
    <n v="0"/>
    <s v="Gol Linhas Aéreas4070442896"/>
    <n v="17"/>
    <s v="GOL LINHAS AEREAS S/A"/>
    <s v="Gol Linhas Aéreas"/>
    <x v="0"/>
    <n v="0"/>
    <s v="VRGL15    "/>
    <n v="1"/>
    <x v="121"/>
    <d v="2017-06-10T00:00:00"/>
    <x v="11"/>
    <n v="1"/>
    <x v="2"/>
    <x v="1"/>
    <n v="500"/>
    <n v="1000000"/>
    <s v=""/>
    <n v="500000000"/>
    <x v="10"/>
    <s v="DI"/>
    <n v="128"/>
    <m/>
    <x v="149"/>
    <n v="252"/>
    <s v="Útil"/>
    <s v="N"/>
    <x v="1"/>
    <s v="S"/>
    <x v="1"/>
    <x v="11"/>
    <x v="0"/>
    <x v="85"/>
  </r>
  <r>
    <n v="0"/>
    <s v="Gol Linhas Aéreas4227643737"/>
    <n v="17"/>
    <s v="GOL LINHAS AEREAS S/A"/>
    <s v="Gol Linhas Aéreas"/>
    <x v="0"/>
    <n v="0"/>
    <s v="VRGL16    "/>
    <n v="2"/>
    <x v="122"/>
    <d v="2019-09-29T00:00:00"/>
    <x v="46"/>
    <n v="0"/>
    <x v="2"/>
    <x v="1"/>
    <n v="105000"/>
    <n v="10000"/>
    <s v=""/>
    <n v="1050000000"/>
    <x v="124"/>
    <s v="DI"/>
    <n v="132"/>
    <m/>
    <x v="150"/>
    <n v="252"/>
    <s v="Útil"/>
    <s v="N"/>
    <x v="1"/>
    <s v="S"/>
    <x v="1"/>
    <x v="3"/>
    <x v="0"/>
    <x v="86"/>
  </r>
  <r>
    <n v="0"/>
    <s v="Gol Linhas Aéreas4340145592"/>
    <n v="17"/>
    <s v="GOL LINHAS AEREAS S/A"/>
    <s v="Gol Linhas Aéreas"/>
    <x v="0"/>
    <n v="0"/>
    <s v="VRGL17    "/>
    <n v="3"/>
    <x v="123"/>
    <d v="2024-10-27T00:00:00"/>
    <x v="7"/>
    <n v="1"/>
    <x v="2"/>
    <x v="1"/>
    <n v="22187"/>
    <n v="10000"/>
    <s v=""/>
    <n v="221870000"/>
    <x v="125"/>
    <s v="DI"/>
    <n v="100"/>
    <n v="4.5"/>
    <x v="151"/>
    <n v="252"/>
    <s v="Útil"/>
    <s v="N"/>
    <x v="1"/>
    <s v="S"/>
    <x v="1"/>
    <x v="9"/>
    <x v="0"/>
    <x v="61"/>
  </r>
  <r>
    <n v="0"/>
    <s v="Gol Linhas Aéreas4449645592"/>
    <n v="17"/>
    <s v="GOL LINHAS AEREAS S/A"/>
    <s v="Gol Linhas Aéreas"/>
    <x v="0"/>
    <n v="0"/>
    <s v="VRGL18    "/>
    <n v="4"/>
    <x v="124"/>
    <d v="2024-10-27T00:00:00"/>
    <x v="16"/>
    <n v="0"/>
    <x v="2"/>
    <x v="1"/>
    <n v="610217"/>
    <n v="1000"/>
    <s v=""/>
    <n v="610217000"/>
    <x v="126"/>
    <s v="DI"/>
    <n v="100"/>
    <n v="4.5"/>
    <x v="151"/>
    <n v="252"/>
    <s v="Útil"/>
    <s v="N"/>
    <x v="1"/>
    <s v="S"/>
    <x v="1"/>
    <x v="5"/>
    <x v="0"/>
    <x v="87"/>
  </r>
  <r>
    <n v="0"/>
    <s v="Gol Linhas Aéreas4340145592"/>
    <n v="17"/>
    <s v="GOL LINHAS AEREAS S/A"/>
    <s v="Gol Linhas Aéreas"/>
    <x v="0"/>
    <n v="0"/>
    <s v="VRGL27    "/>
    <n v="5"/>
    <x v="123"/>
    <d v="2024-10-27T00:00:00"/>
    <x v="7"/>
    <n v="1"/>
    <x v="2"/>
    <x v="1"/>
    <n v="22188"/>
    <n v="10000"/>
    <s v=""/>
    <n v="221880000"/>
    <x v="127"/>
    <s v="DI"/>
    <n v="100"/>
    <n v="4.5"/>
    <x v="151"/>
    <n v="252"/>
    <s v="Útil"/>
    <s v="N"/>
    <x v="1"/>
    <s v="S"/>
    <x v="1"/>
    <x v="9"/>
    <x v="0"/>
    <x v="61"/>
  </r>
  <r>
    <n v="56"/>
    <s v="Gol Linhas Aéreas4313331/01/2025"/>
    <n v="17"/>
    <s v="Gol Finance Inc"/>
    <s v="Gol Linhas Aéreas"/>
    <x v="1"/>
    <n v="1"/>
    <m/>
    <n v="6"/>
    <x v="125"/>
    <s v="31/01/2025"/>
    <x v="66"/>
    <n v="1"/>
    <x v="1"/>
    <x v="0"/>
    <m/>
    <m/>
    <n v="3.2054"/>
    <n v="150000000"/>
    <x v="128"/>
    <s v="USD"/>
    <s v="-"/>
    <n v="7"/>
    <x v="152"/>
    <n v="360"/>
    <s v="Corrido"/>
    <s v="N"/>
    <x v="1"/>
    <s v="S"/>
    <x v="1"/>
    <x v="9"/>
    <x v="0"/>
    <x v="62"/>
  </r>
  <r>
    <n v="57"/>
    <s v="Gol Linhas Aéreas4308031/01/2025"/>
    <n v="17"/>
    <s v="Gol Finance SA"/>
    <s v="Gol Linhas Aéreas"/>
    <x v="1"/>
    <n v="1"/>
    <m/>
    <n v="7"/>
    <x v="126"/>
    <s v="31/01/2025"/>
    <x v="67"/>
    <n v="1"/>
    <x v="1"/>
    <x v="0"/>
    <m/>
    <m/>
    <n v="3.2839"/>
    <n v="650000000"/>
    <x v="129"/>
    <s v="USD"/>
    <s v="-"/>
    <n v="7"/>
    <x v="153"/>
    <n v="360"/>
    <s v="Corrido"/>
    <s v="N"/>
    <x v="1"/>
    <s v="S"/>
    <x v="1"/>
    <x v="12"/>
    <x v="0"/>
    <x v="88"/>
  </r>
  <r>
    <n v="58"/>
    <s v="Gol Linhas Aéreas4418830/06/2026"/>
    <n v="17"/>
    <s v="Gol Finance SA"/>
    <s v="Gol Linhas Aéreas"/>
    <x v="1"/>
    <n v="1"/>
    <m/>
    <n v="8"/>
    <x v="127"/>
    <s v="30/06/2026"/>
    <x v="68"/>
    <n v="1"/>
    <x v="4"/>
    <x v="0"/>
    <m/>
    <m/>
    <n v="5.1734"/>
    <n v="650000000"/>
    <x v="130"/>
    <s v="USD"/>
    <s v="-"/>
    <n v="8"/>
    <x v="154"/>
    <n v="360"/>
    <s v="Corrido"/>
    <s v="N"/>
    <x v="1"/>
    <s v="S"/>
    <x v="1"/>
    <x v="9"/>
    <x v="0"/>
    <x v="89"/>
  </r>
  <r>
    <n v="59"/>
    <s v="Gol Linhas Aéreas4432730/06/2026"/>
    <n v="17"/>
    <s v="Gol Finance SA"/>
    <s v="Gol Linhas Aéreas"/>
    <x v="1"/>
    <n v="1"/>
    <m/>
    <n v="9"/>
    <x v="128"/>
    <s v="30/06/2026"/>
    <x v="69"/>
    <n v="1"/>
    <x v="4"/>
    <x v="0"/>
    <m/>
    <m/>
    <n v="5.2397"/>
    <n v="300000000"/>
    <x v="131"/>
    <s v="USD"/>
    <s v="-"/>
    <n v="8"/>
    <x v="155"/>
    <n v="360"/>
    <s v="Corrido"/>
    <s v="N"/>
    <x v="1"/>
    <s v="S"/>
    <x v="1"/>
    <x v="5"/>
    <x v="0"/>
    <x v="77"/>
  </r>
  <r>
    <n v="60"/>
    <s v="Gol Linhas Aéreas4446730/06/2026"/>
    <n v="17"/>
    <s v="Gol Finance SA"/>
    <s v="Gol Linhas Aéreas"/>
    <x v="1"/>
    <n v="1"/>
    <m/>
    <n v="10"/>
    <x v="129"/>
    <s v="30/06/2026"/>
    <x v="70"/>
    <n v="0"/>
    <x v="4"/>
    <x v="0"/>
    <m/>
    <m/>
    <n v="5.42"/>
    <n v="150000000"/>
    <x v="132"/>
    <s v="USD"/>
    <s v="-"/>
    <n v="8"/>
    <x v="156"/>
    <n v="360"/>
    <s v="Corrido"/>
    <s v="N"/>
    <x v="1"/>
    <s v="S"/>
    <x v="1"/>
    <x v="5"/>
    <x v="0"/>
    <x v="64"/>
  </r>
  <r>
    <n v="61"/>
    <s v="Gol Linhas Aéreas4190624/01/2022"/>
    <n v="17"/>
    <s v="Gol Finance SA"/>
    <s v="Gol Linhas Aéreas"/>
    <x v="1"/>
    <n v="1"/>
    <m/>
    <n v="11"/>
    <x v="130"/>
    <s v="24/01/2022"/>
    <x v="71"/>
    <n v="1"/>
    <x v="1"/>
    <x v="0"/>
    <m/>
    <m/>
    <n v="2.4064000000000001"/>
    <n v="325000000"/>
    <x v="133"/>
    <s v="USD"/>
    <s v="-"/>
    <n v="8.875"/>
    <x v="157"/>
    <n v="360"/>
    <s v="Corrido"/>
    <s v="N"/>
    <x v="1"/>
    <s v="S"/>
    <x v="1"/>
    <x v="3"/>
    <x v="0"/>
    <x v="11"/>
  </r>
  <r>
    <n v="62"/>
    <s v="Gol Linhas Aéreas4131312/02/2023"/>
    <n v="17"/>
    <s v="Gol Linhas Aereas SA"/>
    <s v="Gol Linhas Aéreas"/>
    <x v="1"/>
    <n v="1"/>
    <m/>
    <n v="12"/>
    <x v="131"/>
    <s v="12/02/2023"/>
    <x v="72"/>
    <n v="1"/>
    <x v="1"/>
    <x v="0"/>
    <m/>
    <m/>
    <n v="1.9630000000000001"/>
    <n v="200000000"/>
    <x v="134"/>
    <s v="USD"/>
    <s v="-"/>
    <n v="10.75"/>
    <x v="158"/>
    <n v="360"/>
    <s v="Corrido"/>
    <s v="N"/>
    <x v="1"/>
    <s v="S"/>
    <x v="1"/>
    <x v="3"/>
    <x v="0"/>
    <x v="27"/>
  </r>
  <r>
    <n v="0"/>
    <s v="Hidrovias do Brasil4448447041"/>
    <n v="18"/>
    <s v="HIDROVIAS DO BRASIL S.A."/>
    <s v="Hidrovias do Brasil"/>
    <x v="0"/>
    <n v="0"/>
    <s v="HBSA11    "/>
    <n v="1"/>
    <x v="132"/>
    <d v="2028-10-15T00:00:00"/>
    <x v="8"/>
    <n v="1"/>
    <x v="2"/>
    <x v="1"/>
    <n v="280000"/>
    <n v="1000"/>
    <s v=""/>
    <n v="280000000"/>
    <x v="135"/>
    <s v="IPCA"/>
    <s v="-"/>
    <n v="6.0029000000000003"/>
    <x v="159"/>
    <n v="252"/>
    <s v="Útil"/>
    <s v="S"/>
    <x v="0"/>
    <s v="N"/>
    <x v="0"/>
    <x v="0"/>
    <x v="0"/>
    <x v="90"/>
  </r>
  <r>
    <n v="0"/>
    <s v="Hidrovias do Brasil4448448136"/>
    <n v="18"/>
    <s v="HIDROVIAS DO BRASIL S.A."/>
    <s v="Hidrovias do Brasil"/>
    <x v="0"/>
    <n v="0"/>
    <s v="HBSA21    "/>
    <n v="2"/>
    <x v="132"/>
    <d v="2031-10-15T00:00:00"/>
    <x v="1"/>
    <n v="1"/>
    <x v="2"/>
    <x v="1"/>
    <n v="100000"/>
    <n v="1000"/>
    <s v=""/>
    <n v="100000000"/>
    <x v="33"/>
    <s v="IPCA"/>
    <s v="-"/>
    <n v="6.0444000000000004"/>
    <x v="160"/>
    <n v="252"/>
    <s v="Útil"/>
    <s v="S"/>
    <x v="0"/>
    <s v="N"/>
    <x v="0"/>
    <x v="0"/>
    <x v="0"/>
    <x v="90"/>
  </r>
  <r>
    <n v="63"/>
    <s v="Hidrovias do Brasil4423508/02/2031"/>
    <n v="18"/>
    <s v="Hidrovias International Finance SARL"/>
    <s v="Hidrovias do Brasil"/>
    <x v="1"/>
    <n v="1"/>
    <m/>
    <n v="3"/>
    <x v="133"/>
    <s v="08/02/2031"/>
    <x v="1"/>
    <n v="1"/>
    <x v="5"/>
    <x v="1"/>
    <m/>
    <m/>
    <n v="5.3663999999999996"/>
    <n v="500000000"/>
    <x v="136"/>
    <s v="USD"/>
    <s v="-"/>
    <n v="4.95"/>
    <x v="161"/>
    <n v="360"/>
    <s v="Corrido"/>
    <s v="N"/>
    <x v="1"/>
    <s v="S"/>
    <x v="1"/>
    <x v="0"/>
    <x v="0"/>
    <x v="39"/>
  </r>
  <r>
    <n v="64"/>
    <s v="Hidrovias do Brasil4312424/01/2025"/>
    <n v="18"/>
    <s v="Hidrovias International Finance SARL"/>
    <s v="Hidrovias do Brasil"/>
    <x v="1"/>
    <n v="1"/>
    <m/>
    <n v="4"/>
    <x v="134"/>
    <s v="24/01/2025"/>
    <x v="8"/>
    <n v="1"/>
    <x v="1"/>
    <x v="0"/>
    <m/>
    <m/>
    <n v="3.1964000000000001"/>
    <n v="600000000"/>
    <x v="137"/>
    <s v="USD"/>
    <s v="-"/>
    <n v="5.95"/>
    <x v="162"/>
    <n v="360"/>
    <s v="Corrido"/>
    <s v="N"/>
    <x v="1"/>
    <s v="S"/>
    <x v="1"/>
    <x v="0"/>
    <x v="0"/>
    <x v="91"/>
  </r>
  <r>
    <n v="0"/>
    <s v="Hypera4063041726"/>
    <n v="19"/>
    <s v="HYPERA S/A"/>
    <s v="Hypera"/>
    <x v="0"/>
    <n v="0"/>
    <s v="HYPE14    "/>
    <n v="1"/>
    <x v="135"/>
    <d v="2014-03-28T00:00:00"/>
    <x v="16"/>
    <n v="0"/>
    <x v="2"/>
    <x v="1"/>
    <n v="200"/>
    <n v="1000000"/>
    <s v=""/>
    <n v="200000000"/>
    <x v="13"/>
    <s v="DI"/>
    <n v="111"/>
    <m/>
    <x v="163"/>
    <n v="252"/>
    <s v="Útil"/>
    <s v="N"/>
    <x v="1"/>
    <s v="S"/>
    <x v="1"/>
    <x v="11"/>
    <x v="0"/>
    <x v="92"/>
  </r>
  <r>
    <n v="0"/>
    <s v="Hypera4148843314"/>
    <n v="19"/>
    <s v="HYPERA S/A"/>
    <s v="Hypera"/>
    <x v="0"/>
    <n v="0"/>
    <s v="HYPE15    "/>
    <n v="2"/>
    <x v="136"/>
    <d v="2018-08-02T00:00:00"/>
    <x v="4"/>
    <n v="1"/>
    <x v="3"/>
    <x v="0"/>
    <n v="40000"/>
    <n v="10000"/>
    <s v=""/>
    <n v="400000000"/>
    <x v="0"/>
    <s v="DI"/>
    <n v="109.95"/>
    <m/>
    <x v="164"/>
    <n v="252"/>
    <s v="Útil"/>
    <s v="N"/>
    <x v="1"/>
    <s v="S"/>
    <x v="1"/>
    <x v="11"/>
    <x v="0"/>
    <x v="66"/>
  </r>
  <r>
    <n v="0"/>
    <s v="Hypera4160242940"/>
    <n v="19"/>
    <s v="HYPERA S/A"/>
    <s v="Hypera"/>
    <x v="0"/>
    <n v="0"/>
    <s v="HYPE16    "/>
    <n v="3"/>
    <x v="137"/>
    <d v="2017-07-24T00:00:00"/>
    <x v="73"/>
    <n v="0"/>
    <x v="2"/>
    <x v="1"/>
    <n v="200"/>
    <n v="1000000"/>
    <s v=""/>
    <n v="200000000"/>
    <x v="13"/>
    <s v="DI"/>
    <n v="110.75"/>
    <m/>
    <x v="165"/>
    <n v="252"/>
    <s v="Útil"/>
    <s v="N"/>
    <x v="1"/>
    <s v="S"/>
    <x v="1"/>
    <x v="11"/>
    <x v="0"/>
    <x v="41"/>
  </r>
  <r>
    <n v="0"/>
    <s v="Hypera4173943565"/>
    <n v="19"/>
    <s v="HYPERA S/A"/>
    <s v="Hypera"/>
    <x v="0"/>
    <n v="0"/>
    <s v="HYPE17    "/>
    <n v="4"/>
    <x v="138"/>
    <d v="2019-04-10T00:00:00"/>
    <x v="4"/>
    <n v="1"/>
    <x v="2"/>
    <x v="1"/>
    <n v="400"/>
    <n v="1000000"/>
    <s v=""/>
    <n v="400000000"/>
    <x v="0"/>
    <s v="DI"/>
    <n v="110"/>
    <m/>
    <x v="166"/>
    <n v="252"/>
    <s v="Útil"/>
    <s v="N"/>
    <x v="1"/>
    <s v="S"/>
    <x v="1"/>
    <x v="0"/>
    <x v="0"/>
    <x v="93"/>
  </r>
  <r>
    <n v="0"/>
    <s v="Hypera4379745989"/>
    <n v="19"/>
    <s v="HYPERA S/A"/>
    <s v="Hypera"/>
    <x v="0"/>
    <n v="0"/>
    <s v="HYPE18    "/>
    <n v="5"/>
    <x v="139"/>
    <d v="2025-11-28T00:00:00"/>
    <x v="11"/>
    <n v="1"/>
    <x v="2"/>
    <x v="1"/>
    <n v="80000"/>
    <n v="10000"/>
    <s v=""/>
    <n v="800000000"/>
    <x v="6"/>
    <s v="DI"/>
    <n v="100"/>
    <n v="1.25"/>
    <x v="167"/>
    <n v="252"/>
    <s v="Útil"/>
    <s v="N"/>
    <x v="1"/>
    <s v="S"/>
    <x v="1"/>
    <x v="6"/>
    <x v="0"/>
    <x v="60"/>
  </r>
  <r>
    <n v="0"/>
    <s v="Hypera4392446115"/>
    <n v="19"/>
    <s v="HYPERA S/A"/>
    <s v="Hypera"/>
    <x v="0"/>
    <n v="0"/>
    <s v="HYPE19    "/>
    <n v="6"/>
    <x v="140"/>
    <d v="2026-04-03T00:00:00"/>
    <x v="7"/>
    <n v="1"/>
    <x v="2"/>
    <x v="1"/>
    <n v="248500"/>
    <n v="10000"/>
    <s v=""/>
    <n v="2485000000"/>
    <x v="138"/>
    <s v="DI"/>
    <n v="100"/>
    <n v="1.5"/>
    <x v="47"/>
    <n v="252"/>
    <s v="Útil"/>
    <s v="N"/>
    <x v="1"/>
    <s v="S"/>
    <x v="1"/>
    <x v="6"/>
    <x v="0"/>
    <x v="94"/>
  </r>
  <r>
    <n v="0"/>
    <s v="Hypera4063041757"/>
    <n v="19"/>
    <s v="HYPERA S/A"/>
    <s v="Hypera"/>
    <x v="0"/>
    <n v="0"/>
    <s v="HYPE24    "/>
    <n v="7"/>
    <x v="135"/>
    <d v="2014-04-28T00:00:00"/>
    <x v="74"/>
    <n v="0"/>
    <x v="2"/>
    <x v="1"/>
    <n v="200"/>
    <n v="1000000"/>
    <s v=""/>
    <n v="200000000"/>
    <x v="13"/>
    <s v="DI"/>
    <n v="111"/>
    <m/>
    <x v="168"/>
    <n v="252"/>
    <s v="Útil"/>
    <s v="N"/>
    <x v="1"/>
    <s v="S"/>
    <x v="1"/>
    <x v="11"/>
    <x v="0"/>
    <x v="92"/>
  </r>
  <r>
    <n v="0"/>
    <s v="Hypera4407545901"/>
    <n v="19"/>
    <s v="HYPERA S/A"/>
    <s v="Hypera"/>
    <x v="0"/>
    <n v="0"/>
    <s v="HYPEA0    "/>
    <n v="8"/>
    <x v="141"/>
    <d v="2025-09-01T00:00:00"/>
    <x v="4"/>
    <n v="1"/>
    <x v="2"/>
    <x v="1"/>
    <n v="23500"/>
    <n v="10000"/>
    <s v=""/>
    <n v="235000000"/>
    <x v="139"/>
    <s v="DI"/>
    <n v="100"/>
    <n v="1.75"/>
    <x v="85"/>
    <n v="252"/>
    <s v="Útil"/>
    <s v="N"/>
    <x v="1"/>
    <s v="S"/>
    <x v="1"/>
    <x v="6"/>
    <x v="0"/>
    <x v="95"/>
  </r>
  <r>
    <n v="0"/>
    <s v="Hypera4444846274"/>
    <n v="19"/>
    <s v="HYPERA S/A"/>
    <s v="Hypera"/>
    <x v="0"/>
    <n v="0"/>
    <s v="HYPEA1    "/>
    <n v="9"/>
    <x v="142"/>
    <d v="2026-09-09T00:00:00"/>
    <x v="4"/>
    <n v="1"/>
    <x v="2"/>
    <x v="1"/>
    <n v="1000000"/>
    <n v="1000"/>
    <s v=""/>
    <n v="1000000000"/>
    <x v="18"/>
    <s v="DI"/>
    <n v="100"/>
    <n v="1.45"/>
    <x v="72"/>
    <n v="252"/>
    <s v="Útil"/>
    <s v="N"/>
    <x v="1"/>
    <s v="S"/>
    <x v="1"/>
    <x v="6"/>
    <x v="0"/>
    <x v="56"/>
  </r>
  <r>
    <n v="0"/>
    <s v="Hypera4407545901"/>
    <n v="19"/>
    <s v="HYPERA S/A"/>
    <s v="Hypera"/>
    <x v="0"/>
    <n v="0"/>
    <s v="HYPEB0    "/>
    <n v="10"/>
    <x v="141"/>
    <d v="2025-09-01T00:00:00"/>
    <x v="4"/>
    <n v="1"/>
    <x v="2"/>
    <x v="1"/>
    <n v="50000"/>
    <n v="10000"/>
    <s v=""/>
    <n v="500000000"/>
    <x v="10"/>
    <s v="DI"/>
    <n v="100"/>
    <n v="1.75"/>
    <x v="85"/>
    <n v="252"/>
    <s v="Útil"/>
    <s v="N"/>
    <x v="1"/>
    <s v="S"/>
    <x v="1"/>
    <x v="6"/>
    <x v="0"/>
    <x v="95"/>
  </r>
  <r>
    <n v="65"/>
    <s v="Hypera4065320/04/2021"/>
    <n v="19"/>
    <s v="Hypera SA"/>
    <s v="Hypera"/>
    <x v="1"/>
    <n v="1"/>
    <m/>
    <n v="11"/>
    <x v="143"/>
    <s v="20/04/2021"/>
    <x v="12"/>
    <n v="1"/>
    <x v="5"/>
    <x v="1"/>
    <m/>
    <m/>
    <n v="1.5713999999999999"/>
    <n v="750000000"/>
    <x v="140"/>
    <s v="USD"/>
    <s v="-"/>
    <n v="6.5"/>
    <x v="169"/>
    <n v="360"/>
    <s v="Corrido"/>
    <s v="N"/>
    <x v="1"/>
    <s v="S"/>
    <x v="1"/>
    <x v="11"/>
    <x v="0"/>
    <x v="96"/>
  </r>
  <r>
    <n v="0"/>
    <s v="InterCement4101844670"/>
    <n v="20"/>
    <s v="INTERCEMENT BRASIL S.A."/>
    <s v="InterCement"/>
    <x v="0"/>
    <n v="0"/>
    <s v="CCCI12    "/>
    <n v="1"/>
    <x v="144"/>
    <d v="2022-04-19T00:00:00"/>
    <x v="1"/>
    <n v="1"/>
    <x v="2"/>
    <x v="1"/>
    <n v="100000"/>
    <n v="10000"/>
    <s v=""/>
    <n v="1000000000"/>
    <x v="18"/>
    <s v="DI"/>
    <n v="115"/>
    <m/>
    <x v="170"/>
    <n v="252"/>
    <s v="Útil"/>
    <s v="N"/>
    <x v="1"/>
    <s v="S"/>
    <x v="1"/>
    <x v="1"/>
    <x v="0"/>
    <x v="97"/>
  </r>
  <r>
    <n v="0"/>
    <s v="InterCement4399046546"/>
    <n v="20"/>
    <s v="INTERCEMENT BRASIL S.A."/>
    <s v="InterCement"/>
    <x v="0"/>
    <n v="0"/>
    <s v="CCCI13    "/>
    <n v="2"/>
    <x v="145"/>
    <d v="2027-06-08T00:00:00"/>
    <x v="18"/>
    <n v="1"/>
    <x v="2"/>
    <x v="1"/>
    <n v="175719"/>
    <n v="1000"/>
    <s v=""/>
    <n v="175719000"/>
    <x v="141"/>
    <s v="DI"/>
    <n v="100"/>
    <n v="3.75"/>
    <x v="171"/>
    <n v="252"/>
    <s v="Útil"/>
    <s v="N"/>
    <x v="1"/>
    <s v="S"/>
    <x v="1"/>
    <x v="13"/>
    <x v="0"/>
    <x v="45"/>
  </r>
  <r>
    <n v="0"/>
    <s v="InterCement4101844670"/>
    <n v="20"/>
    <s v="INTERCEMENT BRASIL S.A."/>
    <s v="InterCement"/>
    <x v="0"/>
    <n v="0"/>
    <s v="CCCI22    "/>
    <n v="3"/>
    <x v="144"/>
    <d v="2022-04-19T00:00:00"/>
    <x v="1"/>
    <n v="1"/>
    <x v="2"/>
    <x v="1"/>
    <n v="50000"/>
    <n v="10000"/>
    <s v=""/>
    <n v="500000000"/>
    <x v="10"/>
    <s v="DI"/>
    <n v="115"/>
    <m/>
    <x v="170"/>
    <n v="252"/>
    <s v="Útil"/>
    <s v="N"/>
    <x v="1"/>
    <s v="S"/>
    <x v="1"/>
    <x v="1"/>
    <x v="0"/>
    <x v="97"/>
  </r>
  <r>
    <n v="0"/>
    <s v="InterCement4399046546"/>
    <n v="20"/>
    <s v="INTERCEMENT BRASIL S.A."/>
    <s v="InterCement"/>
    <x v="0"/>
    <n v="0"/>
    <s v="CCCI23    "/>
    <n v="4"/>
    <x v="145"/>
    <d v="2027-06-08T00:00:00"/>
    <x v="18"/>
    <n v="1"/>
    <x v="2"/>
    <x v="1"/>
    <n v="175719"/>
    <n v="1000"/>
    <s v=""/>
    <n v="175719000"/>
    <x v="141"/>
    <s v="DI"/>
    <n v="100"/>
    <n v="3.75"/>
    <x v="171"/>
    <n v="252"/>
    <s v="Útil"/>
    <s v="N"/>
    <x v="1"/>
    <s v="S"/>
    <x v="1"/>
    <x v="13"/>
    <x v="0"/>
    <x v="45"/>
  </r>
  <r>
    <n v="0"/>
    <s v="InterCement4399046546"/>
    <n v="20"/>
    <s v="INTERCEMENT BRASIL S.A."/>
    <s v="InterCement"/>
    <x v="0"/>
    <n v="0"/>
    <s v="CCCI33    "/>
    <n v="5"/>
    <x v="145"/>
    <d v="2027-06-08T00:00:00"/>
    <x v="18"/>
    <n v="1"/>
    <x v="2"/>
    <x v="1"/>
    <n v="175719"/>
    <n v="1000"/>
    <s v=""/>
    <n v="175719000"/>
    <x v="141"/>
    <s v="DI"/>
    <n v="100"/>
    <n v="3.75"/>
    <x v="171"/>
    <n v="252"/>
    <s v="Útil"/>
    <s v="N"/>
    <x v="1"/>
    <s v="S"/>
    <x v="1"/>
    <x v="13"/>
    <x v="0"/>
    <x v="45"/>
  </r>
  <r>
    <n v="0"/>
    <s v="InterCement4399046546"/>
    <n v="20"/>
    <s v="INTERCEMENT BRASIL S.A."/>
    <s v="InterCement"/>
    <x v="0"/>
    <n v="0"/>
    <s v="CCCI43    "/>
    <n v="6"/>
    <x v="145"/>
    <d v="2027-06-08T00:00:00"/>
    <x v="18"/>
    <n v="1"/>
    <x v="2"/>
    <x v="1"/>
    <n v="168668"/>
    <n v="1000"/>
    <s v=""/>
    <n v="168668000"/>
    <x v="142"/>
    <s v="DI"/>
    <n v="100"/>
    <n v="3.75"/>
    <x v="171"/>
    <n v="252"/>
    <s v="Útil"/>
    <s v="N"/>
    <x v="1"/>
    <s v="S"/>
    <x v="1"/>
    <x v="13"/>
    <x v="0"/>
    <x v="45"/>
  </r>
  <r>
    <n v="0"/>
    <s v="InterCement4399046546"/>
    <n v="20"/>
    <s v="INTERCEMENT BRASIL S.A."/>
    <s v="InterCement"/>
    <x v="0"/>
    <n v="0"/>
    <s v="CCCI53    "/>
    <n v="7"/>
    <x v="145"/>
    <d v="2027-06-08T00:00:00"/>
    <x v="18"/>
    <n v="1"/>
    <x v="2"/>
    <x v="1"/>
    <n v="168667"/>
    <n v="1000"/>
    <s v=""/>
    <n v="168667000"/>
    <x v="143"/>
    <s v="DI"/>
    <n v="100"/>
    <n v="3.75"/>
    <x v="171"/>
    <n v="252"/>
    <s v="Útil"/>
    <s v="N"/>
    <x v="1"/>
    <s v="S"/>
    <x v="1"/>
    <x v="13"/>
    <x v="0"/>
    <x v="45"/>
  </r>
  <r>
    <n v="0"/>
    <s v="InterCement4399046546"/>
    <n v="20"/>
    <s v="INTERCEMENT BRASIL S.A."/>
    <s v="InterCement"/>
    <x v="0"/>
    <n v="0"/>
    <s v="CCCI63    "/>
    <n v="8"/>
    <x v="145"/>
    <d v="2027-06-08T00:00:00"/>
    <x v="18"/>
    <n v="1"/>
    <x v="2"/>
    <x v="1"/>
    <n v="168667"/>
    <n v="1000"/>
    <s v=""/>
    <n v="168667000"/>
    <x v="143"/>
    <s v="DI"/>
    <n v="100"/>
    <n v="3.75"/>
    <x v="171"/>
    <n v="252"/>
    <s v="Útil"/>
    <s v="N"/>
    <x v="1"/>
    <s v="S"/>
    <x v="1"/>
    <x v="13"/>
    <x v="0"/>
    <x v="45"/>
  </r>
  <r>
    <n v="0"/>
    <s v="InterCement4399046546"/>
    <n v="20"/>
    <s v="INTERCEMENT BRASIL S.A."/>
    <s v="InterCement"/>
    <x v="0"/>
    <n v="0"/>
    <s v="CCCI73    "/>
    <n v="9"/>
    <x v="145"/>
    <d v="2027-06-08T00:00:00"/>
    <x v="18"/>
    <n v="1"/>
    <x v="2"/>
    <x v="1"/>
    <n v="222334"/>
    <n v="1000"/>
    <s v=""/>
    <n v="222334000"/>
    <x v="144"/>
    <s v="DI"/>
    <n v="100"/>
    <n v="3.75"/>
    <x v="171"/>
    <n v="252"/>
    <s v="Útil"/>
    <s v="N"/>
    <x v="1"/>
    <s v="S"/>
    <x v="1"/>
    <x v="13"/>
    <x v="0"/>
    <x v="45"/>
  </r>
  <r>
    <n v="0"/>
    <s v="InterCement4399046546"/>
    <n v="20"/>
    <s v="INTERCEMENT BRASIL S.A."/>
    <s v="InterCement"/>
    <x v="0"/>
    <n v="0"/>
    <s v="CCCI83    "/>
    <n v="10"/>
    <x v="145"/>
    <d v="2027-06-08T00:00:00"/>
    <x v="18"/>
    <n v="1"/>
    <x v="2"/>
    <x v="1"/>
    <n v="222334"/>
    <n v="1000"/>
    <s v=""/>
    <n v="222334000"/>
    <x v="144"/>
    <s v="DI"/>
    <n v="100"/>
    <n v="3.75"/>
    <x v="171"/>
    <n v="252"/>
    <s v="Útil"/>
    <s v="N"/>
    <x v="1"/>
    <s v="S"/>
    <x v="1"/>
    <x v="13"/>
    <x v="0"/>
    <x v="45"/>
  </r>
  <r>
    <n v="0"/>
    <s v="InterCement4399046546"/>
    <n v="20"/>
    <s v="INTERCEMENT BRASIL S.A."/>
    <s v="InterCement"/>
    <x v="0"/>
    <n v="0"/>
    <s v="CCCI93    "/>
    <n v="11"/>
    <x v="145"/>
    <d v="2027-06-08T00:00:00"/>
    <x v="18"/>
    <n v="1"/>
    <x v="2"/>
    <x v="1"/>
    <n v="222334"/>
    <n v="1000"/>
    <s v=""/>
    <n v="222334000"/>
    <x v="144"/>
    <s v="DI"/>
    <n v="100"/>
    <n v="3.75"/>
    <x v="171"/>
    <n v="252"/>
    <s v="Útil"/>
    <s v="N"/>
    <x v="1"/>
    <s v="S"/>
    <x v="1"/>
    <x v="13"/>
    <x v="0"/>
    <x v="45"/>
  </r>
  <r>
    <n v="0"/>
    <s v="InterCement4446346546"/>
    <n v="20"/>
    <s v="INTERCEMENT BRASIL S.A."/>
    <s v="InterCement"/>
    <x v="0"/>
    <n v="0"/>
    <s v="ICBR14    "/>
    <n v="12"/>
    <x v="146"/>
    <d v="2027-06-08T00:00:00"/>
    <x v="75"/>
    <n v="1"/>
    <x v="2"/>
    <x v="1"/>
    <n v="103355"/>
    <n v="1000"/>
    <s v=""/>
    <n v="103355000"/>
    <x v="145"/>
    <s v="DI"/>
    <n v="100"/>
    <n v="3.75"/>
    <x v="171"/>
    <n v="252"/>
    <s v="Útil"/>
    <s v="N"/>
    <x v="1"/>
    <s v="S"/>
    <x v="1"/>
    <x v="12"/>
    <x v="0"/>
    <x v="98"/>
  </r>
  <r>
    <n v="0"/>
    <s v="InterCement4446346546"/>
    <n v="20"/>
    <s v="INTERCEMENT BRASIL S.A."/>
    <s v="InterCement"/>
    <x v="0"/>
    <n v="0"/>
    <s v="ICBR24    "/>
    <n v="13"/>
    <x v="146"/>
    <d v="2027-06-08T00:00:00"/>
    <x v="75"/>
    <n v="1"/>
    <x v="2"/>
    <x v="1"/>
    <n v="103354"/>
    <n v="1000"/>
    <s v=""/>
    <n v="103354000"/>
    <x v="146"/>
    <s v="DI"/>
    <n v="100"/>
    <n v="3.75"/>
    <x v="171"/>
    <n v="252"/>
    <s v="Útil"/>
    <s v="N"/>
    <x v="1"/>
    <s v="S"/>
    <x v="1"/>
    <x v="12"/>
    <x v="0"/>
    <x v="98"/>
  </r>
  <r>
    <n v="0"/>
    <s v="InterCement4446346546"/>
    <n v="20"/>
    <s v="INTERCEMENT BRASIL S.A."/>
    <s v="InterCement"/>
    <x v="0"/>
    <n v="0"/>
    <s v="ICBR34    "/>
    <n v="14"/>
    <x v="146"/>
    <d v="2027-06-08T00:00:00"/>
    <x v="75"/>
    <n v="1"/>
    <x v="2"/>
    <x v="1"/>
    <n v="103354"/>
    <n v="1000"/>
    <s v=""/>
    <n v="103354000"/>
    <x v="146"/>
    <s v="DI"/>
    <n v="100"/>
    <n v="3.75"/>
    <x v="171"/>
    <n v="252"/>
    <s v="Útil"/>
    <s v="N"/>
    <x v="1"/>
    <s v="S"/>
    <x v="1"/>
    <x v="12"/>
    <x v="0"/>
    <x v="98"/>
  </r>
  <r>
    <n v="0"/>
    <s v="InterCement4446346546"/>
    <n v="20"/>
    <s v="INTERCEMENT BRASIL S.A."/>
    <s v="InterCement"/>
    <x v="0"/>
    <n v="0"/>
    <s v="ICBR44    "/>
    <n v="15"/>
    <x v="146"/>
    <d v="2027-06-08T00:00:00"/>
    <x v="75"/>
    <n v="1"/>
    <x v="2"/>
    <x v="1"/>
    <n v="99207"/>
    <n v="1000"/>
    <s v=""/>
    <n v="99207000"/>
    <x v="147"/>
    <s v="DI"/>
    <n v="100"/>
    <n v="3.75"/>
    <x v="171"/>
    <n v="252"/>
    <s v="Útil"/>
    <s v="N"/>
    <x v="1"/>
    <s v="S"/>
    <x v="1"/>
    <x v="12"/>
    <x v="0"/>
    <x v="98"/>
  </r>
  <r>
    <n v="0"/>
    <s v="InterCement4446346546"/>
    <n v="20"/>
    <s v="INTERCEMENT BRASIL S.A."/>
    <s v="InterCement"/>
    <x v="0"/>
    <n v="0"/>
    <s v="ICBR54    "/>
    <n v="16"/>
    <x v="146"/>
    <d v="2027-06-08T00:00:00"/>
    <x v="75"/>
    <n v="1"/>
    <x v="2"/>
    <x v="1"/>
    <n v="99207"/>
    <n v="1000"/>
    <s v=""/>
    <n v="99207000"/>
    <x v="147"/>
    <s v="DI"/>
    <n v="100"/>
    <n v="3.75"/>
    <x v="171"/>
    <n v="252"/>
    <s v="Útil"/>
    <s v="N"/>
    <x v="1"/>
    <s v="S"/>
    <x v="1"/>
    <x v="12"/>
    <x v="0"/>
    <x v="98"/>
  </r>
  <r>
    <n v="0"/>
    <s v="InterCement4446346546"/>
    <n v="20"/>
    <s v="INTERCEMENT BRASIL S.A."/>
    <s v="InterCement"/>
    <x v="0"/>
    <n v="0"/>
    <s v="ICBR64    "/>
    <n v="17"/>
    <x v="146"/>
    <d v="2027-06-08T00:00:00"/>
    <x v="75"/>
    <n v="1"/>
    <x v="2"/>
    <x v="1"/>
    <n v="99206"/>
    <n v="1000"/>
    <s v=""/>
    <n v="99206000"/>
    <x v="148"/>
    <s v="DI"/>
    <n v="100"/>
    <n v="3.75"/>
    <x v="171"/>
    <n v="252"/>
    <s v="Útil"/>
    <s v="N"/>
    <x v="1"/>
    <s v="S"/>
    <x v="1"/>
    <x v="12"/>
    <x v="0"/>
    <x v="98"/>
  </r>
  <r>
    <n v="0"/>
    <s v="InterCement4446346546"/>
    <n v="20"/>
    <s v="INTERCEMENT BRASIL S.A."/>
    <s v="InterCement"/>
    <x v="0"/>
    <n v="0"/>
    <s v="ICBR74    "/>
    <n v="18"/>
    <x v="146"/>
    <d v="2027-06-08T00:00:00"/>
    <x v="75"/>
    <n v="1"/>
    <x v="2"/>
    <x v="1"/>
    <n v="130773"/>
    <n v="1000"/>
    <s v=""/>
    <n v="130773000"/>
    <x v="149"/>
    <s v="DI"/>
    <n v="100"/>
    <n v="3.75"/>
    <x v="171"/>
    <n v="252"/>
    <s v="Útil"/>
    <s v="N"/>
    <x v="1"/>
    <s v="S"/>
    <x v="1"/>
    <x v="12"/>
    <x v="0"/>
    <x v="98"/>
  </r>
  <r>
    <n v="0"/>
    <s v="InterCement4446346546"/>
    <n v="20"/>
    <s v="INTERCEMENT BRASIL S.A."/>
    <s v="InterCement"/>
    <x v="0"/>
    <n v="0"/>
    <s v="ICBR84    "/>
    <n v="19"/>
    <x v="146"/>
    <d v="2027-06-08T00:00:00"/>
    <x v="75"/>
    <n v="1"/>
    <x v="2"/>
    <x v="1"/>
    <n v="130772"/>
    <n v="1000"/>
    <s v=""/>
    <n v="130772000"/>
    <x v="150"/>
    <s v="DI"/>
    <n v="100"/>
    <n v="3.75"/>
    <x v="171"/>
    <n v="252"/>
    <s v="Útil"/>
    <s v="N"/>
    <x v="1"/>
    <s v="S"/>
    <x v="1"/>
    <x v="12"/>
    <x v="0"/>
    <x v="98"/>
  </r>
  <r>
    <n v="0"/>
    <s v="InterCement4446346546"/>
    <n v="20"/>
    <s v="INTERCEMENT BRASIL S.A."/>
    <s v="InterCement"/>
    <x v="0"/>
    <n v="0"/>
    <s v="ICBR94    "/>
    <n v="20"/>
    <x v="146"/>
    <d v="2027-06-08T00:00:00"/>
    <x v="75"/>
    <n v="1"/>
    <x v="2"/>
    <x v="1"/>
    <n v="130772"/>
    <n v="1000"/>
    <s v=""/>
    <n v="130772000"/>
    <x v="150"/>
    <s v="DI"/>
    <n v="100"/>
    <n v="3.75"/>
    <x v="171"/>
    <n v="252"/>
    <s v="Útil"/>
    <s v="N"/>
    <x v="1"/>
    <s v="S"/>
    <x v="1"/>
    <x v="12"/>
    <x v="0"/>
    <x v="98"/>
  </r>
  <r>
    <n v="0"/>
    <s v="InterCement4126444794"/>
    <n v="20"/>
    <s v="INTERCEMENT BRASIL S.A."/>
    <s v="InterCement"/>
    <x v="0"/>
    <n v="0"/>
    <s v="SFCI11    "/>
    <n v="21"/>
    <x v="14"/>
    <d v="2022-08-21T00:00:00"/>
    <x v="76"/>
    <n v="1"/>
    <x v="2"/>
    <x v="1"/>
    <n v="1200"/>
    <n v="1000000"/>
    <s v=""/>
    <n v="1200000000"/>
    <x v="110"/>
    <s v="DI"/>
    <n v="115"/>
    <m/>
    <x v="172"/>
    <n v="252"/>
    <s v="Útil"/>
    <s v="N"/>
    <x v="1"/>
    <s v="S"/>
    <x v="1"/>
    <x v="1"/>
    <x v="0"/>
    <x v="12"/>
  </r>
  <r>
    <n v="0"/>
    <s v="InterCement4399046546"/>
    <n v="20"/>
    <s v="INTERCEMENT PARTICIPACOES S.A."/>
    <s v="InterCement"/>
    <x v="0"/>
    <n v="0"/>
    <s v="ITCT11    "/>
    <n v="22"/>
    <x v="145"/>
    <d v="2027-06-08T00:00:00"/>
    <x v="18"/>
    <n v="1"/>
    <x v="2"/>
    <x v="1"/>
    <n v="307652"/>
    <n v="1000"/>
    <s v=""/>
    <n v="307652000"/>
    <x v="151"/>
    <s v="DI"/>
    <n v="100"/>
    <n v="3.75"/>
    <x v="171"/>
    <n v="252"/>
    <s v="Útil"/>
    <s v="N"/>
    <x v="1"/>
    <s v="S"/>
    <x v="1"/>
    <x v="13"/>
    <x v="0"/>
    <x v="45"/>
  </r>
  <r>
    <n v="0"/>
    <s v="InterCement4399046546"/>
    <n v="20"/>
    <s v="INTERCEMENT PARTICIPACOES S.A."/>
    <s v="InterCement"/>
    <x v="0"/>
    <n v="0"/>
    <s v="ITCT21    "/>
    <n v="23"/>
    <x v="145"/>
    <d v="2027-06-08T00:00:00"/>
    <x v="18"/>
    <n v="1"/>
    <x v="2"/>
    <x v="1"/>
    <n v="307651"/>
    <n v="1000"/>
    <s v=""/>
    <n v="307651000"/>
    <x v="152"/>
    <s v="DI"/>
    <n v="100"/>
    <n v="3.75"/>
    <x v="171"/>
    <n v="252"/>
    <s v="Útil"/>
    <s v="N"/>
    <x v="1"/>
    <s v="S"/>
    <x v="1"/>
    <x v="13"/>
    <x v="0"/>
    <x v="45"/>
  </r>
  <r>
    <n v="0"/>
    <s v="InterCement4399046546"/>
    <n v="20"/>
    <s v="INTERCEMENT PARTICIPACOES S.A."/>
    <s v="InterCement"/>
    <x v="0"/>
    <n v="0"/>
    <s v="ITCT31    "/>
    <n v="24"/>
    <x v="145"/>
    <d v="2027-06-08T00:00:00"/>
    <x v="18"/>
    <n v="1"/>
    <x v="2"/>
    <x v="1"/>
    <n v="307651"/>
    <n v="1000"/>
    <s v=""/>
    <n v="307651000"/>
    <x v="152"/>
    <s v="DI"/>
    <n v="100"/>
    <n v="3.75"/>
    <x v="171"/>
    <n v="252"/>
    <s v="Útil"/>
    <s v="N"/>
    <x v="1"/>
    <s v="S"/>
    <x v="1"/>
    <x v="13"/>
    <x v="0"/>
    <x v="45"/>
  </r>
  <r>
    <n v="0"/>
    <s v="InterCement4399046546"/>
    <n v="20"/>
    <s v="INTERCEMENT PARTICIPACOES S.A."/>
    <s v="InterCement"/>
    <x v="0"/>
    <n v="0"/>
    <s v="ITCT41    "/>
    <n v="25"/>
    <x v="145"/>
    <d v="2027-06-08T00:00:00"/>
    <x v="18"/>
    <n v="1"/>
    <x v="2"/>
    <x v="1"/>
    <n v="295305"/>
    <n v="1000"/>
    <s v=""/>
    <n v="295305000"/>
    <x v="153"/>
    <s v="DI"/>
    <n v="100"/>
    <n v="3.75"/>
    <x v="171"/>
    <n v="252"/>
    <s v="Útil"/>
    <s v="N"/>
    <x v="1"/>
    <s v="S"/>
    <x v="1"/>
    <x v="13"/>
    <x v="0"/>
    <x v="45"/>
  </r>
  <r>
    <n v="0"/>
    <s v="InterCement4399046546"/>
    <n v="20"/>
    <s v="INTERCEMENT PARTICIPACOES S.A."/>
    <s v="InterCement"/>
    <x v="0"/>
    <n v="0"/>
    <s v="ITCT51    "/>
    <n v="26"/>
    <x v="145"/>
    <d v="2027-06-08T00:00:00"/>
    <x v="18"/>
    <n v="1"/>
    <x v="2"/>
    <x v="1"/>
    <n v="295305"/>
    <n v="1000"/>
    <s v=""/>
    <n v="295305000"/>
    <x v="153"/>
    <s v="DI"/>
    <n v="100"/>
    <n v="3.75"/>
    <x v="171"/>
    <n v="252"/>
    <s v="Útil"/>
    <s v="N"/>
    <x v="1"/>
    <s v="S"/>
    <x v="1"/>
    <x v="13"/>
    <x v="0"/>
    <x v="45"/>
  </r>
  <r>
    <n v="0"/>
    <s v="InterCement4399046546"/>
    <n v="20"/>
    <s v="INTERCEMENT PARTICIPACOES S.A."/>
    <s v="InterCement"/>
    <x v="0"/>
    <n v="0"/>
    <s v="ITCT61    "/>
    <n v="27"/>
    <x v="145"/>
    <d v="2027-06-08T00:00:00"/>
    <x v="18"/>
    <n v="1"/>
    <x v="2"/>
    <x v="1"/>
    <n v="295305"/>
    <n v="1000"/>
    <s v=""/>
    <n v="295305000"/>
    <x v="153"/>
    <s v="DI"/>
    <n v="100"/>
    <n v="3.75"/>
    <x v="171"/>
    <n v="252"/>
    <s v="Útil"/>
    <s v="N"/>
    <x v="1"/>
    <s v="S"/>
    <x v="1"/>
    <x v="13"/>
    <x v="0"/>
    <x v="45"/>
  </r>
  <r>
    <n v="0"/>
    <s v="InterCement4399046546"/>
    <n v="20"/>
    <s v="INTERCEMENT PARTICIPACOES S.A."/>
    <s v="InterCement"/>
    <x v="0"/>
    <n v="0"/>
    <s v="ITCT71    "/>
    <n v="28"/>
    <x v="145"/>
    <d v="2027-06-08T00:00:00"/>
    <x v="18"/>
    <n v="1"/>
    <x v="2"/>
    <x v="1"/>
    <n v="389266"/>
    <n v="1000"/>
    <s v=""/>
    <n v="389266000"/>
    <x v="154"/>
    <s v="DI"/>
    <n v="100"/>
    <n v="3.75"/>
    <x v="171"/>
    <n v="252"/>
    <s v="Útil"/>
    <s v="N"/>
    <x v="1"/>
    <s v="S"/>
    <x v="1"/>
    <x v="13"/>
    <x v="0"/>
    <x v="45"/>
  </r>
  <r>
    <n v="0"/>
    <s v="InterCement4399046546"/>
    <n v="20"/>
    <s v="INTERCEMENT PARTICIPACOES S.A."/>
    <s v="InterCement"/>
    <x v="0"/>
    <n v="0"/>
    <s v="ITCT81    "/>
    <n v="29"/>
    <x v="145"/>
    <d v="2027-06-08T00:00:00"/>
    <x v="18"/>
    <n v="1"/>
    <x v="2"/>
    <x v="1"/>
    <n v="389266"/>
    <n v="1000"/>
    <s v=""/>
    <n v="389266000"/>
    <x v="154"/>
    <s v="DI"/>
    <n v="100"/>
    <n v="3.75"/>
    <x v="171"/>
    <n v="252"/>
    <s v="Útil"/>
    <s v="N"/>
    <x v="1"/>
    <s v="S"/>
    <x v="1"/>
    <x v="13"/>
    <x v="0"/>
    <x v="45"/>
  </r>
  <r>
    <n v="0"/>
    <s v="InterCement4399046546"/>
    <n v="20"/>
    <s v="INTERCEMENT PARTICIPACOES S.A."/>
    <s v="InterCement"/>
    <x v="0"/>
    <n v="0"/>
    <s v="ITCT91    "/>
    <n v="30"/>
    <x v="145"/>
    <d v="2027-06-08T00:00:00"/>
    <x v="18"/>
    <n v="1"/>
    <x v="2"/>
    <x v="1"/>
    <n v="389266"/>
    <n v="1000"/>
    <s v=""/>
    <n v="389266000"/>
    <x v="154"/>
    <s v="DI"/>
    <n v="100"/>
    <n v="3.75"/>
    <x v="171"/>
    <n v="252"/>
    <s v="Útil"/>
    <s v="N"/>
    <x v="1"/>
    <s v="S"/>
    <x v="1"/>
    <x v="13"/>
    <x v="0"/>
    <x v="45"/>
  </r>
  <r>
    <n v="66"/>
    <s v="InterCement4183717/07/2024"/>
    <n v="20"/>
    <s v="InterCement Financial Operations BV"/>
    <s v="InterCement"/>
    <x v="1"/>
    <n v="1"/>
    <m/>
    <n v="31"/>
    <x v="147"/>
    <s v="17/07/2024"/>
    <x v="12"/>
    <n v="1"/>
    <x v="1"/>
    <x v="0"/>
    <m/>
    <m/>
    <n v="2.2397"/>
    <n v="750000000"/>
    <x v="155"/>
    <s v="USD"/>
    <s v="-"/>
    <n v="5.75"/>
    <x v="173"/>
    <n v="360"/>
    <s v="Corrido"/>
    <s v="N"/>
    <x v="1"/>
    <s v="S"/>
    <x v="1"/>
    <x v="0"/>
    <x v="0"/>
    <x v="3"/>
  </r>
  <r>
    <n v="0"/>
    <s v="Iochpe-Maxion4372445551"/>
    <n v="21"/>
    <s v="IOCHPE-MAXION S/A"/>
    <s v="Iochpe-Maxion"/>
    <x v="0"/>
    <n v="0"/>
    <s v="IOCH10    "/>
    <n v="1"/>
    <x v="148"/>
    <d v="2024-09-16T00:00:00"/>
    <x v="5"/>
    <n v="1"/>
    <x v="2"/>
    <x v="1"/>
    <n v="350000"/>
    <n v="1000"/>
    <s v=""/>
    <n v="350000000"/>
    <x v="14"/>
    <s v="DI"/>
    <n v="100"/>
    <n v="0.75"/>
    <x v="51"/>
    <n v="252"/>
    <s v="Útil"/>
    <s v="N"/>
    <x v="1"/>
    <s v="S"/>
    <x v="1"/>
    <x v="1"/>
    <x v="0"/>
    <x v="13"/>
  </r>
  <r>
    <n v="0"/>
    <s v="Iochpe-Maxion4134844635"/>
    <n v="21"/>
    <s v="IOCHPE-MAXION S/A"/>
    <s v="Iochpe-Maxion"/>
    <x v="0"/>
    <n v="0"/>
    <s v="IOCH15    "/>
    <n v="2"/>
    <x v="149"/>
    <d v="2022-03-15T00:00:00"/>
    <x v="26"/>
    <n v="1"/>
    <x v="0"/>
    <x v="0"/>
    <n v="124000"/>
    <n v="10000"/>
    <s v=""/>
    <n v="1240000000"/>
    <x v="156"/>
    <s v="DI"/>
    <n v="100"/>
    <n v="3"/>
    <x v="2"/>
    <n v="252"/>
    <s v="Útil"/>
    <s v="N"/>
    <x v="1"/>
    <s v="S"/>
    <x v="1"/>
    <x v="1"/>
    <x v="0"/>
    <x v="99"/>
  </r>
  <r>
    <n v="0"/>
    <s v="Iochpe-Maxion4173043556"/>
    <n v="21"/>
    <s v="IOCHPE-MAXION S/A"/>
    <s v="Iochpe-Maxion"/>
    <x v="0"/>
    <n v="0"/>
    <s v="IOCH17    "/>
    <n v="3"/>
    <x v="150"/>
    <d v="2019-04-01T00:00:00"/>
    <x v="4"/>
    <n v="1"/>
    <x v="2"/>
    <x v="1"/>
    <n v="397732"/>
    <n v="1000"/>
    <s v=""/>
    <n v="397732000"/>
    <x v="157"/>
    <s v="DI"/>
    <n v="100"/>
    <n v="2"/>
    <x v="108"/>
    <n v="252"/>
    <s v="Útil"/>
    <s v="N"/>
    <x v="1"/>
    <s v="S"/>
    <x v="1"/>
    <x v="1"/>
    <x v="0"/>
    <x v="100"/>
  </r>
  <r>
    <n v="0"/>
    <s v="Iochpe-Maxion4318545011"/>
    <n v="21"/>
    <s v="IOCHPE-MAXION S/A"/>
    <s v="Iochpe-Maxion"/>
    <x v="0"/>
    <n v="0"/>
    <s v="IOCH18    "/>
    <n v="4"/>
    <x v="151"/>
    <d v="2023-03-26T00:00:00"/>
    <x v="4"/>
    <n v="1"/>
    <x v="2"/>
    <x v="1"/>
    <n v="450000"/>
    <n v="1000"/>
    <s v=""/>
    <n v="450000000"/>
    <x v="37"/>
    <s v="DI"/>
    <n v="100"/>
    <n v="1.4"/>
    <x v="4"/>
    <n v="252"/>
    <s v="Útil"/>
    <s v="N"/>
    <x v="1"/>
    <s v="S"/>
    <x v="1"/>
    <x v="1"/>
    <x v="0"/>
    <x v="9"/>
  </r>
  <r>
    <n v="0"/>
    <s v="Iochpe-Maxion4350745333"/>
    <n v="21"/>
    <s v="IOCHPE-MAXION S/A"/>
    <s v="Iochpe-Maxion"/>
    <x v="0"/>
    <n v="0"/>
    <s v="IOCH19    "/>
    <n v="5"/>
    <x v="152"/>
    <d v="2024-02-11T00:00:00"/>
    <x v="4"/>
    <n v="1"/>
    <x v="2"/>
    <x v="1"/>
    <n v="338800"/>
    <n v="1000"/>
    <s v=""/>
    <n v="338800000"/>
    <x v="158"/>
    <s v="DI"/>
    <n v="100"/>
    <n v="0.75"/>
    <x v="51"/>
    <n v="252"/>
    <s v="Útil"/>
    <s v="N"/>
    <x v="1"/>
    <s v="S"/>
    <x v="1"/>
    <x v="1"/>
    <x v="0"/>
    <x v="83"/>
  </r>
  <r>
    <n v="0"/>
    <s v="Iochpe-Maxion4173043556"/>
    <n v="21"/>
    <s v="IOCHPE-MAXION S/A"/>
    <s v="Iochpe-Maxion"/>
    <x v="0"/>
    <n v="0"/>
    <s v="IOCH27    "/>
    <n v="6"/>
    <x v="150"/>
    <d v="2019-04-01T00:00:00"/>
    <x v="4"/>
    <n v="1"/>
    <x v="2"/>
    <x v="1"/>
    <n v="250000"/>
    <n v="1000"/>
    <s v=""/>
    <n v="250000000"/>
    <x v="16"/>
    <s v="DI"/>
    <n v="99"/>
    <m/>
    <x v="174"/>
    <n v="252"/>
    <s v="Útil"/>
    <s v="N"/>
    <x v="1"/>
    <s v="S"/>
    <x v="1"/>
    <x v="1"/>
    <x v="0"/>
    <x v="100"/>
  </r>
  <r>
    <n v="0"/>
    <s v="Iochpe-Maxion4350746064"/>
    <n v="21"/>
    <s v="IOCHPE-MAXION S/A"/>
    <s v="Iochpe-Maxion"/>
    <x v="0"/>
    <n v="0"/>
    <s v="IOCH29    "/>
    <n v="7"/>
    <x v="152"/>
    <d v="2026-02-11T00:00:00"/>
    <x v="8"/>
    <n v="1"/>
    <x v="2"/>
    <x v="1"/>
    <n v="111200"/>
    <n v="1000"/>
    <s v=""/>
    <n v="111200000"/>
    <x v="159"/>
    <s v="DI"/>
    <n v="100"/>
    <n v="0.95"/>
    <x v="175"/>
    <n v="252"/>
    <s v="Útil"/>
    <s v="N"/>
    <x v="1"/>
    <s v="S"/>
    <x v="1"/>
    <x v="1"/>
    <x v="0"/>
    <x v="83"/>
  </r>
  <r>
    <n v="67"/>
    <s v="Iochpe-Maxion4432307/05/2028"/>
    <n v="21"/>
    <s v="Iochpe-Maxion Austria GmbH / Maxion Wheels de Mexico S de RL de CV"/>
    <s v="Iochpe-Maxion"/>
    <x v="1"/>
    <n v="1"/>
    <m/>
    <n v="8"/>
    <x v="153"/>
    <s v="07/05/2028"/>
    <x v="8"/>
    <n v="1"/>
    <x v="1"/>
    <x v="0"/>
    <m/>
    <m/>
    <n v="5.2210999999999999"/>
    <n v="400000000"/>
    <x v="160"/>
    <s v="USD"/>
    <s v="-"/>
    <n v="5"/>
    <x v="176"/>
    <n v="360"/>
    <s v="Corrido"/>
    <s v="N"/>
    <x v="1"/>
    <s v="S"/>
    <x v="1"/>
    <x v="11"/>
    <x v="0"/>
    <x v="101"/>
  </r>
  <r>
    <n v="0"/>
    <s v="Klabin4354347196"/>
    <n v="22"/>
    <s v="KLABIN S/A"/>
    <s v="Klabin"/>
    <x v="0"/>
    <n v="0"/>
    <s v="KLBNA2    "/>
    <n v="1"/>
    <x v="154"/>
    <d v="2029-03-19T00:00:00"/>
    <x v="12"/>
    <n v="1"/>
    <x v="2"/>
    <x v="1"/>
    <n v="100000"/>
    <n v="10000"/>
    <s v=""/>
    <n v="1000000000"/>
    <x v="18"/>
    <s v="DI"/>
    <n v="114.65"/>
    <m/>
    <x v="177"/>
    <n v="252"/>
    <s v="Útil"/>
    <s v="N"/>
    <x v="1"/>
    <s v="S"/>
    <x v="1"/>
    <x v="6"/>
    <x v="0"/>
    <x v="102"/>
  </r>
  <r>
    <n v="68"/>
    <s v="Klabin4355803/04/2049"/>
    <n v="22"/>
    <s v="Klabin Austria GmbH"/>
    <s v="Klabin"/>
    <x v="1"/>
    <n v="1"/>
    <m/>
    <n v="2"/>
    <x v="155"/>
    <s v="03/04/2049"/>
    <x v="33"/>
    <n v="1"/>
    <x v="1"/>
    <x v="0"/>
    <m/>
    <m/>
    <n v="3.843"/>
    <n v="500000000"/>
    <x v="161"/>
    <s v="USD"/>
    <s v="-"/>
    <n v="7"/>
    <x v="178"/>
    <n v="360"/>
    <s v="Corrido"/>
    <s v="N"/>
    <x v="1"/>
    <s v="S"/>
    <x v="1"/>
    <x v="6"/>
    <x v="0"/>
    <x v="76"/>
  </r>
  <r>
    <n v="69"/>
    <s v="Klabin4355803/04/2029"/>
    <n v="22"/>
    <s v="Klabin Austria GmbH"/>
    <s v="Klabin"/>
    <x v="1"/>
    <n v="1"/>
    <m/>
    <n v="3"/>
    <x v="155"/>
    <s v="03/04/2029"/>
    <x v="12"/>
    <n v="1"/>
    <x v="1"/>
    <x v="0"/>
    <m/>
    <m/>
    <n v="3.843"/>
    <n v="500000000"/>
    <x v="161"/>
    <s v="USD"/>
    <s v="-"/>
    <n v="5.75"/>
    <x v="179"/>
    <n v="360"/>
    <s v="Corrido"/>
    <s v="N"/>
    <x v="1"/>
    <s v="S"/>
    <x v="1"/>
    <x v="6"/>
    <x v="0"/>
    <x v="76"/>
  </r>
  <r>
    <n v="70"/>
    <s v="Klabin4420812/01/2031"/>
    <n v="22"/>
    <s v="Klabin Austria GmbH"/>
    <s v="Klabin"/>
    <x v="1"/>
    <n v="1"/>
    <m/>
    <n v="4"/>
    <x v="156"/>
    <s v="12/01/2031"/>
    <x v="1"/>
    <n v="1"/>
    <x v="1"/>
    <x v="0"/>
    <m/>
    <m/>
    <n v="5.4630999999999998"/>
    <n v="500000000"/>
    <x v="162"/>
    <s v="USD"/>
    <s v="-"/>
    <n v="3.2"/>
    <x v="180"/>
    <n v="360"/>
    <s v="Corrido"/>
    <s v="N"/>
    <x v="1"/>
    <s v="S"/>
    <x v="1"/>
    <x v="6"/>
    <x v="0"/>
    <x v="103"/>
  </r>
  <r>
    <n v="71"/>
    <s v="Klabin4299719/09/2027"/>
    <n v="22"/>
    <s v="Klabin Austria GmbH"/>
    <s v="Klabin"/>
    <x v="1"/>
    <n v="1"/>
    <m/>
    <n v="5"/>
    <x v="157"/>
    <s v="19/09/2027"/>
    <x v="1"/>
    <n v="1"/>
    <x v="1"/>
    <x v="0"/>
    <m/>
    <m/>
    <n v="3.1316999999999999"/>
    <n v="500000000"/>
    <x v="163"/>
    <s v="USD"/>
    <s v="-"/>
    <n v="4.875"/>
    <x v="181"/>
    <n v="360"/>
    <s v="Corrido"/>
    <s v="N"/>
    <x v="1"/>
    <s v="N"/>
    <x v="0"/>
    <x v="6"/>
    <x v="0"/>
    <x v="52"/>
  </r>
  <r>
    <n v="72"/>
    <s v="Klabin4183616/07/2024"/>
    <n v="22"/>
    <s v="Klabin Austria GmbH"/>
    <s v="Klabin"/>
    <x v="1"/>
    <n v="1"/>
    <m/>
    <n v="6"/>
    <x v="158"/>
    <s v="16/07/2024"/>
    <x v="12"/>
    <n v="1"/>
    <x v="1"/>
    <x v="0"/>
    <m/>
    <m/>
    <n v="2.2187000000000001"/>
    <n v="500000000"/>
    <x v="164"/>
    <s v="USD"/>
    <s v="-"/>
    <n v="5.25"/>
    <x v="182"/>
    <n v="360"/>
    <s v="Corrido"/>
    <s v="N"/>
    <x v="1"/>
    <s v="N"/>
    <x v="0"/>
    <x v="2"/>
    <x v="1"/>
    <x v="5"/>
  </r>
  <r>
    <n v="73"/>
    <s v="Klabin4385103/04/2049"/>
    <n v="22"/>
    <s v="Klabin Austria GmbH"/>
    <s v="Klabin"/>
    <x v="1"/>
    <n v="1"/>
    <m/>
    <n v="7"/>
    <x v="159"/>
    <s v="03/04/2049"/>
    <x v="77"/>
    <n v="1"/>
    <x v="1"/>
    <x v="0"/>
    <m/>
    <m/>
    <n v="4.2008000000000001"/>
    <n v="200000000"/>
    <x v="165"/>
    <s v="USD"/>
    <s v="-"/>
    <n v="7"/>
    <x v="183"/>
    <n v="360"/>
    <s v="Corrido"/>
    <s v="N"/>
    <x v="1"/>
    <s v="S"/>
    <x v="1"/>
    <x v="6"/>
    <x v="0"/>
    <x v="5"/>
  </r>
  <r>
    <n v="74"/>
    <s v="Klabin4365703/04/2029"/>
    <n v="22"/>
    <s v="Klabin Austria GmbH"/>
    <s v="Klabin"/>
    <x v="1"/>
    <n v="1"/>
    <m/>
    <n v="8"/>
    <x v="160"/>
    <s v="03/04/2029"/>
    <x v="78"/>
    <n v="1"/>
    <x v="1"/>
    <x v="0"/>
    <m/>
    <m/>
    <n v="3.7526999999999999"/>
    <n v="250000000"/>
    <x v="166"/>
    <s v="USD"/>
    <s v="-"/>
    <n v="5.75"/>
    <x v="184"/>
    <n v="360"/>
    <s v="Corrido"/>
    <s v="N"/>
    <x v="1"/>
    <s v="S"/>
    <x v="1"/>
    <x v="6"/>
    <x v="0"/>
    <x v="11"/>
  </r>
  <r>
    <n v="0"/>
    <s v="Light Energia4064341985"/>
    <n v="23"/>
    <s v="LIGHT ENERGIA S.A"/>
    <s v="Light Energia"/>
    <x v="0"/>
    <n v="0"/>
    <s v="LGTE11    "/>
    <n v="1"/>
    <x v="161"/>
    <d v="2014-12-12T00:00:00"/>
    <x v="79"/>
    <n v="0"/>
    <x v="2"/>
    <x v="1"/>
    <n v="17000"/>
    <n v="10000"/>
    <s v=""/>
    <n v="170000000"/>
    <x v="167"/>
    <s v="DI"/>
    <n v="100"/>
    <n v="1.45"/>
    <x v="72"/>
    <n v="252"/>
    <s v="Útil"/>
    <s v="N"/>
    <x v="1"/>
    <s v="S"/>
    <x v="1"/>
    <x v="1"/>
    <x v="0"/>
    <x v="31"/>
  </r>
  <r>
    <n v="0"/>
    <s v="Light Energia4269043055"/>
    <n v="23"/>
    <s v="LIGHT ENERGIA S.A"/>
    <s v="Light Energia"/>
    <x v="0"/>
    <n v="0"/>
    <s v="LGTE14    "/>
    <n v="2"/>
    <x v="162"/>
    <d v="2017-11-16T00:00:00"/>
    <x v="29"/>
    <n v="0"/>
    <x v="2"/>
    <x v="1"/>
    <n v="100000"/>
    <n v="1000"/>
    <s v=""/>
    <n v="100000000"/>
    <x v="33"/>
    <s v="DI"/>
    <n v="100"/>
    <n v="4"/>
    <x v="185"/>
    <n v="252"/>
    <s v="Útil"/>
    <s v="N"/>
    <x v="1"/>
    <s v="N"/>
    <x v="0"/>
    <x v="1"/>
    <x v="0"/>
    <x v="104"/>
  </r>
  <r>
    <n v="0"/>
    <s v="Light Energia4284543373"/>
    <n v="23"/>
    <s v="LIGHT ENERGIA S.A"/>
    <s v="Light Energia"/>
    <x v="0"/>
    <n v="0"/>
    <s v="LGTE15    "/>
    <n v="3"/>
    <x v="163"/>
    <d v="2018-09-30T00:00:00"/>
    <x v="80"/>
    <n v="0"/>
    <x v="2"/>
    <x v="1"/>
    <n v="150000"/>
    <n v="1000"/>
    <s v=""/>
    <n v="150000000"/>
    <x v="2"/>
    <s v="DI"/>
    <n v="100"/>
    <n v="4.0999999999999996"/>
    <x v="186"/>
    <n v="252"/>
    <s v="Útil"/>
    <s v="N"/>
    <x v="1"/>
    <s v="S"/>
    <x v="1"/>
    <x v="1"/>
    <x v="0"/>
    <x v="105"/>
  </r>
  <r>
    <n v="0"/>
    <s v="Light Energia4306343793"/>
    <n v="23"/>
    <s v="LIGHT ENERGIA S.A"/>
    <s v="Light Energia"/>
    <x v="0"/>
    <n v="0"/>
    <s v="LGTE16    "/>
    <n v="4"/>
    <x v="164"/>
    <d v="2019-11-24T00:00:00"/>
    <x v="19"/>
    <n v="0"/>
    <x v="2"/>
    <x v="1"/>
    <n v="100000"/>
    <n v="1000"/>
    <s v=""/>
    <n v="100000000"/>
    <x v="33"/>
    <s v="DI"/>
    <n v="100"/>
    <n v="3.5"/>
    <x v="58"/>
    <n v="252"/>
    <s v="Útil"/>
    <s v="N"/>
    <x v="1"/>
    <s v="N"/>
    <x v="0"/>
    <x v="1"/>
    <x v="0"/>
    <x v="16"/>
  </r>
  <r>
    <n v="0"/>
    <s v="Light Energia4439246949"/>
    <n v="23"/>
    <s v="LIGHT ENERGIA S.A"/>
    <s v="Light Energia"/>
    <x v="0"/>
    <n v="0"/>
    <s v="LGTE17    "/>
    <n v="5"/>
    <x v="91"/>
    <d v="2028-07-15T00:00:00"/>
    <x v="8"/>
    <n v="1"/>
    <x v="2"/>
    <x v="1"/>
    <n v="400000"/>
    <n v="1000"/>
    <s v=""/>
    <n v="400000000"/>
    <x v="0"/>
    <s v="IPCA"/>
    <s v="-"/>
    <n v="4.8499999999999996"/>
    <x v="187"/>
    <n v="252"/>
    <s v="Útil"/>
    <s v="S"/>
    <x v="0"/>
    <s v="N"/>
    <x v="0"/>
    <x v="11"/>
    <x v="0"/>
    <x v="7"/>
  </r>
  <r>
    <n v="0"/>
    <s v="Light Energia4439246949"/>
    <n v="23"/>
    <s v="LIGHT ENERGIA S.A"/>
    <s v="Light Energia"/>
    <x v="0"/>
    <n v="0"/>
    <s v="LGTE27    "/>
    <n v="6"/>
    <x v="91"/>
    <d v="2028-07-15T00:00:00"/>
    <x v="8"/>
    <n v="1"/>
    <x v="2"/>
    <x v="1"/>
    <n v="100000"/>
    <n v="1000"/>
    <s v=""/>
    <n v="100000000"/>
    <x v="33"/>
    <s v="IPCA"/>
    <s v="-"/>
    <n v="4.8499999999999996"/>
    <x v="187"/>
    <n v="252"/>
    <s v="Útil"/>
    <s v="S"/>
    <x v="0"/>
    <s v="N"/>
    <x v="0"/>
    <x v="11"/>
    <x v="0"/>
    <x v="7"/>
  </r>
  <r>
    <n v="0"/>
    <s v="Light Energia4090643696"/>
    <n v="23"/>
    <s v="LIGHT ENERGIA S.A"/>
    <s v="Light Energia"/>
    <x v="0"/>
    <n v="0"/>
    <s v="LTEN12    "/>
    <n v="7"/>
    <x v="165"/>
    <d v="2019-08-19T00:00:00"/>
    <x v="81"/>
    <n v="1"/>
    <x v="2"/>
    <x v="1"/>
    <n v="425"/>
    <n v="1000000"/>
    <s v=""/>
    <n v="425000000"/>
    <x v="168"/>
    <s v="DI"/>
    <n v="100"/>
    <n v="1.18"/>
    <x v="188"/>
    <n v="252"/>
    <s v="Útil"/>
    <s v="N"/>
    <x v="1"/>
    <s v="S"/>
    <x v="1"/>
    <x v="1"/>
    <x v="0"/>
    <x v="106"/>
  </r>
  <r>
    <n v="0"/>
    <s v="Light Energia4421145672"/>
    <n v="23"/>
    <s v="LIGHT SERVICOS DE ELETRICIDADE S/A"/>
    <s v="Light Energia"/>
    <x v="0"/>
    <n v="0"/>
    <s v="LIGH1B    "/>
    <n v="8"/>
    <x v="166"/>
    <d v="2025-01-15T00:00:00"/>
    <x v="46"/>
    <n v="0"/>
    <x v="2"/>
    <x v="1"/>
    <n v="360000"/>
    <n v="1000"/>
    <s v=""/>
    <n v="360000000"/>
    <x v="169"/>
    <s v="DI"/>
    <n v="100"/>
    <n v="2.6"/>
    <x v="189"/>
    <n v="252"/>
    <s v="Útil"/>
    <s v="N"/>
    <x v="1"/>
    <s v="S"/>
    <x v="1"/>
    <x v="11"/>
    <x v="0"/>
    <x v="63"/>
  </r>
  <r>
    <n v="0"/>
    <s v="Light Energia4253443264"/>
    <n v="23"/>
    <s v="LIGHT SERVICOS DE ELETRICIDADE S/A"/>
    <s v="Light Energia"/>
    <x v="0"/>
    <n v="0"/>
    <s v="LIGHA1    "/>
    <n v="9"/>
    <x v="167"/>
    <d v="2018-06-13T00:00:00"/>
    <x v="19"/>
    <n v="0"/>
    <x v="2"/>
    <x v="1"/>
    <n v="17500"/>
    <n v="10000"/>
    <s v=""/>
    <n v="175000000"/>
    <x v="170"/>
    <s v="DI"/>
    <n v="100"/>
    <n v="4.05"/>
    <x v="53"/>
    <n v="252"/>
    <s v="Útil"/>
    <s v="N"/>
    <x v="1"/>
    <s v="S"/>
    <x v="1"/>
    <x v="1"/>
    <x v="0"/>
    <x v="107"/>
  </r>
  <r>
    <n v="0"/>
    <s v="Light Energia4292343480"/>
    <n v="23"/>
    <s v="LIGHT SERVICOS DE ELETRICIDADE S/A"/>
    <s v="Light Energia"/>
    <x v="0"/>
    <n v="0"/>
    <s v="LIGHA2    "/>
    <n v="10"/>
    <x v="168"/>
    <d v="2019-01-15T00:00:00"/>
    <x v="82"/>
    <n v="0"/>
    <x v="2"/>
    <x v="1"/>
    <n v="198778"/>
    <n v="1000"/>
    <s v=""/>
    <n v="198778000"/>
    <x v="171"/>
    <s v="DI"/>
    <n v="100"/>
    <n v="4"/>
    <x v="185"/>
    <n v="252"/>
    <s v="Útil"/>
    <s v="N"/>
    <x v="1"/>
    <s v="S"/>
    <x v="1"/>
    <x v="1"/>
    <x v="0"/>
    <x v="108"/>
  </r>
  <r>
    <n v="0"/>
    <s v="Light Energia4302344849"/>
    <n v="23"/>
    <s v="LIGHT SERVICOS DE ELETRICIDADE S/A"/>
    <s v="Light Energia"/>
    <x v="0"/>
    <n v="0"/>
    <s v="LIGHA3    "/>
    <n v="11"/>
    <x v="169"/>
    <d v="2022-10-15T00:00:00"/>
    <x v="4"/>
    <n v="1"/>
    <x v="2"/>
    <x v="1"/>
    <n v="458664"/>
    <n v="1000"/>
    <s v=""/>
    <n v="458664000"/>
    <x v="172"/>
    <s v="IPCA"/>
    <s v="-"/>
    <n v="7.4366000000000003"/>
    <x v="190"/>
    <n v="252"/>
    <s v="Útil"/>
    <s v="S"/>
    <x v="0"/>
    <s v="S"/>
    <x v="1"/>
    <x v="1"/>
    <x v="0"/>
    <x v="41"/>
  </r>
  <r>
    <n v="0"/>
    <s v="Light Energia4318844284"/>
    <n v="23"/>
    <s v="LIGHT SERVICOS DE ELETRICIDADE S/A"/>
    <s v="Light Energia"/>
    <x v="0"/>
    <n v="0"/>
    <s v="LIGHA4    "/>
    <n v="12"/>
    <x v="170"/>
    <d v="2021-03-29T00:00:00"/>
    <x v="16"/>
    <n v="0"/>
    <x v="2"/>
    <x v="1"/>
    <n v="425000"/>
    <n v="1000"/>
    <s v=""/>
    <n v="425000000"/>
    <x v="168"/>
    <s v="DI"/>
    <n v="100"/>
    <n v="3.5"/>
    <x v="58"/>
    <n v="252"/>
    <s v="Útil"/>
    <s v="N"/>
    <x v="1"/>
    <s v="S"/>
    <x v="1"/>
    <x v="11"/>
    <x v="0"/>
    <x v="9"/>
  </r>
  <r>
    <n v="0"/>
    <s v="Light Energia4338845945"/>
    <n v="23"/>
    <s v="LIGHT SERVICOS DE ELETRICIDADE S/A"/>
    <s v="Light Energia"/>
    <x v="0"/>
    <n v="0"/>
    <s v="LIGHA5    "/>
    <n v="13"/>
    <x v="171"/>
    <d v="2025-10-15T00:00:00"/>
    <x v="8"/>
    <n v="1"/>
    <x v="2"/>
    <x v="1"/>
    <n v="540000"/>
    <n v="1000"/>
    <s v=""/>
    <n v="540000000"/>
    <x v="173"/>
    <s v="IPCA"/>
    <s v="-"/>
    <n v="6.8278999999999996"/>
    <x v="191"/>
    <n v="252"/>
    <s v="Útil"/>
    <s v="S"/>
    <x v="0"/>
    <s v="N"/>
    <x v="0"/>
    <x v="11"/>
    <x v="0"/>
    <x v="101"/>
  </r>
  <r>
    <n v="0"/>
    <s v="Light Energia4357044666"/>
    <n v="23"/>
    <s v="LIGHT SERVICOS DE ELETRICIDADE S/A"/>
    <s v="Light Energia"/>
    <x v="0"/>
    <n v="0"/>
    <s v="LIGHA6    "/>
    <n v="14"/>
    <x v="172"/>
    <d v="2022-04-15T00:00:00"/>
    <x v="16"/>
    <n v="0"/>
    <x v="2"/>
    <x v="1"/>
    <n v="132500"/>
    <n v="1000"/>
    <s v=""/>
    <n v="132500000"/>
    <x v="174"/>
    <s v="DI"/>
    <n v="100"/>
    <n v="0.9"/>
    <x v="88"/>
    <n v="252"/>
    <s v="Útil"/>
    <s v="N"/>
    <x v="1"/>
    <s v="S"/>
    <x v="1"/>
    <x v="11"/>
    <x v="0"/>
    <x v="17"/>
  </r>
  <r>
    <n v="0"/>
    <s v="Light Energia4375344849"/>
    <n v="23"/>
    <s v="LIGHT SERVICOS DE ELETRICIDADE S/A"/>
    <s v="Light Energia"/>
    <x v="0"/>
    <n v="0"/>
    <s v="LIGHA7    "/>
    <n v="15"/>
    <x v="173"/>
    <d v="2022-10-15T00:00:00"/>
    <x v="16"/>
    <n v="0"/>
    <x v="2"/>
    <x v="1"/>
    <n v="500400"/>
    <n v="1000"/>
    <s v=""/>
    <n v="500400000"/>
    <x v="175"/>
    <s v="DI"/>
    <n v="100"/>
    <n v="1.5"/>
    <x v="47"/>
    <n v="252"/>
    <s v="Útil"/>
    <s v="N"/>
    <x v="1"/>
    <s v="S"/>
    <x v="1"/>
    <x v="11"/>
    <x v="0"/>
    <x v="109"/>
  </r>
  <r>
    <n v="0"/>
    <s v="Light Energia4393644301"/>
    <n v="23"/>
    <s v="LIGHT SERVICOS DE ELETRICIDADE S/A"/>
    <s v="Light Energia"/>
    <x v="0"/>
    <n v="0"/>
    <s v="LIGHA8    "/>
    <n v="16"/>
    <x v="174"/>
    <d v="2021-04-15T00:00:00"/>
    <x v="29"/>
    <n v="0"/>
    <x v="2"/>
    <x v="1"/>
    <n v="400000"/>
    <n v="1000"/>
    <s v=""/>
    <n v="400000000"/>
    <x v="0"/>
    <s v="DI"/>
    <n v="100"/>
    <n v="2.5099999999999998"/>
    <x v="192"/>
    <n v="252"/>
    <s v="Útil"/>
    <s v="N"/>
    <x v="1"/>
    <s v="S"/>
    <x v="1"/>
    <x v="11"/>
    <x v="0"/>
    <x v="110"/>
  </r>
  <r>
    <n v="0"/>
    <s v="Light Energia4404045853"/>
    <n v="23"/>
    <s v="LIGHT SERVICOS DE ELETRICIDADE S/A"/>
    <s v="Light Energia"/>
    <x v="0"/>
    <n v="0"/>
    <s v="LIGHA9    "/>
    <n v="17"/>
    <x v="175"/>
    <d v="2025-07-15T00:00:00"/>
    <x v="83"/>
    <n v="0"/>
    <x v="2"/>
    <x v="1"/>
    <n v="500000"/>
    <n v="1000"/>
    <s v=""/>
    <n v="500000000"/>
    <x v="10"/>
    <s v="IPCA"/>
    <s v="-"/>
    <n v="5.8"/>
    <x v="193"/>
    <n v="252"/>
    <s v="Útil"/>
    <s v="S"/>
    <x v="0"/>
    <s v="N"/>
    <x v="0"/>
    <x v="11"/>
    <x v="0"/>
    <x v="111"/>
  </r>
  <r>
    <n v="0"/>
    <s v="Light Energia4405845884"/>
    <n v="23"/>
    <s v="LIGHT SERVICOS DE ELETRICIDADE S/A"/>
    <s v="Light Energia"/>
    <x v="0"/>
    <n v="0"/>
    <s v="LIGHB0    "/>
    <n v="18"/>
    <x v="176"/>
    <d v="2025-08-15T00:00:00"/>
    <x v="4"/>
    <n v="1"/>
    <x v="2"/>
    <x v="1"/>
    <n v="600000"/>
    <n v="1000"/>
    <s v=""/>
    <n v="600000000"/>
    <x v="30"/>
    <s v="IPCA"/>
    <s v="-"/>
    <n v="5.0867000000000004"/>
    <x v="194"/>
    <n v="252"/>
    <s v="Útil"/>
    <s v="S"/>
    <x v="0"/>
    <s v="N"/>
    <x v="0"/>
    <x v="11"/>
    <x v="0"/>
    <x v="112"/>
  </r>
  <r>
    <n v="0"/>
    <s v="Light Energia4292344027"/>
    <n v="23"/>
    <s v="LIGHT SERVICOS DE ELETRICIDADE S/A"/>
    <s v="Light Energia"/>
    <x v="0"/>
    <n v="0"/>
    <s v="LIGHB2    "/>
    <n v="19"/>
    <x v="168"/>
    <d v="2020-07-15T00:00:00"/>
    <x v="84"/>
    <n v="0"/>
    <x v="2"/>
    <x v="1"/>
    <n v="147889"/>
    <n v="1000"/>
    <s v=""/>
    <n v="147889000"/>
    <x v="176"/>
    <s v="DI"/>
    <n v="100"/>
    <n v="4.2"/>
    <x v="195"/>
    <n v="252"/>
    <s v="Útil"/>
    <s v="N"/>
    <x v="1"/>
    <s v="S"/>
    <x v="1"/>
    <x v="1"/>
    <x v="0"/>
    <x v="108"/>
  </r>
  <r>
    <n v="0"/>
    <s v="Light Energia4338844849"/>
    <n v="23"/>
    <s v="LIGHT SERVICOS DE ELETRICIDADE S/A"/>
    <s v="Light Energia"/>
    <x v="0"/>
    <n v="0"/>
    <s v="LIGHB5    "/>
    <n v="20"/>
    <x v="171"/>
    <d v="2022-10-15T00:00:00"/>
    <x v="46"/>
    <n v="0"/>
    <x v="2"/>
    <x v="1"/>
    <n v="160000"/>
    <n v="1000"/>
    <s v=""/>
    <n v="160000000"/>
    <x v="38"/>
    <s v="DI"/>
    <n v="100"/>
    <n v="2.2000000000000002"/>
    <x v="196"/>
    <n v="252"/>
    <s v="Útil"/>
    <s v="N"/>
    <x v="1"/>
    <s v="S"/>
    <x v="1"/>
    <x v="11"/>
    <x v="0"/>
    <x v="101"/>
  </r>
  <r>
    <n v="0"/>
    <s v="Light Energia4357045397"/>
    <n v="23"/>
    <s v="LIGHT SERVICOS DE ELETRICIDADE S/A"/>
    <s v="Light Energia"/>
    <x v="0"/>
    <n v="0"/>
    <s v="LIGHB6    "/>
    <n v="21"/>
    <x v="172"/>
    <d v="2024-04-15T00:00:00"/>
    <x v="5"/>
    <n v="1"/>
    <x v="2"/>
    <x v="1"/>
    <n v="422950"/>
    <n v="1000"/>
    <s v=""/>
    <n v="422950000"/>
    <x v="177"/>
    <s v="DI"/>
    <n v="100"/>
    <n v="1.25"/>
    <x v="167"/>
    <n v="252"/>
    <s v="Útil"/>
    <s v="N"/>
    <x v="1"/>
    <s v="S"/>
    <x v="1"/>
    <x v="11"/>
    <x v="0"/>
    <x v="17"/>
  </r>
  <r>
    <n v="0"/>
    <s v="Light Energia4375345580"/>
    <n v="23"/>
    <s v="LIGHT SERVICOS DE ELETRICIDADE S/A"/>
    <s v="Light Energia"/>
    <x v="0"/>
    <n v="0"/>
    <s v="LIGHB7    "/>
    <n v="22"/>
    <x v="173"/>
    <d v="2024-10-15T00:00:00"/>
    <x v="5"/>
    <n v="1"/>
    <x v="2"/>
    <x v="1"/>
    <n v="50000"/>
    <n v="1000"/>
    <s v=""/>
    <n v="50000000"/>
    <x v="39"/>
    <s v="DI"/>
    <n v="100"/>
    <n v="1.75"/>
    <x v="85"/>
    <n v="252"/>
    <s v="Útil"/>
    <s v="N"/>
    <x v="1"/>
    <s v="S"/>
    <x v="1"/>
    <x v="11"/>
    <x v="0"/>
    <x v="109"/>
  </r>
  <r>
    <n v="0"/>
    <s v="Light Energia4292344027"/>
    <n v="23"/>
    <s v="LIGHT SERVICOS DE ELETRICIDADE S/A"/>
    <s v="Light Energia"/>
    <x v="0"/>
    <n v="0"/>
    <s v="LIGHC2    "/>
    <n v="23"/>
    <x v="168"/>
    <d v="2020-07-15T00:00:00"/>
    <x v="84"/>
    <n v="0"/>
    <x v="2"/>
    <x v="1"/>
    <n v="53333"/>
    <n v="1000"/>
    <s v=""/>
    <n v="53333000"/>
    <x v="178"/>
    <s v="IPCA"/>
    <s v="-"/>
    <n v="9.0920000000000005"/>
    <x v="197"/>
    <n v="252"/>
    <s v="Útil"/>
    <s v="N"/>
    <x v="1"/>
    <s v="S"/>
    <x v="1"/>
    <x v="1"/>
    <x v="0"/>
    <x v="108"/>
  </r>
  <r>
    <n v="0"/>
    <s v="Light Energia4448446310"/>
    <n v="23"/>
    <s v="LIGHT SERVICOS DE ELETRICIDADE S/A"/>
    <s v="Light Energia"/>
    <x v="0"/>
    <n v="0"/>
    <s v="LIGHC3    "/>
    <n v="24"/>
    <x v="132"/>
    <d v="2026-10-15T00:00:00"/>
    <x v="4"/>
    <n v="1"/>
    <x v="2"/>
    <x v="1"/>
    <n v="263500"/>
    <n v="1000"/>
    <s v=""/>
    <n v="263500000"/>
    <x v="179"/>
    <s v="DI"/>
    <n v="100"/>
    <n v="1.65"/>
    <x v="107"/>
    <n v="252"/>
    <s v="Útil"/>
    <s v="N"/>
    <x v="1"/>
    <s v="N"/>
    <x v="0"/>
    <x v="11"/>
    <x v="0"/>
    <x v="90"/>
  </r>
  <r>
    <n v="0"/>
    <s v="Light Energia4357045762"/>
    <n v="23"/>
    <s v="LIGHT SERVICOS DE ELETRICIDADE S/A"/>
    <s v="Light Energia"/>
    <x v="0"/>
    <n v="0"/>
    <s v="LIGHC6    "/>
    <n v="25"/>
    <x v="172"/>
    <d v="2025-04-15T00:00:00"/>
    <x v="11"/>
    <n v="1"/>
    <x v="2"/>
    <x v="1"/>
    <n v="62500"/>
    <n v="1000"/>
    <s v=""/>
    <n v="62500000"/>
    <x v="180"/>
    <s v="DI"/>
    <n v="100"/>
    <n v="1.35"/>
    <x v="198"/>
    <n v="252"/>
    <s v="Útil"/>
    <s v="N"/>
    <x v="1"/>
    <s v="S"/>
    <x v="1"/>
    <x v="11"/>
    <x v="0"/>
    <x v="17"/>
  </r>
  <r>
    <n v="0"/>
    <s v="Light Energia4430147953"/>
    <n v="23"/>
    <s v="LIGHT SERVICOS DE ELETRICIDADE S/A"/>
    <s v="Light Energia"/>
    <x v="0"/>
    <n v="0"/>
    <s v="LIGHD2    "/>
    <n v="26"/>
    <x v="109"/>
    <d v="2031-04-15T00:00:00"/>
    <x v="1"/>
    <n v="1"/>
    <x v="2"/>
    <x v="1"/>
    <n v="916381"/>
    <n v="1000"/>
    <s v=""/>
    <n v="916381000"/>
    <x v="181"/>
    <s v="IPCA"/>
    <s v="-"/>
    <n v="4.7542999999999997"/>
    <x v="199"/>
    <n v="252"/>
    <s v="Útil"/>
    <s v="S"/>
    <x v="0"/>
    <s v="N"/>
    <x v="0"/>
    <x v="11"/>
    <x v="0"/>
    <x v="80"/>
  </r>
  <r>
    <n v="0"/>
    <s v="Light Energia4448447041"/>
    <n v="23"/>
    <s v="LIGHT SERVICOS DE ELETRICIDADE S/A"/>
    <s v="Light Energia"/>
    <x v="0"/>
    <n v="0"/>
    <s v="LIGHD3    "/>
    <n v="27"/>
    <x v="132"/>
    <d v="2028-10-15T00:00:00"/>
    <x v="8"/>
    <n v="1"/>
    <x v="2"/>
    <x v="1"/>
    <n v="268500"/>
    <n v="1000"/>
    <s v=""/>
    <n v="268500000"/>
    <x v="182"/>
    <s v="DI"/>
    <n v="100"/>
    <n v="1.95"/>
    <x v="55"/>
    <n v="252"/>
    <s v="Útil"/>
    <s v="N"/>
    <x v="1"/>
    <s v="N"/>
    <x v="0"/>
    <x v="11"/>
    <x v="0"/>
    <x v="90"/>
  </r>
  <r>
    <n v="0"/>
    <s v="Light Energia4375346310"/>
    <n v="23"/>
    <s v="LIGHT SERVICOS DE ELETRICIDADE S/A"/>
    <s v="Light Energia"/>
    <x v="0"/>
    <n v="0"/>
    <s v="LIGHD7    "/>
    <n v="28"/>
    <x v="173"/>
    <d v="2026-10-15T00:00:00"/>
    <x v="8"/>
    <n v="1"/>
    <x v="2"/>
    <x v="1"/>
    <n v="149600"/>
    <n v="1000"/>
    <s v=""/>
    <n v="149600000"/>
    <x v="183"/>
    <s v="IPCA"/>
    <s v="-"/>
    <n v="5.25"/>
    <x v="200"/>
    <n v="252"/>
    <s v="Útil"/>
    <s v="N"/>
    <x v="1"/>
    <s v="S"/>
    <x v="1"/>
    <x v="11"/>
    <x v="0"/>
    <x v="109"/>
  </r>
  <r>
    <n v="0"/>
    <s v="Light Energia4176843960"/>
    <n v="23"/>
    <s v="LIGHT SERVICOS DE ELETRICIDADE S/A"/>
    <s v="Light Energia"/>
    <x v="0"/>
    <n v="0"/>
    <s v="LSVE10    "/>
    <n v="29"/>
    <x v="118"/>
    <d v="2020-05-09T00:00:00"/>
    <x v="11"/>
    <n v="1"/>
    <x v="2"/>
    <x v="1"/>
    <n v="75000"/>
    <n v="10000"/>
    <s v=""/>
    <n v="750000000"/>
    <x v="89"/>
    <s v="DI"/>
    <n v="115"/>
    <m/>
    <x v="201"/>
    <n v="252"/>
    <s v="Útil"/>
    <s v="N"/>
    <x v="1"/>
    <s v="S"/>
    <x v="1"/>
    <x v="1"/>
    <x v="0"/>
    <x v="47"/>
  </r>
  <r>
    <n v="0"/>
    <s v="Light Energia4066541985"/>
    <n v="23"/>
    <s v="LIGHT SERVICOS DE ELETRICIDADE S/A"/>
    <s v="Light Energia"/>
    <x v="0"/>
    <n v="0"/>
    <s v="LSVE17    "/>
    <n v="30"/>
    <x v="177"/>
    <d v="2014-12-12T00:00:00"/>
    <x v="85"/>
    <n v="0"/>
    <x v="2"/>
    <x v="1"/>
    <n v="65000"/>
    <n v="10000"/>
    <s v=""/>
    <n v="650000000"/>
    <x v="184"/>
    <s v="DI"/>
    <n v="100"/>
    <n v="1.35"/>
    <x v="198"/>
    <n v="252"/>
    <s v="Útil"/>
    <s v="N"/>
    <x v="1"/>
    <s v="S"/>
    <x v="1"/>
    <x v="1"/>
    <x v="0"/>
    <x v="71"/>
  </r>
  <r>
    <n v="0"/>
    <s v="Light Energia4144044331"/>
    <n v="23"/>
    <s v="LIGHT SERVICOS DE ELETRICIDADE S/A"/>
    <s v="Light Energia"/>
    <x v="0"/>
    <n v="0"/>
    <s v="LSVE19    "/>
    <n v="31"/>
    <x v="178"/>
    <d v="2021-05-15T00:00:00"/>
    <x v="86"/>
    <n v="1"/>
    <x v="2"/>
    <x v="1"/>
    <n v="100000"/>
    <n v="10000"/>
    <s v=""/>
    <n v="1000000000"/>
    <x v="18"/>
    <s v="DI"/>
    <n v="100"/>
    <n v="1.1499999999999999"/>
    <x v="202"/>
    <n v="252"/>
    <s v="Útil"/>
    <s v="N"/>
    <x v="1"/>
    <s v="S"/>
    <x v="1"/>
    <x v="1"/>
    <x v="0"/>
    <x v="113"/>
  </r>
  <r>
    <n v="0"/>
    <s v="Light Energia4144045061"/>
    <n v="23"/>
    <s v="LIGHT SERVICOS DE ELETRICIDADE S/A"/>
    <s v="Light Energia"/>
    <x v="0"/>
    <n v="0"/>
    <s v="LSVE29    "/>
    <n v="32"/>
    <x v="178"/>
    <d v="2023-05-15T00:00:00"/>
    <x v="87"/>
    <n v="1"/>
    <x v="2"/>
    <x v="1"/>
    <n v="60000"/>
    <n v="10000"/>
    <s v=""/>
    <n v="600000000"/>
    <x v="30"/>
    <s v="IPCA"/>
    <s v="-"/>
    <n v="5.74"/>
    <x v="203"/>
    <n v="252"/>
    <s v="Útil"/>
    <s v="N"/>
    <x v="1"/>
    <s v="S"/>
    <x v="1"/>
    <x v="1"/>
    <x v="0"/>
    <x v="113"/>
  </r>
  <r>
    <n v="75"/>
    <s v="Light Energia4436518/06/2026"/>
    <n v="23"/>
    <s v="Light Servicos de Eletricidade SA/Light Energia SA"/>
    <s v="Light Energia"/>
    <x v="1"/>
    <n v="1"/>
    <m/>
    <n v="33"/>
    <x v="179"/>
    <s v="18/06/2026"/>
    <x v="4"/>
    <n v="1"/>
    <x v="1"/>
    <x v="0"/>
    <m/>
    <m/>
    <n v="5.0313999999999997"/>
    <n v="600000000"/>
    <x v="185"/>
    <s v="USD"/>
    <s v="-"/>
    <n v="4.375"/>
    <x v="204"/>
    <n v="360"/>
    <s v="Corrido"/>
    <s v="N"/>
    <x v="1"/>
    <s v="S"/>
    <x v="1"/>
    <x v="11"/>
    <x v="0"/>
    <x v="61"/>
  </r>
  <r>
    <n v="76"/>
    <s v="Light Energia4322203/05/2023"/>
    <n v="23"/>
    <s v="Light Servicos de Eletricidade SA/Light Energia SA"/>
    <s v="Light Energia"/>
    <x v="1"/>
    <n v="1"/>
    <m/>
    <n v="34"/>
    <x v="180"/>
    <s v="03/05/2023"/>
    <x v="5"/>
    <n v="1"/>
    <x v="1"/>
    <x v="0"/>
    <m/>
    <m/>
    <n v="3.5417999999999998"/>
    <n v="600000000"/>
    <x v="186"/>
    <s v="USD"/>
    <s v="-"/>
    <n v="7.25"/>
    <x v="205"/>
    <n v="360"/>
    <s v="Corrido"/>
    <s v="N"/>
    <x v="1"/>
    <s v="S"/>
    <x v="1"/>
    <x v="11"/>
    <x v="0"/>
    <x v="77"/>
  </r>
  <r>
    <n v="0"/>
    <s v="Marfrig4056142022"/>
    <n v="24"/>
    <s v="MARFRIG GLOBAL FOODS S.A."/>
    <s v="Marfrig"/>
    <x v="0"/>
    <n v="0"/>
    <s v="MRFG13    "/>
    <n v="1"/>
    <x v="181"/>
    <d v="2015-01-18T00:00:00"/>
    <x v="46"/>
    <n v="0"/>
    <x v="2"/>
    <x v="1"/>
    <n v="360000"/>
    <n v="1000"/>
    <s v=""/>
    <n v="360000000"/>
    <x v="169"/>
    <s v="DI"/>
    <n v="127.6"/>
    <m/>
    <x v="206"/>
    <n v="252"/>
    <s v="Útil"/>
    <s v="N"/>
    <x v="1"/>
    <s v="S"/>
    <x v="1"/>
    <x v="8"/>
    <x v="0"/>
    <x v="114"/>
  </r>
  <r>
    <n v="0"/>
    <s v="Marfrig4056142022"/>
    <n v="24"/>
    <s v="MARFRIG GLOBAL FOODS S.A."/>
    <s v="Marfrig"/>
    <x v="0"/>
    <n v="0"/>
    <s v="MRFG23    "/>
    <n v="2"/>
    <x v="181"/>
    <d v="2015-01-18T00:00:00"/>
    <x v="46"/>
    <n v="0"/>
    <x v="2"/>
    <x v="1"/>
    <n v="238200"/>
    <n v="1000"/>
    <s v=""/>
    <n v="238200000"/>
    <x v="187"/>
    <s v="IPCA"/>
    <s v="-"/>
    <n v="9.5"/>
    <x v="207"/>
    <n v="252"/>
    <s v="Útil"/>
    <s v="N"/>
    <x v="1"/>
    <s v="S"/>
    <x v="1"/>
    <x v="8"/>
    <x v="0"/>
    <x v="114"/>
  </r>
  <r>
    <n v="77"/>
    <s v="Marfrig4422529/01/2031"/>
    <n v="24"/>
    <s v="MARB BondCo PLC"/>
    <s v="Marfrig"/>
    <x v="1"/>
    <n v="1"/>
    <m/>
    <n v="3"/>
    <x v="182"/>
    <s v="29/01/2031"/>
    <x v="1"/>
    <n v="1"/>
    <x v="1"/>
    <x v="0"/>
    <m/>
    <m/>
    <n v="5.4752999999999998"/>
    <n v="1500000000"/>
    <x v="188"/>
    <s v="USD"/>
    <s v="-"/>
    <n v="3.95"/>
    <x v="208"/>
    <n v="360"/>
    <s v="Corrido"/>
    <s v="N"/>
    <x v="1"/>
    <s v="S"/>
    <x v="1"/>
    <x v="0"/>
    <x v="0"/>
    <x v="115"/>
  </r>
  <r>
    <n v="78"/>
    <s v="Marfrig4311919/01/2025"/>
    <n v="24"/>
    <s v="MARB BondCo PLC"/>
    <s v="Marfrig"/>
    <x v="1"/>
    <n v="1"/>
    <m/>
    <n v="4"/>
    <x v="183"/>
    <s v="19/01/2025"/>
    <x v="8"/>
    <n v="1"/>
    <x v="1"/>
    <x v="0"/>
    <m/>
    <m/>
    <n v="3.2081"/>
    <n v="1000000000"/>
    <x v="189"/>
    <s v="USD"/>
    <s v="-"/>
    <n v="6.875"/>
    <x v="209"/>
    <n v="360"/>
    <s v="Corrido"/>
    <s v="N"/>
    <x v="1"/>
    <s v="S"/>
    <x v="1"/>
    <x v="11"/>
    <x v="0"/>
    <x v="26"/>
  </r>
  <r>
    <n v="79"/>
    <s v="Marfrig4280915/03/2024"/>
    <n v="24"/>
    <s v="MARB BondCo PLC"/>
    <s v="Marfrig"/>
    <x v="1"/>
    <n v="1"/>
    <m/>
    <n v="5"/>
    <x v="184"/>
    <s v="15/03/2024"/>
    <x v="8"/>
    <n v="1"/>
    <x v="1"/>
    <x v="0"/>
    <m/>
    <m/>
    <n v="3.1623000000000001"/>
    <n v="750000000"/>
    <x v="190"/>
    <s v="USD"/>
    <s v="-"/>
    <n v="7"/>
    <x v="210"/>
    <n v="360"/>
    <s v="Corrido"/>
    <s v="N"/>
    <x v="1"/>
    <s v="S"/>
    <x v="1"/>
    <x v="11"/>
    <x v="0"/>
    <x v="116"/>
  </r>
  <r>
    <n v="80"/>
    <s v="Marfrig4252908/06/2023"/>
    <n v="24"/>
    <s v="Marfrig Holdings Europe BV"/>
    <s v="Marfrig"/>
    <x v="1"/>
    <n v="1"/>
    <m/>
    <n v="6"/>
    <x v="185"/>
    <s v="08/06/2023"/>
    <x v="18"/>
    <n v="1"/>
    <x v="1"/>
    <x v="0"/>
    <m/>
    <m/>
    <n v="3.3892000000000002"/>
    <n v="750000000"/>
    <x v="191"/>
    <s v="USD"/>
    <s v="-"/>
    <n v="8"/>
    <x v="211"/>
    <n v="360"/>
    <s v="Corrido"/>
    <s v="N"/>
    <x v="1"/>
    <s v="S"/>
    <x v="1"/>
    <x v="8"/>
    <x v="0"/>
    <x v="117"/>
  </r>
  <r>
    <n v="81"/>
    <s v="Marfrig4181424/06/2019"/>
    <n v="24"/>
    <s v="Marfrig Holdings Europe BV"/>
    <s v="Marfrig"/>
    <x v="1"/>
    <n v="1"/>
    <m/>
    <n v="7"/>
    <x v="186"/>
    <s v="24/06/2019"/>
    <x v="4"/>
    <n v="1"/>
    <x v="1"/>
    <x v="0"/>
    <m/>
    <m/>
    <n v="2.2210999999999999"/>
    <n v="850000000"/>
    <x v="192"/>
    <s v="USD"/>
    <s v="-"/>
    <n v="6.875"/>
    <x v="212"/>
    <n v="360"/>
    <s v="Corrido"/>
    <s v="N"/>
    <x v="1"/>
    <s v="S"/>
    <x v="1"/>
    <x v="9"/>
    <x v="0"/>
    <x v="68"/>
  </r>
  <r>
    <n v="82"/>
    <s v="Marfrig4067209/05/2018"/>
    <n v="24"/>
    <s v="Marfrig Holdings Europe BV"/>
    <s v="Marfrig"/>
    <x v="1"/>
    <n v="1"/>
    <m/>
    <n v="8"/>
    <x v="187"/>
    <s v="09/05/2018"/>
    <x v="8"/>
    <n v="1"/>
    <x v="1"/>
    <x v="0"/>
    <m/>
    <m/>
    <n v="1.6191"/>
    <n v="750000000"/>
    <x v="193"/>
    <s v="USD"/>
    <s v="-"/>
    <n v="8.375"/>
    <x v="213"/>
    <n v="360"/>
    <s v="Corrido"/>
    <s v="N"/>
    <x v="1"/>
    <s v="N"/>
    <x v="0"/>
    <x v="8"/>
    <x v="0"/>
    <x v="118"/>
  </r>
  <r>
    <n v="83"/>
    <s v="Marfrig4153720/09/2021"/>
    <n v="24"/>
    <s v="Marfrig Holdings Europe BV"/>
    <s v="Marfrig"/>
    <x v="1"/>
    <n v="1"/>
    <m/>
    <n v="9"/>
    <x v="188"/>
    <s v="20/09/2021"/>
    <x v="13"/>
    <n v="1"/>
    <x v="1"/>
    <x v="0"/>
    <m/>
    <m/>
    <n v="2.2046999999999999"/>
    <n v="400000000"/>
    <x v="194"/>
    <s v="USD"/>
    <s v="-"/>
    <n v="11.25"/>
    <x v="214"/>
    <n v="360"/>
    <s v="Corrido"/>
    <s v="N"/>
    <x v="1"/>
    <s v="S"/>
    <x v="1"/>
    <x v="9"/>
    <x v="0"/>
    <x v="57"/>
  </r>
  <r>
    <n v="84"/>
    <s v="Marfrig4129824/07/2017"/>
    <n v="24"/>
    <s v="Marfrig Holdings Europe BV"/>
    <s v="Marfrig"/>
    <x v="1"/>
    <n v="1"/>
    <m/>
    <n v="10"/>
    <x v="189"/>
    <s v="24/07/2017"/>
    <x v="88"/>
    <n v="0"/>
    <x v="1"/>
    <x v="0"/>
    <m/>
    <m/>
    <n v="2.0337999999999998"/>
    <n v="600000000"/>
    <x v="195"/>
    <s v="USD"/>
    <s v="-"/>
    <n v="9.875"/>
    <x v="215"/>
    <n v="360"/>
    <s v="Corrido"/>
    <s v="N"/>
    <x v="1"/>
    <s v="S"/>
    <x v="1"/>
    <x v="9"/>
    <x v="0"/>
    <x v="119"/>
  </r>
  <r>
    <n v="85"/>
    <s v="Marfrig4359914/05/2026"/>
    <n v="24"/>
    <s v="NBM US Holdings Inc"/>
    <s v="Marfrig"/>
    <x v="1"/>
    <n v="1"/>
    <m/>
    <n v="11"/>
    <x v="190"/>
    <s v="14/05/2026"/>
    <x v="8"/>
    <n v="1"/>
    <x v="1"/>
    <x v="0"/>
    <m/>
    <m/>
    <n v="3.9782000000000002"/>
    <n v="1000000000"/>
    <x v="196"/>
    <s v="USD"/>
    <s v="-"/>
    <n v="7"/>
    <x v="216"/>
    <n v="360"/>
    <s v="Corrido"/>
    <s v="N"/>
    <x v="1"/>
    <s v="S"/>
    <x v="1"/>
    <x v="11"/>
    <x v="0"/>
    <x v="77"/>
  </r>
  <r>
    <n v="86"/>
    <s v="Marfrig4368306/08/2029"/>
    <n v="24"/>
    <s v="NBM US Holdings Inc"/>
    <s v="Marfrig"/>
    <x v="1"/>
    <n v="1"/>
    <m/>
    <n v="12"/>
    <x v="191"/>
    <s v="06/08/2029"/>
    <x v="12"/>
    <n v="1"/>
    <x v="1"/>
    <x v="0"/>
    <m/>
    <m/>
    <n v="3.9636999999999998"/>
    <n v="500000000"/>
    <x v="197"/>
    <s v="USD"/>
    <s v="-"/>
    <n v="6.625"/>
    <x v="217"/>
    <n v="360"/>
    <s v="Corrido"/>
    <s v="N"/>
    <x v="1"/>
    <s v="S"/>
    <x v="1"/>
    <x v="11"/>
    <x v="0"/>
    <x v="25"/>
  </r>
  <r>
    <n v="0"/>
    <s v="Minerva4144043266"/>
    <n v="25"/>
    <s v="MINERVA S/A"/>
    <s v="Minerva"/>
    <x v="0"/>
    <n v="0"/>
    <s v="MNRV14    "/>
    <n v="1"/>
    <x v="178"/>
    <d v="2018-06-15T00:00:00"/>
    <x v="4"/>
    <n v="1"/>
    <x v="2"/>
    <x v="1"/>
    <n v="30000"/>
    <n v="10000"/>
    <s v=""/>
    <n v="300000000"/>
    <x v="5"/>
    <s v="DI"/>
    <n v="100"/>
    <n v="1.75"/>
    <x v="85"/>
    <n v="252"/>
    <s v="Útil"/>
    <s v="N"/>
    <x v="1"/>
    <s v="S"/>
    <x v="1"/>
    <x v="8"/>
    <x v="0"/>
    <x v="113"/>
  </r>
  <r>
    <n v="0"/>
    <s v="Minerva4360044696"/>
    <n v="25"/>
    <s v="MINERVA S/A"/>
    <s v="Minerva"/>
    <x v="0"/>
    <n v="0"/>
    <s v="MNRV16    "/>
    <n v="2"/>
    <x v="192"/>
    <d v="2022-05-15T00:00:00"/>
    <x v="16"/>
    <n v="0"/>
    <x v="2"/>
    <x v="1"/>
    <n v="400000"/>
    <n v="1000"/>
    <s v=""/>
    <n v="400000000"/>
    <x v="0"/>
    <s v="DI"/>
    <n v="100"/>
    <n v="1.8"/>
    <x v="5"/>
    <n v="252"/>
    <s v="Útil"/>
    <s v="N"/>
    <x v="1"/>
    <s v="S"/>
    <x v="1"/>
    <x v="11"/>
    <x v="0"/>
    <x v="120"/>
  </r>
  <r>
    <n v="0"/>
    <s v="Minerva4448446310"/>
    <n v="25"/>
    <s v="MINERVA S/A"/>
    <s v="Minerva"/>
    <x v="0"/>
    <n v="0"/>
    <s v="MNRVA1    "/>
    <n v="3"/>
    <x v="132"/>
    <d v="2026-10-15T00:00:00"/>
    <x v="4"/>
    <n v="1"/>
    <x v="2"/>
    <x v="1"/>
    <n v="400000"/>
    <n v="1000"/>
    <s v=""/>
    <n v="400000000"/>
    <x v="0"/>
    <s v="DI"/>
    <n v="100"/>
    <n v="1.6"/>
    <x v="91"/>
    <n v="252"/>
    <s v="Útil"/>
    <s v="N"/>
    <x v="1"/>
    <s v="S"/>
    <x v="1"/>
    <x v="0"/>
    <x v="0"/>
    <x v="90"/>
  </r>
  <r>
    <n v="87"/>
    <s v="Minerva4427318/03/2031"/>
    <n v="25"/>
    <s v="Minerva Luxembourg SA"/>
    <s v="Minerva"/>
    <x v="1"/>
    <n v="1"/>
    <m/>
    <n v="4"/>
    <x v="193"/>
    <s v="18/03/2031"/>
    <x v="1"/>
    <n v="1"/>
    <x v="1"/>
    <x v="0"/>
    <m/>
    <m/>
    <n v="5.5468000000000002"/>
    <n v="1000000000"/>
    <x v="198"/>
    <s v="USD"/>
    <s v="-"/>
    <n v="4.375"/>
    <x v="218"/>
    <n v="360"/>
    <s v="Corrido"/>
    <s v="N"/>
    <x v="1"/>
    <s v="S"/>
    <x v="1"/>
    <x v="0"/>
    <x v="0"/>
    <x v="121"/>
  </r>
  <r>
    <n v="88"/>
    <s v="Minerva4308819/01/2028"/>
    <n v="25"/>
    <s v="Minerva Luxembourg SA"/>
    <s v="Minerva"/>
    <x v="1"/>
    <n v="1"/>
    <m/>
    <n v="5"/>
    <x v="194"/>
    <s v="19/01/2028"/>
    <x v="52"/>
    <n v="1"/>
    <x v="1"/>
    <x v="0"/>
    <m/>
    <m/>
    <n v="3.2877000000000001"/>
    <n v="500000000"/>
    <x v="199"/>
    <s v="USD"/>
    <s v="-"/>
    <n v="5.875"/>
    <x v="219"/>
    <n v="360"/>
    <s v="Corrido"/>
    <s v="N"/>
    <x v="1"/>
    <s v="S"/>
    <x v="1"/>
    <x v="11"/>
    <x v="0"/>
    <x v="84"/>
  </r>
  <r>
    <n v="89"/>
    <s v="Minerva4263320/09/2026"/>
    <n v="25"/>
    <s v="Minerva Luxembourg SA"/>
    <s v="Minerva"/>
    <x v="1"/>
    <n v="1"/>
    <m/>
    <n v="6"/>
    <x v="195"/>
    <s v="20/09/2026"/>
    <x v="1"/>
    <n v="1"/>
    <x v="1"/>
    <x v="0"/>
    <m/>
    <m/>
    <n v="3.2534000000000001"/>
    <n v="1000000000"/>
    <x v="200"/>
    <s v="USD"/>
    <s v="-"/>
    <n v="6.5"/>
    <x v="220"/>
    <n v="360"/>
    <s v="Corrido"/>
    <s v="N"/>
    <x v="1"/>
    <s v="S"/>
    <x v="1"/>
    <x v="11"/>
    <x v="0"/>
    <x v="22"/>
  </r>
  <r>
    <n v="90"/>
    <s v="Minerva4439018/03/2031"/>
    <n v="25"/>
    <s v="Minerva Luxembourg SA"/>
    <s v="Minerva"/>
    <x v="1"/>
    <n v="1"/>
    <m/>
    <n v="7"/>
    <x v="196"/>
    <s v="18/03/2031"/>
    <x v="89"/>
    <n v="1"/>
    <x v="1"/>
    <x v="0"/>
    <m/>
    <m/>
    <n v="5.1764000000000001"/>
    <n v="400000000"/>
    <x v="201"/>
    <s v="USD"/>
    <s v="-"/>
    <n v="4.375"/>
    <x v="221"/>
    <n v="360"/>
    <s v="Corrido"/>
    <s v="N"/>
    <x v="1"/>
    <s v="S"/>
    <x v="1"/>
    <x v="0"/>
    <x v="0"/>
    <x v="122"/>
  </r>
  <r>
    <n v="91"/>
    <s v="Minerva4130531/01/2023"/>
    <n v="25"/>
    <s v="Minerva Luxembourg SA"/>
    <s v="Minerva"/>
    <x v="1"/>
    <n v="1"/>
    <m/>
    <n v="8"/>
    <x v="197"/>
    <s v="31/01/2023"/>
    <x v="1"/>
    <n v="1"/>
    <x v="1"/>
    <x v="0"/>
    <m/>
    <m/>
    <n v="1.9877"/>
    <n v="850000000"/>
    <x v="202"/>
    <s v="USD"/>
    <s v="-"/>
    <n v="7.75"/>
    <x v="222"/>
    <n v="360"/>
    <s v="Corrido"/>
    <s v="N"/>
    <x v="1"/>
    <s v="S"/>
    <x v="1"/>
    <x v="8"/>
    <x v="0"/>
    <x v="27"/>
  </r>
  <r>
    <n v="92"/>
    <s v="Minerva4290220/09/2026"/>
    <n v="25"/>
    <s v="Minerva Luxembourg SA"/>
    <s v="Minerva"/>
    <x v="1"/>
    <n v="1"/>
    <m/>
    <n v="9"/>
    <x v="198"/>
    <s v="20/09/2026"/>
    <x v="90"/>
    <n v="1"/>
    <x v="1"/>
    <x v="0"/>
    <m/>
    <m/>
    <n v="3.2886000000000002"/>
    <n v="350000000"/>
    <x v="203"/>
    <s v="USD"/>
    <s v="-"/>
    <n v="6.5"/>
    <x v="223"/>
    <n v="360"/>
    <s v="Corrido"/>
    <s v="N"/>
    <x v="1"/>
    <s v="S"/>
    <x v="1"/>
    <x v="11"/>
    <x v="0"/>
    <x v="44"/>
  </r>
  <r>
    <n v="93"/>
    <s v="Minerva4099710/02/2022"/>
    <n v="25"/>
    <s v="Minerva Luxembourg SA"/>
    <s v="Minerva"/>
    <x v="1"/>
    <n v="1"/>
    <m/>
    <n v="10"/>
    <x v="199"/>
    <s v="10/02/2022"/>
    <x v="91"/>
    <n v="1"/>
    <x v="1"/>
    <x v="0"/>
    <m/>
    <m/>
    <n v="1.8327"/>
    <n v="100000000"/>
    <x v="204"/>
    <s v="USD"/>
    <s v="-"/>
    <n v="12.25"/>
    <x v="224"/>
    <n v="360"/>
    <s v="Corrido"/>
    <s v="N"/>
    <x v="1"/>
    <s v="S"/>
    <x v="1"/>
    <x v="8"/>
    <x v="0"/>
    <x v="49"/>
  </r>
  <r>
    <n v="94"/>
    <s v="Minerva4187131/01/2023"/>
    <n v="25"/>
    <s v="Minerva Luxembourg SA"/>
    <s v="Minerva"/>
    <x v="1"/>
    <n v="1"/>
    <m/>
    <n v="11"/>
    <x v="200"/>
    <s v="31/01/2023"/>
    <x v="92"/>
    <n v="1"/>
    <x v="1"/>
    <x v="0"/>
    <m/>
    <m/>
    <n v="2.2544"/>
    <n v="200000000"/>
    <x v="205"/>
    <s v="USD"/>
    <s v="-"/>
    <n v="7.75"/>
    <x v="225"/>
    <n v="360"/>
    <s v="Corrido"/>
    <s v="N"/>
    <x v="1"/>
    <s v="S"/>
    <x v="1"/>
    <x v="11"/>
    <x v="0"/>
    <x v="57"/>
  </r>
  <r>
    <n v="95"/>
    <s v="Minerva4094910/02/2022"/>
    <n v="25"/>
    <s v="Minerva Luxembourg SA"/>
    <s v="Minerva"/>
    <x v="1"/>
    <n v="1"/>
    <m/>
    <n v="12"/>
    <x v="201"/>
    <s v="10/02/2022"/>
    <x v="12"/>
    <n v="1"/>
    <x v="1"/>
    <x v="0"/>
    <m/>
    <m/>
    <n v="1.7254"/>
    <n v="350000000"/>
    <x v="206"/>
    <s v="USD"/>
    <s v="-"/>
    <n v="12.25"/>
    <x v="226"/>
    <n v="360"/>
    <s v="Corrido"/>
    <s v="N"/>
    <x v="1"/>
    <s v="S"/>
    <x v="1"/>
    <x v="8"/>
    <x v="0"/>
    <x v="123"/>
  </r>
  <r>
    <n v="0"/>
    <s v="Movida4227143367"/>
    <n v="26"/>
    <s v="MOVIDA GESTAO E TERCEIRIZACAO DE FROTAS S/A"/>
    <s v="Movida"/>
    <x v="0"/>
    <n v="0"/>
    <s v="JSLO11    "/>
    <n v="1"/>
    <x v="202"/>
    <d v="2018-09-24T00:00:00"/>
    <x v="16"/>
    <n v="0"/>
    <x v="2"/>
    <x v="1"/>
    <n v="30000"/>
    <n v="10000"/>
    <s v=""/>
    <n v="300000000"/>
    <x v="5"/>
    <s v="DI"/>
    <n v="100"/>
    <n v="1.93"/>
    <x v="227"/>
    <n v="252"/>
    <s v="Útil"/>
    <s v="N"/>
    <x v="1"/>
    <s v="N"/>
    <x v="0"/>
    <x v="1"/>
    <x v="0"/>
    <x v="124"/>
  </r>
  <r>
    <n v="0"/>
    <s v="Movida4417546001"/>
    <n v="26"/>
    <s v="MOVIDA LOCACAO DE VEICULOS S.A."/>
    <s v="Movida"/>
    <x v="0"/>
    <n v="0"/>
    <s v="CSBR11    "/>
    <n v="2"/>
    <x v="203"/>
    <d v="2025-12-10T00:00:00"/>
    <x v="4"/>
    <n v="1"/>
    <x v="2"/>
    <x v="1"/>
    <n v="600000"/>
    <n v="1000"/>
    <s v=""/>
    <n v="600000000"/>
    <x v="30"/>
    <s v="DI"/>
    <n v="100"/>
    <n v="3.7"/>
    <x v="228"/>
    <n v="252"/>
    <s v="Útil"/>
    <s v="N"/>
    <x v="1"/>
    <s v="S"/>
    <x v="1"/>
    <x v="1"/>
    <x v="0"/>
    <x v="39"/>
  </r>
  <r>
    <n v="0"/>
    <s v="Movida4418046006"/>
    <n v="26"/>
    <s v="MOVIDA LOCACAO DE VEICULOS S.A."/>
    <s v="Movida"/>
    <x v="0"/>
    <n v="0"/>
    <s v="CSBR12    "/>
    <n v="3"/>
    <x v="204"/>
    <d v="2025-12-15T00:00:00"/>
    <x v="4"/>
    <n v="1"/>
    <x v="3"/>
    <x v="0"/>
    <n v="150000"/>
    <n v="1000"/>
    <s v=""/>
    <n v="150000000"/>
    <x v="2"/>
    <s v="DI"/>
    <n v="100"/>
    <n v="2.9"/>
    <x v="31"/>
    <n v="252"/>
    <s v="Útil"/>
    <s v="N"/>
    <x v="1"/>
    <s v="S"/>
    <x v="1"/>
    <x v="1"/>
    <x v="0"/>
    <x v="65"/>
  </r>
  <r>
    <n v="0"/>
    <s v="Movida4318845014"/>
    <n v="26"/>
    <s v="MOVIDA LOCACAO DE VEICULOS S.A."/>
    <s v="Movida"/>
    <x v="0"/>
    <n v="0"/>
    <s v="MVLV11    "/>
    <n v="4"/>
    <x v="170"/>
    <d v="2023-03-29T00:00:00"/>
    <x v="4"/>
    <n v="1"/>
    <x v="2"/>
    <x v="1"/>
    <n v="250000000"/>
    <n v="1"/>
    <s v=""/>
    <n v="250000000"/>
    <x v="16"/>
    <s v="DI"/>
    <n v="100"/>
    <n v="2.0499999999999998"/>
    <x v="229"/>
    <n v="252"/>
    <s v="Útil"/>
    <s v="N"/>
    <x v="1"/>
    <s v="S"/>
    <x v="1"/>
    <x v="1"/>
    <x v="0"/>
    <x v="9"/>
  </r>
  <r>
    <n v="0"/>
    <s v="Movida4338344479"/>
    <n v="26"/>
    <s v="MOVIDA LOCACAO DE VEICULOS S.A."/>
    <s v="Movida"/>
    <x v="0"/>
    <n v="0"/>
    <s v="MVLV12    "/>
    <n v="5"/>
    <x v="205"/>
    <d v="2021-10-10T00:00:00"/>
    <x v="16"/>
    <n v="0"/>
    <x v="2"/>
    <x v="1"/>
    <n v="100000"/>
    <n v="1000"/>
    <s v=""/>
    <n v="100000000"/>
    <x v="33"/>
    <s v="DI"/>
    <n v="100"/>
    <n v="1.8"/>
    <x v="5"/>
    <n v="252"/>
    <s v="Útil"/>
    <s v="N"/>
    <x v="1"/>
    <s v="S"/>
    <x v="1"/>
    <x v="1"/>
    <x v="0"/>
    <x v="39"/>
  </r>
  <r>
    <n v="0"/>
    <s v="Movida4364045315"/>
    <n v="26"/>
    <s v="MOVIDA LOCACAO DE VEICULOS S.A."/>
    <s v="Movida"/>
    <x v="0"/>
    <n v="0"/>
    <s v="MVLV13    "/>
    <n v="6"/>
    <x v="206"/>
    <d v="2024-01-24T00:00:00"/>
    <x v="93"/>
    <n v="0"/>
    <x v="2"/>
    <x v="1"/>
    <n v="200000"/>
    <n v="1000"/>
    <s v=""/>
    <n v="200000000"/>
    <x v="13"/>
    <s v="DI"/>
    <n v="100"/>
    <n v="1.6"/>
    <x v="91"/>
    <n v="252"/>
    <s v="Útil"/>
    <s v="N"/>
    <x v="1"/>
    <s v="S"/>
    <x v="1"/>
    <x v="1"/>
    <x v="0"/>
    <x v="88"/>
  </r>
  <r>
    <n v="0"/>
    <s v="Movida4395144671"/>
    <n v="26"/>
    <s v="MOVIDA LOCACAO DE VEICULOS S.A."/>
    <s v="Movida"/>
    <x v="0"/>
    <n v="0"/>
    <s v="MVLV14    "/>
    <n v="7"/>
    <x v="207"/>
    <d v="2022-04-20T00:00:00"/>
    <x v="94"/>
    <n v="0"/>
    <x v="2"/>
    <x v="1"/>
    <n v="200000"/>
    <n v="1000"/>
    <s v=""/>
    <n v="200000000"/>
    <x v="13"/>
    <s v="DI"/>
    <n v="100"/>
    <n v="4.2"/>
    <x v="195"/>
    <n v="252"/>
    <s v="Útil"/>
    <s v="N"/>
    <x v="1"/>
    <s v="S"/>
    <x v="1"/>
    <x v="1"/>
    <x v="0"/>
    <x v="125"/>
  </r>
  <r>
    <n v="0"/>
    <s v="Movida4415345248"/>
    <n v="26"/>
    <s v="MOVIDA LOCACAO DE VEICULOS S.A."/>
    <s v="Movida"/>
    <x v="0"/>
    <n v="0"/>
    <s v="MVLV15    "/>
    <n v="8"/>
    <x v="208"/>
    <d v="2023-11-18T00:00:00"/>
    <x v="6"/>
    <n v="0"/>
    <x v="2"/>
    <x v="1"/>
    <n v="200000"/>
    <n v="1000"/>
    <s v=""/>
    <n v="200000000"/>
    <x v="13"/>
    <s v="DI"/>
    <n v="100"/>
    <n v="2.75"/>
    <x v="230"/>
    <n v="252"/>
    <s v="Útil"/>
    <s v="N"/>
    <x v="1"/>
    <s v="S"/>
    <x v="1"/>
    <x v="1"/>
    <x v="0"/>
    <x v="105"/>
  </r>
  <r>
    <n v="0"/>
    <s v="Movida4430146919"/>
    <n v="26"/>
    <s v="MOVIDA LOCACAO DE VEICULOS S.A."/>
    <s v="Movida"/>
    <x v="0"/>
    <n v="0"/>
    <s v="MVLV16    "/>
    <n v="9"/>
    <x v="109"/>
    <d v="2028-06-15T00:00:00"/>
    <x v="95"/>
    <n v="1"/>
    <x v="3"/>
    <x v="0"/>
    <n v="400000"/>
    <n v="1000"/>
    <s v=""/>
    <n v="400000000"/>
    <x v="0"/>
    <s v="IPCA"/>
    <s v="-"/>
    <n v="7.1702000000000004"/>
    <x v="231"/>
    <n v="252"/>
    <s v="Útil"/>
    <s v="N"/>
    <x v="1"/>
    <s v="S"/>
    <x v="1"/>
    <x v="11"/>
    <x v="0"/>
    <x v="80"/>
  </r>
  <r>
    <n v="0"/>
    <s v="Movida4453046356"/>
    <n v="26"/>
    <s v="MOVIDA LOCACAO DE VEICULOS S.A."/>
    <s v="Movida"/>
    <x v="0"/>
    <n v="0"/>
    <s v="MVLV17    "/>
    <n v="10"/>
    <x v="209"/>
    <d v="2026-11-30T00:00:00"/>
    <x v="4"/>
    <n v="1"/>
    <x v="2"/>
    <x v="1"/>
    <n v="400000"/>
    <n v="1000"/>
    <s v=""/>
    <n v="400000000"/>
    <x v="0"/>
    <s v="DI"/>
    <n v="100"/>
    <n v="2.6"/>
    <x v="189"/>
    <n v="252"/>
    <s v="Útil"/>
    <s v="N"/>
    <x v="1"/>
    <s v="S"/>
    <x v="1"/>
    <x v="11"/>
    <x v="0"/>
    <x v="126"/>
  </r>
  <r>
    <n v="0"/>
    <s v="Movida4430146006"/>
    <n v="26"/>
    <s v="MOVIDA LOCACAO DE VEICULOS S.A."/>
    <s v="Movida"/>
    <x v="0"/>
    <n v="0"/>
    <s v="MVLV26    "/>
    <n v="11"/>
    <x v="109"/>
    <d v="2025-12-15T00:00:00"/>
    <x v="96"/>
    <n v="0"/>
    <x v="3"/>
    <x v="0"/>
    <n v="300000"/>
    <n v="1000"/>
    <s v=""/>
    <n v="300000000"/>
    <x v="5"/>
    <s v="IPCA"/>
    <s v="-"/>
    <n v="7.2412999999999998"/>
    <x v="232"/>
    <n v="252"/>
    <s v="Útil"/>
    <s v="S"/>
    <x v="0"/>
    <s v="N"/>
    <x v="0"/>
    <x v="11"/>
    <x v="0"/>
    <x v="80"/>
  </r>
  <r>
    <n v="0"/>
    <s v="Movida4293144027"/>
    <n v="26"/>
    <s v="MOVIDA PARTICIPACOES S/A"/>
    <s v="Movida"/>
    <x v="0"/>
    <n v="0"/>
    <s v="MOVI11    "/>
    <n v="12"/>
    <x v="210"/>
    <d v="2020-07-15T00:00:00"/>
    <x v="16"/>
    <n v="0"/>
    <x v="2"/>
    <x v="1"/>
    <n v="150000"/>
    <n v="1000"/>
    <s v=""/>
    <n v="150000000"/>
    <x v="2"/>
    <s v="DI"/>
    <n v="100"/>
    <n v="1.55"/>
    <x v="99"/>
    <n v="252"/>
    <s v="Útil"/>
    <s v="N"/>
    <x v="1"/>
    <s v="S"/>
    <x v="1"/>
    <x v="1"/>
    <x v="0"/>
    <x v="103"/>
  </r>
  <r>
    <n v="0"/>
    <s v="Movida4325844354"/>
    <n v="26"/>
    <s v="MOVIDA PARTICIPACOES S/A"/>
    <s v="Movida"/>
    <x v="0"/>
    <n v="0"/>
    <s v="MOVI12    "/>
    <n v="13"/>
    <x v="211"/>
    <d v="2021-06-07T00:00:00"/>
    <x v="16"/>
    <n v="0"/>
    <x v="2"/>
    <x v="1"/>
    <n v="13825"/>
    <n v="10000"/>
    <s v=""/>
    <n v="138250000"/>
    <x v="207"/>
    <s v="DI"/>
    <n v="100"/>
    <n v="1.6"/>
    <x v="91"/>
    <n v="252"/>
    <s v="Útil"/>
    <s v="N"/>
    <x v="1"/>
    <s v="S"/>
    <x v="1"/>
    <x v="1"/>
    <x v="0"/>
    <x v="127"/>
  </r>
  <r>
    <n v="0"/>
    <s v="Movida4344145450"/>
    <n v="26"/>
    <s v="MOVIDA PARTICIPACOES S/A"/>
    <s v="Movida"/>
    <x v="0"/>
    <n v="0"/>
    <s v="MOVI13    "/>
    <n v="14"/>
    <x v="212"/>
    <d v="2024-06-07T00:00:00"/>
    <x v="97"/>
    <n v="1"/>
    <x v="2"/>
    <x v="1"/>
    <n v="214478"/>
    <n v="1000"/>
    <s v=""/>
    <n v="214478000"/>
    <x v="208"/>
    <s v="DI"/>
    <n v="100"/>
    <n v="1.85"/>
    <x v="57"/>
    <n v="252"/>
    <s v="Útil"/>
    <s v="N"/>
    <x v="1"/>
    <s v="S"/>
    <x v="1"/>
    <x v="1"/>
    <x v="0"/>
    <x v="128"/>
  </r>
  <r>
    <n v="0"/>
    <s v="Movida4364344837"/>
    <n v="26"/>
    <s v="MOVIDA PARTICIPACOES S/A"/>
    <s v="Movida"/>
    <x v="0"/>
    <n v="0"/>
    <s v="MOVI14    "/>
    <n v="15"/>
    <x v="213"/>
    <d v="2022-10-03T00:00:00"/>
    <x v="98"/>
    <n v="0"/>
    <x v="2"/>
    <x v="1"/>
    <n v="250000"/>
    <n v="1000"/>
    <s v=""/>
    <n v="250000000"/>
    <x v="16"/>
    <s v="DI"/>
    <n v="100"/>
    <n v="1.25"/>
    <x v="167"/>
    <n v="252"/>
    <s v="Útil"/>
    <s v="N"/>
    <x v="1"/>
    <s v="S"/>
    <x v="1"/>
    <x v="1"/>
    <x v="0"/>
    <x v="41"/>
  </r>
  <r>
    <n v="0"/>
    <s v="Movida4411945214"/>
    <n v="26"/>
    <s v="MOVIDA PARTICIPACOES S/A"/>
    <s v="Movida"/>
    <x v="0"/>
    <n v="0"/>
    <s v="MOVI15    "/>
    <n v="16"/>
    <x v="214"/>
    <d v="2023-10-15T00:00:00"/>
    <x v="6"/>
    <n v="0"/>
    <x v="2"/>
    <x v="1"/>
    <n v="250000"/>
    <n v="1000"/>
    <s v=""/>
    <n v="250000000"/>
    <x v="16"/>
    <s v="DI"/>
    <n v="100"/>
    <n v="2.5"/>
    <x v="233"/>
    <n v="252"/>
    <s v="Útil"/>
    <s v="N"/>
    <x v="1"/>
    <s v="S"/>
    <x v="1"/>
    <x v="1"/>
    <x v="0"/>
    <x v="129"/>
  </r>
  <r>
    <n v="0"/>
    <s v="Movida4429846492"/>
    <n v="26"/>
    <s v="MOVIDA PARTICIPACOES S/A"/>
    <s v="Movida"/>
    <x v="0"/>
    <n v="0"/>
    <s v="MOVI16    "/>
    <n v="17"/>
    <x v="7"/>
    <d v="2027-04-15T00:00:00"/>
    <x v="99"/>
    <n v="1"/>
    <x v="3"/>
    <x v="0"/>
    <n v="550000"/>
    <n v="1000"/>
    <s v=""/>
    <n v="550000000"/>
    <x v="26"/>
    <s v="DI"/>
    <n v="100"/>
    <n v="3.2"/>
    <x v="234"/>
    <n v="252"/>
    <s v="Útil"/>
    <s v="N"/>
    <x v="1"/>
    <s v="S"/>
    <x v="1"/>
    <x v="11"/>
    <x v="0"/>
    <x v="7"/>
  </r>
  <r>
    <n v="0"/>
    <s v="Movida4445446280"/>
    <n v="26"/>
    <s v="MOVIDA PARTICIPACOES S/A"/>
    <s v="Movida"/>
    <x v="0"/>
    <n v="0"/>
    <s v="MOVI17    "/>
    <n v="18"/>
    <x v="215"/>
    <d v="2026-09-15T00:00:00"/>
    <x v="4"/>
    <n v="1"/>
    <x v="2"/>
    <x v="1"/>
    <n v="1150000"/>
    <n v="1000"/>
    <s v=""/>
    <n v="1150000000"/>
    <x v="209"/>
    <s v="DI"/>
    <n v="100"/>
    <n v="2.7"/>
    <x v="235"/>
    <n v="252"/>
    <s v="Útil"/>
    <s v="N"/>
    <x v="1"/>
    <s v="S"/>
    <x v="1"/>
    <x v="11"/>
    <x v="0"/>
    <x v="95"/>
  </r>
  <r>
    <n v="0"/>
    <s v="Movida4293144757"/>
    <n v="26"/>
    <s v="MOVIDA PARTICIPACOES S/A"/>
    <s v="Movida"/>
    <x v="0"/>
    <n v="0"/>
    <s v="MOVI21    "/>
    <n v="19"/>
    <x v="210"/>
    <d v="2022-07-15T00:00:00"/>
    <x v="4"/>
    <n v="1"/>
    <x v="2"/>
    <x v="1"/>
    <n v="250000"/>
    <n v="1000"/>
    <s v=""/>
    <n v="250000000"/>
    <x v="16"/>
    <s v="DI"/>
    <n v="100"/>
    <n v="2.7"/>
    <x v="235"/>
    <n v="252"/>
    <s v="Útil"/>
    <s v="N"/>
    <x v="1"/>
    <s v="S"/>
    <x v="1"/>
    <x v="1"/>
    <x v="0"/>
    <x v="103"/>
  </r>
  <r>
    <n v="0"/>
    <s v="Movida4325845084"/>
    <n v="26"/>
    <s v="MOVIDA PARTICIPACOES S/A"/>
    <s v="Movida"/>
    <x v="0"/>
    <n v="0"/>
    <s v="MOVI22    "/>
    <n v="20"/>
    <x v="211"/>
    <d v="2023-06-07T00:00:00"/>
    <x v="4"/>
    <n v="1"/>
    <x v="2"/>
    <x v="1"/>
    <n v="18150"/>
    <n v="10000"/>
    <s v=""/>
    <n v="181500000"/>
    <x v="210"/>
    <s v="DI"/>
    <n v="100"/>
    <n v="2.2000000000000002"/>
    <x v="196"/>
    <n v="252"/>
    <s v="Útil"/>
    <s v="N"/>
    <x v="1"/>
    <s v="S"/>
    <x v="1"/>
    <x v="1"/>
    <x v="0"/>
    <x v="127"/>
  </r>
  <r>
    <n v="0"/>
    <s v="Movida4344145450"/>
    <n v="26"/>
    <s v="MOVIDA PARTICIPACOES S/A"/>
    <s v="Movida"/>
    <x v="0"/>
    <n v="0"/>
    <s v="MOVI23    "/>
    <n v="21"/>
    <x v="212"/>
    <d v="2024-06-07T00:00:00"/>
    <x v="97"/>
    <n v="1"/>
    <x v="2"/>
    <x v="1"/>
    <n v="138112"/>
    <n v="1000"/>
    <s v=""/>
    <n v="138112000"/>
    <x v="211"/>
    <s v="DI"/>
    <n v="100"/>
    <n v="2.0499999999999998"/>
    <x v="229"/>
    <n v="252"/>
    <s v="Útil"/>
    <s v="N"/>
    <x v="1"/>
    <s v="S"/>
    <x v="1"/>
    <x v="1"/>
    <x v="0"/>
    <x v="128"/>
  </r>
  <r>
    <n v="0"/>
    <s v="Movida4364345500"/>
    <n v="26"/>
    <s v="MOVIDA PARTICIPACOES S/A"/>
    <s v="Movida"/>
    <x v="0"/>
    <n v="0"/>
    <s v="MOVI24    "/>
    <n v="22"/>
    <x v="213"/>
    <d v="2024-07-27T00:00:00"/>
    <x v="100"/>
    <n v="1"/>
    <x v="2"/>
    <x v="1"/>
    <n v="166450"/>
    <n v="1000"/>
    <s v=""/>
    <n v="166450000"/>
    <x v="212"/>
    <s v="DI"/>
    <n v="100"/>
    <n v="1.6"/>
    <x v="91"/>
    <n v="252"/>
    <s v="Útil"/>
    <s v="N"/>
    <x v="1"/>
    <s v="S"/>
    <x v="1"/>
    <x v="1"/>
    <x v="0"/>
    <x v="41"/>
  </r>
  <r>
    <n v="0"/>
    <s v="Movida4411945945"/>
    <n v="26"/>
    <s v="MOVIDA PARTICIPACOES S/A"/>
    <s v="Movida"/>
    <x v="0"/>
    <n v="0"/>
    <s v="MOVI25    "/>
    <n v="23"/>
    <x v="214"/>
    <d v="2025-10-15T00:00:00"/>
    <x v="4"/>
    <n v="1"/>
    <x v="2"/>
    <x v="1"/>
    <n v="350000"/>
    <n v="1000"/>
    <s v=""/>
    <n v="350000000"/>
    <x v="14"/>
    <s v="DI"/>
    <n v="100"/>
    <n v="2.95"/>
    <x v="236"/>
    <n v="252"/>
    <s v="Útil"/>
    <s v="N"/>
    <x v="1"/>
    <s v="S"/>
    <x v="1"/>
    <x v="1"/>
    <x v="0"/>
    <x v="129"/>
  </r>
  <r>
    <n v="0"/>
    <s v="Movida4445447376"/>
    <n v="26"/>
    <s v="MOVIDA PARTICIPACOES S/A"/>
    <s v="Movida"/>
    <x v="0"/>
    <n v="0"/>
    <s v="MOVI27    "/>
    <n v="24"/>
    <x v="215"/>
    <d v="2029-09-15T00:00:00"/>
    <x v="13"/>
    <n v="1"/>
    <x v="2"/>
    <x v="1"/>
    <n v="250000"/>
    <n v="1000"/>
    <s v=""/>
    <n v="250000000"/>
    <x v="16"/>
    <s v="DI"/>
    <n v="100"/>
    <n v="2.9"/>
    <x v="31"/>
    <n v="252"/>
    <s v="Útil"/>
    <s v="N"/>
    <x v="1"/>
    <s v="S"/>
    <x v="1"/>
    <x v="11"/>
    <x v="0"/>
    <x v="95"/>
  </r>
  <r>
    <n v="0"/>
    <s v="Movida4325845084"/>
    <n v="26"/>
    <s v="MOVIDA PARTICIPACOES S/A"/>
    <s v="Movida"/>
    <x v="0"/>
    <n v="0"/>
    <s v="MOVI32    "/>
    <n v="25"/>
    <x v="211"/>
    <d v="2023-06-07T00:00:00"/>
    <x v="4"/>
    <n v="1"/>
    <x v="2"/>
    <x v="1"/>
    <n v="13025"/>
    <n v="10000"/>
    <s v=""/>
    <n v="130250000"/>
    <x v="213"/>
    <s v="DI"/>
    <n v="100"/>
    <n v="2"/>
    <x v="108"/>
    <n v="252"/>
    <s v="Útil"/>
    <s v="N"/>
    <x v="1"/>
    <s v="S"/>
    <x v="1"/>
    <x v="1"/>
    <x v="0"/>
    <x v="127"/>
  </r>
  <r>
    <n v="0"/>
    <s v="Movida4344145450"/>
    <n v="26"/>
    <s v="MOVIDA PARTICIPACOES S/A"/>
    <s v="Movida"/>
    <x v="0"/>
    <n v="0"/>
    <s v="MOVI33    "/>
    <n v="26"/>
    <x v="212"/>
    <d v="2024-06-07T00:00:00"/>
    <x v="97"/>
    <n v="1"/>
    <x v="2"/>
    <x v="1"/>
    <n v="247410"/>
    <n v="1000"/>
    <s v=""/>
    <n v="247410000"/>
    <x v="214"/>
    <s v="DI"/>
    <n v="100"/>
    <n v="2.0499999999999998"/>
    <x v="229"/>
    <n v="252"/>
    <s v="Útil"/>
    <s v="N"/>
    <x v="1"/>
    <s v="S"/>
    <x v="1"/>
    <x v="1"/>
    <x v="0"/>
    <x v="128"/>
  </r>
  <r>
    <n v="0"/>
    <s v="Movida4364346595"/>
    <n v="26"/>
    <s v="MOVIDA PARTICIPACOES S/A"/>
    <s v="Movida"/>
    <x v="0"/>
    <n v="0"/>
    <s v="MOVI34    "/>
    <n v="27"/>
    <x v="213"/>
    <d v="2027-07-27T00:00:00"/>
    <x v="101"/>
    <n v="1"/>
    <x v="2"/>
    <x v="1"/>
    <n v="283550"/>
    <n v="1000"/>
    <s v=""/>
    <n v="283550000"/>
    <x v="215"/>
    <s v="DI"/>
    <n v="100"/>
    <n v="2.0499999999999998"/>
    <x v="229"/>
    <n v="252"/>
    <s v="Útil"/>
    <s v="N"/>
    <x v="1"/>
    <s v="S"/>
    <x v="1"/>
    <x v="1"/>
    <x v="0"/>
    <x v="41"/>
  </r>
  <r>
    <n v="0"/>
    <s v="Movida4445448106"/>
    <n v="26"/>
    <s v="MOVIDA PARTICIPACOES S/A"/>
    <s v="Movida"/>
    <x v="0"/>
    <n v="0"/>
    <s v="MOVI37    "/>
    <n v="28"/>
    <x v="215"/>
    <d v="2031-09-15T00:00:00"/>
    <x v="1"/>
    <n v="1"/>
    <x v="2"/>
    <x v="1"/>
    <n v="350000"/>
    <n v="1000"/>
    <s v=""/>
    <n v="350000000"/>
    <x v="14"/>
    <s v="IPCA"/>
    <s v="-"/>
    <n v="7.6365999999999996"/>
    <x v="237"/>
    <n v="252"/>
    <s v="Útil"/>
    <s v="N"/>
    <x v="1"/>
    <s v="S"/>
    <x v="1"/>
    <x v="11"/>
    <x v="0"/>
    <x v="95"/>
  </r>
  <r>
    <n v="96"/>
    <s v="Movida4423508/02/2031"/>
    <n v="26"/>
    <s v="Movida Europe SA"/>
    <s v="Movida"/>
    <x v="1"/>
    <n v="1"/>
    <m/>
    <n v="29"/>
    <x v="133"/>
    <s v="08/02/2031"/>
    <x v="1"/>
    <n v="1"/>
    <x v="1"/>
    <x v="0"/>
    <m/>
    <m/>
    <n v="5.3663999999999996"/>
    <n v="500000000"/>
    <x v="136"/>
    <s v="USD"/>
    <s v="-"/>
    <n v="5.25"/>
    <x v="238"/>
    <n v="360"/>
    <s v="Corrido"/>
    <s v="N"/>
    <x v="1"/>
    <s v="S"/>
    <x v="1"/>
    <x v="11"/>
    <x v="0"/>
    <x v="39"/>
  </r>
  <r>
    <n v="97"/>
    <s v="Movida4445408/02/2031"/>
    <n v="26"/>
    <s v="Movida Europe SA"/>
    <s v="Movida"/>
    <x v="1"/>
    <n v="1"/>
    <m/>
    <n v="30"/>
    <x v="215"/>
    <s v="08/02/2031"/>
    <x v="102"/>
    <n v="1"/>
    <x v="1"/>
    <x v="0"/>
    <m/>
    <m/>
    <n v="5.2569999999999997"/>
    <n v="300000000"/>
    <x v="216"/>
    <s v="USD"/>
    <s v="-"/>
    <n v="5.25"/>
    <x v="239"/>
    <n v="360"/>
    <s v="Corrido"/>
    <s v="N"/>
    <x v="1"/>
    <s v="S"/>
    <x v="1"/>
    <x v="11"/>
    <x v="0"/>
    <x v="95"/>
  </r>
  <r>
    <n v="0"/>
    <s v="Natura Cosméticos4169542791"/>
    <n v="27"/>
    <s v="NATURA COSMETICOS S/A"/>
    <s v="Natura Cosméticos"/>
    <x v="0"/>
    <n v="0"/>
    <s v="NATU15    "/>
    <n v="1"/>
    <x v="216"/>
    <d v="2017-02-25T00:00:00"/>
    <x v="16"/>
    <n v="0"/>
    <x v="2"/>
    <x v="1"/>
    <n v="20000"/>
    <n v="10000"/>
    <s v=""/>
    <n v="200000000"/>
    <x v="13"/>
    <s v="DI"/>
    <n v="107"/>
    <m/>
    <x v="240"/>
    <n v="252"/>
    <s v="Útil"/>
    <s v="N"/>
    <x v="1"/>
    <s v="N"/>
    <x v="0"/>
    <x v="7"/>
    <x v="1"/>
    <x v="60"/>
  </r>
  <r>
    <n v="0"/>
    <s v="Natura Cosméticos4207943175"/>
    <n v="27"/>
    <s v="NATURA COSMETICOS S/A"/>
    <s v="Natura Cosméticos"/>
    <x v="0"/>
    <n v="0"/>
    <s v="NATU16    "/>
    <n v="2"/>
    <x v="217"/>
    <d v="2018-03-16T00:00:00"/>
    <x v="16"/>
    <n v="0"/>
    <x v="2"/>
    <x v="1"/>
    <n v="40000"/>
    <n v="10000"/>
    <s v=""/>
    <n v="400000000"/>
    <x v="0"/>
    <s v="DI"/>
    <n v="107"/>
    <m/>
    <x v="241"/>
    <n v="252"/>
    <s v="Útil"/>
    <s v="N"/>
    <x v="1"/>
    <s v="N"/>
    <x v="0"/>
    <x v="7"/>
    <x v="1"/>
    <x v="130"/>
  </r>
  <r>
    <n v="0"/>
    <s v="Natura Cosméticos4300344099"/>
    <n v="27"/>
    <s v="NATURA COSMETICOS S/A"/>
    <s v="Natura Cosméticos"/>
    <x v="0"/>
    <n v="0"/>
    <s v="NATU17    "/>
    <n v="3"/>
    <x v="218"/>
    <d v="2020-09-25T00:00:00"/>
    <x v="16"/>
    <n v="0"/>
    <x v="2"/>
    <x v="1"/>
    <n v="77273"/>
    <n v="10000"/>
    <s v=""/>
    <n v="772730000"/>
    <x v="217"/>
    <s v="DI"/>
    <n v="100"/>
    <n v="1.4"/>
    <x v="4"/>
    <n v="252"/>
    <s v="Útil"/>
    <s v="N"/>
    <x v="1"/>
    <s v="N"/>
    <x v="0"/>
    <x v="1"/>
    <x v="0"/>
    <x v="131"/>
  </r>
  <r>
    <n v="0"/>
    <s v="Natura Cosméticos4314543691"/>
    <n v="27"/>
    <s v="NATURA COSMETICOS S/A"/>
    <s v="Natura Cosméticos"/>
    <x v="0"/>
    <n v="0"/>
    <s v="NATU18    "/>
    <n v="4"/>
    <x v="219"/>
    <d v="2019-08-14T00:00:00"/>
    <x v="103"/>
    <n v="0"/>
    <x v="2"/>
    <x v="1"/>
    <n v="140000"/>
    <n v="10000"/>
    <s v=""/>
    <n v="1400000000"/>
    <x v="73"/>
    <s v="DI"/>
    <n v="110"/>
    <m/>
    <x v="242"/>
    <n v="252"/>
    <s v="Útil"/>
    <s v="N"/>
    <x v="1"/>
    <s v="S"/>
    <x v="1"/>
    <x v="0"/>
    <x v="0"/>
    <x v="76"/>
  </r>
  <r>
    <n v="0"/>
    <s v="Natura Cosméticos4336444095"/>
    <n v="27"/>
    <s v="NATURA COSMETICOS S/A"/>
    <s v="Natura Cosméticos"/>
    <x v="0"/>
    <n v="0"/>
    <s v="NATU19    "/>
    <n v="5"/>
    <x v="220"/>
    <d v="2020-09-21T00:00:00"/>
    <x v="50"/>
    <n v="0"/>
    <x v="2"/>
    <x v="1"/>
    <n v="38904"/>
    <n v="10000"/>
    <s v=""/>
    <n v="389040000"/>
    <x v="218"/>
    <s v="DI"/>
    <n v="109.5"/>
    <m/>
    <x v="243"/>
    <n v="252"/>
    <s v="Útil"/>
    <s v="N"/>
    <x v="1"/>
    <s v="N"/>
    <x v="0"/>
    <x v="0"/>
    <x v="0"/>
    <x v="132"/>
  </r>
  <r>
    <n v="0"/>
    <s v="Natura Cosméticos4169543156"/>
    <n v="27"/>
    <s v="NATURA COSMETICOS S/A"/>
    <s v="Natura Cosméticos"/>
    <x v="0"/>
    <n v="0"/>
    <s v="NATU25    "/>
    <n v="6"/>
    <x v="216"/>
    <d v="2018-02-25T00:00:00"/>
    <x v="46"/>
    <n v="0"/>
    <x v="2"/>
    <x v="1"/>
    <n v="20000"/>
    <n v="10000"/>
    <s v=""/>
    <n v="200000000"/>
    <x v="13"/>
    <s v="DI"/>
    <n v="107.5"/>
    <m/>
    <x v="244"/>
    <n v="252"/>
    <s v="Útil"/>
    <s v="N"/>
    <x v="1"/>
    <s v="N"/>
    <x v="0"/>
    <x v="7"/>
    <x v="1"/>
    <x v="60"/>
  </r>
  <r>
    <n v="0"/>
    <s v="Natura Cosméticos4207943540"/>
    <n v="27"/>
    <s v="NATURA COSMETICOS S/A"/>
    <s v="Natura Cosméticos"/>
    <x v="0"/>
    <n v="0"/>
    <s v="NATU26    "/>
    <n v="7"/>
    <x v="217"/>
    <d v="2019-03-16T00:00:00"/>
    <x v="46"/>
    <n v="0"/>
    <x v="2"/>
    <x v="1"/>
    <n v="25000"/>
    <n v="10000"/>
    <s v=""/>
    <n v="250000000"/>
    <x v="16"/>
    <s v="DI"/>
    <n v="108.25"/>
    <m/>
    <x v="245"/>
    <n v="252"/>
    <s v="Útil"/>
    <s v="N"/>
    <x v="1"/>
    <s v="N"/>
    <x v="0"/>
    <x v="7"/>
    <x v="1"/>
    <x v="130"/>
  </r>
  <r>
    <n v="0"/>
    <s v="Natura Cosméticos4300344464"/>
    <n v="27"/>
    <s v="NATURA COSMETICOS S/A"/>
    <s v="Natura Cosméticos"/>
    <x v="0"/>
    <n v="0"/>
    <s v="NATU27    "/>
    <n v="8"/>
    <x v="218"/>
    <d v="2021-09-25T00:00:00"/>
    <x v="46"/>
    <n v="0"/>
    <x v="2"/>
    <x v="1"/>
    <n v="182727"/>
    <n v="10000"/>
    <s v=""/>
    <n v="1827270000"/>
    <x v="219"/>
    <s v="DI"/>
    <n v="100"/>
    <n v="1.75"/>
    <x v="85"/>
    <n v="252"/>
    <s v="Útil"/>
    <s v="N"/>
    <x v="1"/>
    <s v="N"/>
    <x v="0"/>
    <x v="1"/>
    <x v="0"/>
    <x v="131"/>
  </r>
  <r>
    <n v="0"/>
    <s v="Natura Cosméticos4336444460"/>
    <n v="27"/>
    <s v="NATURA COSMETICOS S/A"/>
    <s v="Natura Cosméticos"/>
    <x v="0"/>
    <n v="0"/>
    <s v="NATU29    "/>
    <n v="9"/>
    <x v="220"/>
    <d v="2021-09-21T00:00:00"/>
    <x v="16"/>
    <n v="0"/>
    <x v="2"/>
    <x v="1"/>
    <n v="30831"/>
    <n v="10000"/>
    <s v=""/>
    <n v="308310000"/>
    <x v="220"/>
    <s v="DI"/>
    <n v="110.5"/>
    <m/>
    <x v="246"/>
    <n v="252"/>
    <s v="Útil"/>
    <s v="N"/>
    <x v="1"/>
    <s v="N"/>
    <x v="0"/>
    <x v="0"/>
    <x v="0"/>
    <x v="132"/>
  </r>
  <r>
    <n v="0"/>
    <s v="Natura Cosméticos4169543521"/>
    <n v="27"/>
    <s v="NATURA COSMETICOS S/A"/>
    <s v="Natura Cosméticos"/>
    <x v="0"/>
    <n v="0"/>
    <s v="NATU35    "/>
    <n v="10"/>
    <x v="216"/>
    <d v="2019-02-25T00:00:00"/>
    <x v="4"/>
    <n v="1"/>
    <x v="2"/>
    <x v="1"/>
    <n v="20000"/>
    <n v="10000"/>
    <s v=""/>
    <n v="200000000"/>
    <x v="13"/>
    <s v="DI"/>
    <n v="108"/>
    <m/>
    <x v="247"/>
    <n v="252"/>
    <s v="Útil"/>
    <s v="N"/>
    <x v="1"/>
    <s v="N"/>
    <x v="0"/>
    <x v="7"/>
    <x v="1"/>
    <x v="60"/>
  </r>
  <r>
    <n v="0"/>
    <s v="Natura Cosméticos4207943906"/>
    <n v="27"/>
    <s v="NATURA COSMETICOS S/A"/>
    <s v="Natura Cosméticos"/>
    <x v="0"/>
    <n v="0"/>
    <s v="NATU36    "/>
    <n v="11"/>
    <x v="217"/>
    <d v="2020-03-16T00:00:00"/>
    <x v="5"/>
    <n v="1"/>
    <x v="2"/>
    <x v="1"/>
    <n v="15000"/>
    <n v="10000"/>
    <s v=""/>
    <n v="150000000"/>
    <x v="2"/>
    <s v="DI"/>
    <n v="109"/>
    <m/>
    <x v="248"/>
    <n v="252"/>
    <s v="Útil"/>
    <s v="N"/>
    <x v="1"/>
    <s v="N"/>
    <x v="0"/>
    <x v="7"/>
    <x v="1"/>
    <x v="130"/>
  </r>
  <r>
    <n v="0"/>
    <s v="Natura Cosméticos4336444825"/>
    <n v="27"/>
    <s v="NATURA COSMETICOS S/A"/>
    <s v="Natura Cosméticos"/>
    <x v="0"/>
    <n v="0"/>
    <s v="NATU39    "/>
    <n v="12"/>
    <x v="220"/>
    <d v="2022-09-21T00:00:00"/>
    <x v="46"/>
    <n v="0"/>
    <x v="2"/>
    <x v="1"/>
    <n v="30265"/>
    <n v="10000"/>
    <s v=""/>
    <n v="302650000"/>
    <x v="221"/>
    <s v="DI"/>
    <n v="112"/>
    <m/>
    <x v="249"/>
    <n v="252"/>
    <s v="Útil"/>
    <s v="N"/>
    <x v="1"/>
    <s v="N"/>
    <x v="0"/>
    <x v="0"/>
    <x v="0"/>
    <x v="132"/>
  </r>
  <r>
    <n v="0"/>
    <s v="Natura Cosméticos4370345530"/>
    <n v="27"/>
    <s v="NATURA COSMETICOS S/A"/>
    <s v="Natura Cosméticos"/>
    <x v="0"/>
    <n v="0"/>
    <s v="NATUA0    "/>
    <n v="13"/>
    <x v="221"/>
    <d v="2024-08-26T00:00:00"/>
    <x v="5"/>
    <n v="1"/>
    <x v="2"/>
    <x v="1"/>
    <n v="40000"/>
    <n v="10000"/>
    <s v=""/>
    <n v="400000000"/>
    <x v="0"/>
    <s v="DI"/>
    <n v="100"/>
    <n v="1"/>
    <x v="129"/>
    <n v="252"/>
    <s v="Útil"/>
    <s v="N"/>
    <x v="1"/>
    <s v="S"/>
    <x v="1"/>
    <x v="0"/>
    <x v="0"/>
    <x v="33"/>
  </r>
  <r>
    <n v="0"/>
    <s v="Natura Cosméticos4370345530"/>
    <n v="27"/>
    <s v="NATURA COSMETICOS S/A"/>
    <s v="Natura Cosméticos"/>
    <x v="0"/>
    <n v="0"/>
    <s v="NATUB0    "/>
    <n v="14"/>
    <x v="221"/>
    <d v="2024-08-26T00:00:00"/>
    <x v="5"/>
    <n v="1"/>
    <x v="2"/>
    <x v="1"/>
    <n v="9570"/>
    <n v="10000"/>
    <s v=""/>
    <n v="95700000"/>
    <x v="222"/>
    <s v="DI"/>
    <n v="100"/>
    <n v="1.1499999999999999"/>
    <x v="202"/>
    <n v="252"/>
    <s v="Útil"/>
    <s v="N"/>
    <x v="1"/>
    <s v="S"/>
    <x v="1"/>
    <x v="0"/>
    <x v="0"/>
    <x v="33"/>
  </r>
  <r>
    <n v="0"/>
    <s v="Natura Cosméticos4370345530"/>
    <n v="27"/>
    <s v="NATURA COSMETICOS S/A"/>
    <s v="Natura Cosméticos"/>
    <x v="0"/>
    <n v="0"/>
    <s v="NATUC0    "/>
    <n v="15"/>
    <x v="221"/>
    <d v="2024-08-26T00:00:00"/>
    <x v="5"/>
    <n v="1"/>
    <x v="2"/>
    <x v="1"/>
    <n v="68726"/>
    <n v="10000"/>
    <s v=""/>
    <n v="687260000"/>
    <x v="223"/>
    <s v="DI"/>
    <n v="100"/>
    <n v="1.1499999999999999"/>
    <x v="202"/>
    <n v="252"/>
    <s v="Útil"/>
    <s v="N"/>
    <x v="1"/>
    <s v="S"/>
    <x v="1"/>
    <x v="0"/>
    <x v="0"/>
    <x v="33"/>
  </r>
  <r>
    <n v="0"/>
    <s v="Natura Cosméticos4370345530"/>
    <n v="27"/>
    <s v="NATURA COSMETICOS S/A"/>
    <s v="Natura Cosméticos"/>
    <x v="0"/>
    <n v="0"/>
    <s v="NATUD0    "/>
    <n v="16"/>
    <x v="221"/>
    <d v="2024-08-26T00:00:00"/>
    <x v="5"/>
    <n v="1"/>
    <x v="2"/>
    <x v="1"/>
    <n v="39452"/>
    <n v="10000"/>
    <s v=""/>
    <n v="394520000"/>
    <x v="224"/>
    <s v="DI"/>
    <n v="100"/>
    <n v="1.1499999999999999"/>
    <x v="202"/>
    <n v="252"/>
    <s v="Útil"/>
    <s v="N"/>
    <x v="1"/>
    <s v="S"/>
    <x v="1"/>
    <x v="0"/>
    <x v="0"/>
    <x v="33"/>
  </r>
  <r>
    <n v="98"/>
    <s v="Natura Cosméticos4431903/05/2028"/>
    <n v="27"/>
    <s v="Natura Cosmeticos SA"/>
    <s v="Natura Cosméticos"/>
    <x v="1"/>
    <n v="1"/>
    <m/>
    <n v="17"/>
    <x v="222"/>
    <s v="03/05/2028"/>
    <x v="8"/>
    <n v="1"/>
    <x v="1"/>
    <x v="0"/>
    <m/>
    <m/>
    <n v="5.4081000000000001"/>
    <n v="1000000000"/>
    <x v="225"/>
    <s v="USD"/>
    <s v="-"/>
    <n v="4.125"/>
    <x v="250"/>
    <n v="360"/>
    <s v="Corrido"/>
    <s v="N"/>
    <x v="1"/>
    <s v="S"/>
    <x v="1"/>
    <x v="0"/>
    <x v="0"/>
    <x v="133"/>
  </r>
  <r>
    <n v="99"/>
    <s v="Natura Cosméticos4313201/02/2023"/>
    <n v="27"/>
    <s v="Natura Cosmeticos SA"/>
    <s v="Natura Cosméticos"/>
    <x v="1"/>
    <n v="1"/>
    <m/>
    <n v="18"/>
    <x v="223"/>
    <s v="01/02/2023"/>
    <x v="4"/>
    <n v="1"/>
    <x v="5"/>
    <x v="1"/>
    <m/>
    <m/>
    <n v="3.1724000000000001"/>
    <n v="750000000"/>
    <x v="226"/>
    <s v="USD"/>
    <s v="-"/>
    <n v="5.375"/>
    <x v="251"/>
    <n v="360"/>
    <s v="Corrido"/>
    <s v="N"/>
    <x v="1"/>
    <s v="S"/>
    <x v="1"/>
    <x v="0"/>
    <x v="0"/>
    <x v="75"/>
  </r>
  <r>
    <n v="0"/>
    <s v="Oi4136143552"/>
    <n v="28"/>
    <s v="OI S/A – EM RECUPERACAO JUDICIAL"/>
    <s v="Oi"/>
    <x v="0"/>
    <n v="0"/>
    <s v="BRTO10    "/>
    <n v="1"/>
    <x v="224"/>
    <d v="2019-03-28T00:00:00"/>
    <x v="7"/>
    <n v="1"/>
    <x v="2"/>
    <x v="1"/>
    <n v="150000"/>
    <n v="10000"/>
    <s v=""/>
    <n v="1500000000"/>
    <x v="71"/>
    <s v="DI"/>
    <n v="100"/>
    <n v="0.75"/>
    <x v="51"/>
    <n v="252"/>
    <s v="Útil"/>
    <s v="N"/>
    <x v="1"/>
    <s v="S"/>
    <x v="1"/>
    <x v="2"/>
    <x v="1"/>
    <x v="134"/>
  </r>
  <r>
    <n v="0"/>
    <s v="Oi4076342955"/>
    <n v="28"/>
    <s v="OI S/A – EM RECUPERACAO JUDICIAL"/>
    <s v="Oi"/>
    <x v="0"/>
    <n v="0"/>
    <s v="BRTO17    "/>
    <n v="2"/>
    <x v="225"/>
    <d v="2017-08-08T00:00:00"/>
    <x v="11"/>
    <n v="1"/>
    <x v="2"/>
    <x v="1"/>
    <n v="100"/>
    <n v="10000000"/>
    <s v=""/>
    <n v="1000000000"/>
    <x v="18"/>
    <s v="DI"/>
    <n v="100"/>
    <n v="1"/>
    <x v="129"/>
    <n v="252"/>
    <s v="Útil"/>
    <s v="N"/>
    <x v="1"/>
    <s v="S"/>
    <x v="1"/>
    <x v="7"/>
    <x v="1"/>
    <x v="34"/>
  </r>
  <r>
    <n v="0"/>
    <s v="Oi4090543462"/>
    <n v="28"/>
    <s v="OI S/A – EM RECUPERACAO JUDICIAL"/>
    <s v="Oi"/>
    <x v="0"/>
    <n v="0"/>
    <s v="BRTO18    "/>
    <n v="3"/>
    <x v="226"/>
    <d v="2018-12-28T00:00:00"/>
    <x v="8"/>
    <n v="1"/>
    <x v="2"/>
    <x v="1"/>
    <n v="2350"/>
    <n v="1000000"/>
    <s v=""/>
    <n v="2350000000"/>
    <x v="227"/>
    <s v="DI"/>
    <n v="100"/>
    <n v="1.1499999999999999"/>
    <x v="202"/>
    <n v="252"/>
    <s v="Útil"/>
    <s v="N"/>
    <x v="1"/>
    <s v="S"/>
    <x v="1"/>
    <x v="7"/>
    <x v="1"/>
    <x v="93"/>
  </r>
  <r>
    <n v="0"/>
    <s v="Oi4098342809"/>
    <n v="28"/>
    <s v="OI S/A – EM RECUPERACAO JUDICIAL"/>
    <s v="Oi"/>
    <x v="0"/>
    <n v="0"/>
    <s v="BRTO19    "/>
    <n v="4"/>
    <x v="227"/>
    <d v="2017-03-15T00:00:00"/>
    <x v="4"/>
    <n v="1"/>
    <x v="2"/>
    <x v="1"/>
    <n v="40000"/>
    <n v="10000"/>
    <s v=""/>
    <n v="400000000"/>
    <x v="0"/>
    <s v="DI"/>
    <n v="100"/>
    <n v="0.94"/>
    <x v="252"/>
    <n v="252"/>
    <s v="Útil"/>
    <s v="N"/>
    <x v="1"/>
    <s v="S"/>
    <x v="1"/>
    <x v="7"/>
    <x v="1"/>
    <x v="23"/>
  </r>
  <r>
    <n v="0"/>
    <s v="Oi4098343905"/>
    <n v="28"/>
    <s v="OI S/A – EM RECUPERACAO JUDICIAL"/>
    <s v="Oi"/>
    <x v="0"/>
    <n v="0"/>
    <s v="BRTO29    "/>
    <n v="5"/>
    <x v="227"/>
    <d v="2020-03-15T00:00:00"/>
    <x v="13"/>
    <n v="1"/>
    <x v="2"/>
    <x v="1"/>
    <n v="160000"/>
    <n v="10000"/>
    <s v=""/>
    <n v="1600000000"/>
    <x v="228"/>
    <s v="IPCA"/>
    <s v="-"/>
    <n v="6.2"/>
    <x v="253"/>
    <n v="252"/>
    <s v="Útil"/>
    <s v="N"/>
    <x v="1"/>
    <s v="S"/>
    <x v="1"/>
    <x v="7"/>
    <x v="1"/>
    <x v="23"/>
  </r>
  <r>
    <n v="0"/>
    <s v="Oi4313649365"/>
    <n v="28"/>
    <s v="OI S/A – EM RECUPERACAO JUDICIAL"/>
    <s v="Oi"/>
    <x v="0"/>
    <n v="0"/>
    <s v="OIBRA2    "/>
    <n v="6"/>
    <x v="228"/>
    <d v="2035-02-25T00:00:00"/>
    <x v="104"/>
    <n v="1"/>
    <x v="2"/>
    <x v="1"/>
    <n v="4168602"/>
    <n v="1000"/>
    <s v=""/>
    <n v="4168602000"/>
    <x v="229"/>
    <s v="DI"/>
    <n v="80"/>
    <s v=""/>
    <x v="254"/>
    <n v="252"/>
    <s v="Útil"/>
    <s v="N"/>
    <x v="1"/>
    <s v="S"/>
    <x v="1"/>
    <x v="14"/>
    <x v="0"/>
    <x v="16"/>
  </r>
  <r>
    <n v="100"/>
    <s v="Oi4094910/02/2022"/>
    <n v="28"/>
    <s v="Oi Brasil Holdings Cooperatief UA"/>
    <s v="Oi"/>
    <x v="1"/>
    <n v="1"/>
    <m/>
    <n v="7"/>
    <x v="201"/>
    <s v="10/02/2022"/>
    <x v="12"/>
    <n v="1"/>
    <x v="1"/>
    <x v="0"/>
    <m/>
    <m/>
    <n v="1.7254"/>
    <n v="1100000000"/>
    <x v="230"/>
    <s v="USD"/>
    <s v="-"/>
    <n v="5.75"/>
    <x v="255"/>
    <n v="360"/>
    <s v="Corrido"/>
    <s v="N"/>
    <x v="1"/>
    <s v="N"/>
    <x v="0"/>
    <x v="7"/>
    <x v="1"/>
    <x v="123"/>
  </r>
  <r>
    <n v="101"/>
    <s v="Oi4330827/07/2025"/>
    <n v="28"/>
    <s v="Oi SA"/>
    <s v="Oi"/>
    <x v="1"/>
    <n v="1"/>
    <m/>
    <n v="8"/>
    <x v="229"/>
    <s v="27/07/2025"/>
    <x v="8"/>
    <n v="1"/>
    <x v="1"/>
    <x v="0"/>
    <m/>
    <m/>
    <n v="3.7158000000000002"/>
    <n v="1655600000"/>
    <x v="231"/>
    <s v="USD"/>
    <s v="-"/>
    <n v="10"/>
    <x v="256"/>
    <n v="360"/>
    <s v="Corrido"/>
    <s v="N"/>
    <x v="1"/>
    <s v="N"/>
    <x v="0"/>
    <x v="14"/>
    <x v="0"/>
    <x v="24"/>
  </r>
  <r>
    <n v="0"/>
    <s v="Petrobras4177943971"/>
    <n v="29"/>
    <s v="PETROLEO BRASILEIRO S/A - PETROBRAS"/>
    <s v="Petrobras"/>
    <x v="0"/>
    <n v="0"/>
    <s v="PETR14    "/>
    <n v="1"/>
    <x v="230"/>
    <d v="2020-05-20T00:00:00"/>
    <x v="11"/>
    <n v="1"/>
    <x v="2"/>
    <x v="1"/>
    <n v="20"/>
    <n v="40000000"/>
    <s v=""/>
    <n v="800000000"/>
    <x v="6"/>
    <s v="DI"/>
    <n v="104.5"/>
    <m/>
    <x v="257"/>
    <n v="252"/>
    <s v="Útil"/>
    <s v="N"/>
    <x v="1"/>
    <s v="S"/>
    <x v="1"/>
    <x v="7"/>
    <x v="1"/>
    <x v="113"/>
  </r>
  <r>
    <n v="0"/>
    <s v="Petrobras4296244788"/>
    <n v="29"/>
    <s v="PETROLEO BRASILEIRO S/A - PETROBRAS"/>
    <s v="Petrobras"/>
    <x v="0"/>
    <n v="0"/>
    <s v="PETR15    "/>
    <n v="2"/>
    <x v="231"/>
    <d v="2022-08-15T00:00:00"/>
    <x v="4"/>
    <n v="1"/>
    <x v="2"/>
    <x v="1"/>
    <n v="301000"/>
    <n v="1000"/>
    <s v=""/>
    <n v="301000000"/>
    <x v="232"/>
    <s v="IPCA"/>
    <s v="-"/>
    <n v="4.7176"/>
    <x v="258"/>
    <n v="252"/>
    <s v="Útil"/>
    <s v="S"/>
    <x v="0"/>
    <s v="S"/>
    <x v="1"/>
    <x v="0"/>
    <x v="0"/>
    <x v="135"/>
  </r>
  <r>
    <n v="0"/>
    <s v="Petrobras4348046037"/>
    <n v="29"/>
    <s v="PETROLEO BRASILEIRO S/A - PETROBRAS"/>
    <s v="Petrobras"/>
    <x v="0"/>
    <n v="0"/>
    <s v="PETR16    "/>
    <n v="3"/>
    <x v="232"/>
    <d v="2026-01-15T00:00:00"/>
    <x v="8"/>
    <n v="1"/>
    <x v="2"/>
    <x v="1"/>
    <n v="898397"/>
    <n v="1000"/>
    <s v=""/>
    <n v="898397000"/>
    <x v="233"/>
    <s v="IPCA"/>
    <s v="-"/>
    <n v="4.0460000000000003"/>
    <x v="259"/>
    <n v="252"/>
    <s v="Útil"/>
    <s v="S"/>
    <x v="0"/>
    <s v="N"/>
    <x v="0"/>
    <x v="11"/>
    <x v="0"/>
    <x v="1"/>
  </r>
  <r>
    <n v="0"/>
    <s v="Petrobras4369247376"/>
    <n v="29"/>
    <s v="PETROLEO BRASILEIRO S/A - PETROBRAS"/>
    <s v="Petrobras"/>
    <x v="0"/>
    <n v="0"/>
    <s v="PETR17    "/>
    <n v="4"/>
    <x v="233"/>
    <d v="2029-09-15T00:00:00"/>
    <x v="105"/>
    <n v="1"/>
    <x v="2"/>
    <x v="1"/>
    <n v="1529339"/>
    <n v="1000"/>
    <s v=""/>
    <n v="1529339000"/>
    <x v="234"/>
    <s v="IPCA"/>
    <s v="-"/>
    <n v="3.6"/>
    <x v="260"/>
    <n v="252"/>
    <s v="Útil"/>
    <s v="S"/>
    <x v="0"/>
    <s v="N"/>
    <x v="0"/>
    <x v="11"/>
    <x v="0"/>
    <x v="136"/>
  </r>
  <r>
    <n v="0"/>
    <s v="Petrobras4296245519"/>
    <n v="29"/>
    <s v="PETROLEO BRASILEIRO S/A - PETROBRAS"/>
    <s v="Petrobras"/>
    <x v="0"/>
    <n v="0"/>
    <s v="PETR25    "/>
    <n v="5"/>
    <x v="231"/>
    <d v="2024-08-15T00:00:00"/>
    <x v="8"/>
    <n v="1"/>
    <x v="2"/>
    <x v="1"/>
    <n v="1089892"/>
    <n v="1000"/>
    <s v=""/>
    <n v="1089892000"/>
    <x v="235"/>
    <s v="IPCA"/>
    <s v="-"/>
    <n v="5.2092000000000001"/>
    <x v="261"/>
    <n v="252"/>
    <s v="Útil"/>
    <s v="S"/>
    <x v="0"/>
    <s v="S"/>
    <x v="1"/>
    <x v="0"/>
    <x v="0"/>
    <x v="135"/>
  </r>
  <r>
    <n v="0"/>
    <s v="Petrobras4348047133"/>
    <n v="29"/>
    <s v="PETROLEO BRASILEIRO S/A - PETROBRAS"/>
    <s v="Petrobras"/>
    <x v="0"/>
    <n v="0"/>
    <s v="PETR26    "/>
    <n v="6"/>
    <x v="232"/>
    <d v="2029-01-15T00:00:00"/>
    <x v="12"/>
    <n v="1"/>
    <x v="2"/>
    <x v="1"/>
    <n v="1694089"/>
    <n v="1000"/>
    <s v=""/>
    <n v="1694089000"/>
    <x v="236"/>
    <s v="IPCA"/>
    <s v="-"/>
    <n v="4.2186000000000003"/>
    <x v="262"/>
    <n v="252"/>
    <s v="Útil"/>
    <s v="S"/>
    <x v="0"/>
    <s v="N"/>
    <x v="0"/>
    <x v="11"/>
    <x v="0"/>
    <x v="1"/>
  </r>
  <r>
    <n v="0"/>
    <s v="Petrobras4369249202"/>
    <n v="29"/>
    <s v="PETROLEO BRASILEIRO S/A - PETROBRAS"/>
    <s v="Petrobras"/>
    <x v="0"/>
    <n v="0"/>
    <s v="PETR27    "/>
    <n v="7"/>
    <x v="233"/>
    <d v="2034-09-15T00:00:00"/>
    <x v="106"/>
    <n v="1"/>
    <x v="2"/>
    <x v="1"/>
    <n v="1478670"/>
    <n v="1000"/>
    <s v=""/>
    <n v="1478670000"/>
    <x v="237"/>
    <s v="IPCA"/>
    <s v="-"/>
    <n v="3.9"/>
    <x v="263"/>
    <n v="252"/>
    <s v="Útil"/>
    <s v="S"/>
    <x v="0"/>
    <s v="N"/>
    <x v="0"/>
    <x v="11"/>
    <x v="0"/>
    <x v="136"/>
  </r>
  <r>
    <n v="0"/>
    <s v="Petrobras4296244788"/>
    <n v="29"/>
    <s v="PETROLEO BRASILEIRO S/A - PETROBRAS"/>
    <s v="Petrobras"/>
    <x v="0"/>
    <n v="0"/>
    <s v="PETR35    "/>
    <n v="8"/>
    <x v="231"/>
    <d v="2022-08-15T00:00:00"/>
    <x v="4"/>
    <n v="1"/>
    <x v="2"/>
    <x v="1"/>
    <n v="3346237"/>
    <n v="1000"/>
    <s v=""/>
    <n v="3346237000"/>
    <x v="238"/>
    <s v="DI"/>
    <n v="106.75"/>
    <m/>
    <x v="264"/>
    <n v="252"/>
    <s v="Útil"/>
    <s v="N"/>
    <x v="1"/>
    <s v="S"/>
    <x v="1"/>
    <x v="0"/>
    <x v="0"/>
    <x v="135"/>
  </r>
  <r>
    <n v="0"/>
    <s v="Petrobras4348046037"/>
    <n v="29"/>
    <s v="PETROLEO BRASILEIRO S/A - PETROBRAS"/>
    <s v="Petrobras"/>
    <x v="0"/>
    <n v="0"/>
    <s v="PETR36    "/>
    <n v="9"/>
    <x v="232"/>
    <d v="2026-01-15T00:00:00"/>
    <x v="8"/>
    <n v="1"/>
    <x v="2"/>
    <x v="1"/>
    <n v="1007514"/>
    <n v="1000"/>
    <s v=""/>
    <n v="1007514000"/>
    <x v="239"/>
    <s v="DI"/>
    <n v="106.25"/>
    <m/>
    <x v="265"/>
    <n v="252"/>
    <s v="Útil"/>
    <s v="N"/>
    <x v="1"/>
    <s v="S"/>
    <x v="1"/>
    <x v="11"/>
    <x v="0"/>
    <x v="1"/>
  </r>
  <r>
    <n v="0"/>
    <s v="Petrobras4296245519"/>
    <n v="29"/>
    <s v="PETROLEO BRASILEIRO S/A - PETROBRAS"/>
    <s v="Petrobras"/>
    <x v="0"/>
    <n v="0"/>
    <s v="PETR45    "/>
    <n v="10"/>
    <x v="231"/>
    <d v="2024-08-15T00:00:00"/>
    <x v="8"/>
    <n v="1"/>
    <x v="2"/>
    <x v="1"/>
    <n v="251690"/>
    <n v="1000"/>
    <s v=""/>
    <n v="251690000"/>
    <x v="240"/>
    <s v="IPCA"/>
    <s v="-"/>
    <n v="5.8385999999999996"/>
    <x v="261"/>
    <n v="252"/>
    <s v="Útil"/>
    <s v="N"/>
    <x v="1"/>
    <s v="S"/>
    <x v="1"/>
    <x v="0"/>
    <x v="0"/>
    <x v="135"/>
  </r>
  <r>
    <n v="102"/>
    <s v="Petrobras4398503/01/2031"/>
    <n v="29"/>
    <s v="Petrobras Global Finance BV"/>
    <s v="Petrobras"/>
    <x v="1"/>
    <n v="1"/>
    <m/>
    <n v="11"/>
    <x v="234"/>
    <s v="03/01/2031"/>
    <x v="53"/>
    <n v="1"/>
    <x v="1"/>
    <x v="0"/>
    <m/>
    <m/>
    <n v="5.0510000000000002"/>
    <n v="1500000000"/>
    <x v="241"/>
    <s v="USD"/>
    <s v="-"/>
    <n v="5.6"/>
    <x v="266"/>
    <n v="360"/>
    <s v="Corrido"/>
    <s v="N"/>
    <x v="1"/>
    <s v="S"/>
    <x v="1"/>
    <x v="11"/>
    <x v="0"/>
    <x v="51"/>
  </r>
  <r>
    <n v="103"/>
    <s v="Petrobras4171517/03/2044"/>
    <n v="29"/>
    <s v="Petrobras Global Finance BV"/>
    <s v="Petrobras"/>
    <x v="1"/>
    <n v="1"/>
    <m/>
    <n v="12"/>
    <x v="235"/>
    <s v="17/03/2044"/>
    <x v="33"/>
    <n v="1"/>
    <x v="1"/>
    <x v="0"/>
    <m/>
    <m/>
    <n v="2.3513000000000002"/>
    <n v="1000000000"/>
    <x v="242"/>
    <s v="USD"/>
    <s v="-"/>
    <n v="7.25"/>
    <x v="267"/>
    <n v="360"/>
    <s v="Corrido"/>
    <s v="N"/>
    <x v="1"/>
    <s v="N"/>
    <x v="0"/>
    <x v="7"/>
    <x v="1"/>
    <x v="102"/>
  </r>
  <r>
    <n v="104"/>
    <s v="Petrobras4435710/06/2051"/>
    <n v="29"/>
    <s v="Petrobras Global Finance BV"/>
    <s v="Petrobras"/>
    <x v="1"/>
    <n v="1"/>
    <m/>
    <n v="13"/>
    <x v="100"/>
    <s v="10/06/2051"/>
    <x v="41"/>
    <n v="1"/>
    <x v="1"/>
    <x v="0"/>
    <m/>
    <m/>
    <n v="5.0635000000000003"/>
    <n v="1500000000"/>
    <x v="243"/>
    <s v="USD"/>
    <s v="-"/>
    <n v="5.5"/>
    <x v="268"/>
    <n v="360"/>
    <s v="Corrido"/>
    <s v="N"/>
    <x v="1"/>
    <s v="S"/>
    <x v="1"/>
    <x v="11"/>
    <x v="0"/>
    <x v="40"/>
  </r>
  <r>
    <n v="105"/>
    <s v="Petrobras4275217/01/2027"/>
    <n v="29"/>
    <s v="Petrobras Global Finance BV"/>
    <s v="Petrobras"/>
    <x v="1"/>
    <n v="1"/>
    <m/>
    <n v="14"/>
    <x v="236"/>
    <s v="17/01/2027"/>
    <x v="1"/>
    <n v="1"/>
    <x v="1"/>
    <x v="0"/>
    <m/>
    <m/>
    <n v="3.2094"/>
    <n v="2000000000"/>
    <x v="244"/>
    <s v="USD"/>
    <s v="-"/>
    <n v="7.375"/>
    <x v="269"/>
    <n v="360"/>
    <s v="Corrido"/>
    <s v="N"/>
    <x v="1"/>
    <s v="N"/>
    <x v="0"/>
    <x v="0"/>
    <x v="0"/>
    <x v="116"/>
  </r>
  <r>
    <n v="106"/>
    <s v="Petrobras4354319/03/2049"/>
    <n v="29"/>
    <s v="Petrobras Global Finance BV"/>
    <s v="Petrobras"/>
    <x v="1"/>
    <n v="1"/>
    <m/>
    <n v="15"/>
    <x v="154"/>
    <s v="19/03/2049"/>
    <x v="33"/>
    <n v="1"/>
    <x v="1"/>
    <x v="0"/>
    <m/>
    <m/>
    <n v="3.7755999999999998"/>
    <n v="2250000000"/>
    <x v="245"/>
    <s v="USD"/>
    <s v="-"/>
    <n v="6.9"/>
    <x v="270"/>
    <n v="360"/>
    <s v="Corrido"/>
    <s v="N"/>
    <x v="1"/>
    <s v="N"/>
    <x v="0"/>
    <x v="11"/>
    <x v="0"/>
    <x v="102"/>
  </r>
  <r>
    <n v="107"/>
    <s v="Petrobras4171517/03/2024"/>
    <n v="29"/>
    <s v="Petrobras Global Finance BV"/>
    <s v="Petrobras"/>
    <x v="1"/>
    <n v="1"/>
    <m/>
    <n v="16"/>
    <x v="235"/>
    <s v="17/03/2024"/>
    <x v="12"/>
    <n v="1"/>
    <x v="1"/>
    <x v="0"/>
    <m/>
    <m/>
    <n v="2.3513000000000002"/>
    <n v="2500000000"/>
    <x v="246"/>
    <s v="USD"/>
    <s v="-"/>
    <n v="6.25"/>
    <x v="271"/>
    <n v="360"/>
    <s v="Corrido"/>
    <s v="N"/>
    <x v="1"/>
    <s v="N"/>
    <x v="0"/>
    <x v="7"/>
    <x v="1"/>
    <x v="102"/>
  </r>
  <r>
    <n v="108"/>
    <s v="Petrobras4313201/02/2029"/>
    <n v="29"/>
    <s v="Petrobras Global Finance BV"/>
    <s v="Petrobras"/>
    <x v="1"/>
    <n v="1"/>
    <m/>
    <n v="17"/>
    <x v="223"/>
    <s v="01/02/2029"/>
    <x v="107"/>
    <n v="1"/>
    <x v="1"/>
    <x v="0"/>
    <m/>
    <m/>
    <n v="3.1724000000000001"/>
    <n v="2000000000"/>
    <x v="247"/>
    <s v="USD"/>
    <s v="-"/>
    <n v="5.75"/>
    <x v="272"/>
    <n v="360"/>
    <s v="Corrido"/>
    <s v="N"/>
    <x v="1"/>
    <s v="N"/>
    <x v="0"/>
    <x v="11"/>
    <x v="0"/>
    <x v="75"/>
  </r>
  <r>
    <n v="109"/>
    <s v="Petrobras4057027/01/2041"/>
    <n v="29"/>
    <s v="Petrobras Global Finance BV"/>
    <s v="Petrobras"/>
    <x v="1"/>
    <n v="1"/>
    <m/>
    <n v="18"/>
    <x v="237"/>
    <s v="27/01/2041"/>
    <x v="33"/>
    <n v="1"/>
    <x v="1"/>
    <x v="0"/>
    <m/>
    <m/>
    <n v="1.6712"/>
    <n v="1000000000"/>
    <x v="248"/>
    <s v="USD"/>
    <s v="-"/>
    <n v="6.75"/>
    <x v="273"/>
    <n v="360"/>
    <s v="Corrido"/>
    <s v="N"/>
    <x v="1"/>
    <s v="N"/>
    <x v="0"/>
    <x v="7"/>
    <x v="1"/>
    <x v="30"/>
  </r>
  <r>
    <n v="110"/>
    <s v="Petrobras4251323/05/2026"/>
    <n v="29"/>
    <s v="Petrobras Global Finance BV"/>
    <s v="Petrobras"/>
    <x v="1"/>
    <n v="1"/>
    <m/>
    <n v="19"/>
    <x v="238"/>
    <s v="23/05/2026"/>
    <x v="1"/>
    <n v="1"/>
    <x v="1"/>
    <x v="0"/>
    <m/>
    <m/>
    <n v="3.5653999999999999"/>
    <n v="1750000000"/>
    <x v="249"/>
    <s v="USD"/>
    <s v="-"/>
    <n v="8.75"/>
    <x v="274"/>
    <n v="360"/>
    <s v="Corrido"/>
    <s v="N"/>
    <x v="1"/>
    <s v="N"/>
    <x v="0"/>
    <x v="0"/>
    <x v="0"/>
    <x v="137"/>
  </r>
  <r>
    <n v="111"/>
    <s v="Petrobras4398503/06/2050"/>
    <n v="29"/>
    <s v="Petrobras Global Finance BV"/>
    <s v="Petrobras"/>
    <x v="1"/>
    <n v="1"/>
    <m/>
    <n v="20"/>
    <x v="234"/>
    <s v="03/06/2050"/>
    <x v="41"/>
    <n v="1"/>
    <x v="1"/>
    <x v="0"/>
    <m/>
    <m/>
    <n v="5.0510000000000002"/>
    <n v="1750000000"/>
    <x v="250"/>
    <s v="USD"/>
    <s v="-"/>
    <n v="6.75"/>
    <x v="275"/>
    <n v="360"/>
    <s v="Corrido"/>
    <s v="N"/>
    <x v="1"/>
    <s v="S"/>
    <x v="1"/>
    <x v="11"/>
    <x v="0"/>
    <x v="51"/>
  </r>
  <r>
    <n v="112"/>
    <s v="Petrobras4141420/05/2043"/>
    <n v="29"/>
    <s v="Petrobras Global Finance BV"/>
    <s v="Petrobras"/>
    <x v="1"/>
    <n v="1"/>
    <m/>
    <n v="21"/>
    <x v="239"/>
    <s v="20/05/2043"/>
    <x v="41"/>
    <n v="1"/>
    <x v="1"/>
    <x v="0"/>
    <m/>
    <m/>
    <n v="2.0327999999999999"/>
    <n v="1750000000"/>
    <x v="251"/>
    <s v="USD"/>
    <s v="-"/>
    <n v="5.625"/>
    <x v="276"/>
    <n v="360"/>
    <s v="Corrido"/>
    <s v="N"/>
    <x v="1"/>
    <s v="N"/>
    <x v="0"/>
    <x v="7"/>
    <x v="1"/>
    <x v="96"/>
  </r>
  <r>
    <n v="113"/>
    <s v="Petrobras4300527/01/2028"/>
    <n v="29"/>
    <s v="Petrobras Global Finance BV"/>
    <s v="Petrobras"/>
    <x v="1"/>
    <n v="1"/>
    <m/>
    <n v="22"/>
    <x v="240"/>
    <s v="27/01/2028"/>
    <x v="108"/>
    <n v="1"/>
    <x v="1"/>
    <x v="0"/>
    <m/>
    <m/>
    <n v="3.1926000000000001"/>
    <n v="5836134000"/>
    <x v="252"/>
    <s v="USD"/>
    <s v="-"/>
    <n v="5.9989999999999997"/>
    <x v="277"/>
    <n v="360"/>
    <s v="Corrido"/>
    <s v="N"/>
    <x v="1"/>
    <s v="N"/>
    <x v="0"/>
    <x v="0"/>
    <x v="0"/>
    <x v="77"/>
  </r>
  <r>
    <n v="114"/>
    <s v="Petrobras4372615/01/2030"/>
    <n v="29"/>
    <s v="Petrobras Global Finance BV"/>
    <s v="Petrobras"/>
    <x v="1"/>
    <n v="1"/>
    <m/>
    <n v="23"/>
    <x v="241"/>
    <s v="15/01/2030"/>
    <x v="109"/>
    <n v="1"/>
    <x v="1"/>
    <x v="0"/>
    <m/>
    <m/>
    <n v="4.0965999999999996"/>
    <n v="4115281000"/>
    <x v="253"/>
    <s v="USD"/>
    <s v="-"/>
    <n v="5.093"/>
    <x v="278"/>
    <n v="360"/>
    <s v="Corrido"/>
    <s v="N"/>
    <x v="1"/>
    <s v="N"/>
    <x v="0"/>
    <x v="11"/>
    <x v="0"/>
    <x v="138"/>
  </r>
  <r>
    <n v="115"/>
    <s v="Petrobras4300527/01/2025"/>
    <n v="29"/>
    <s v="Petrobras Global Finance BV"/>
    <s v="Petrobras"/>
    <x v="1"/>
    <n v="1"/>
    <m/>
    <n v="24"/>
    <x v="240"/>
    <s v="27/01/2025"/>
    <x v="71"/>
    <n v="1"/>
    <x v="1"/>
    <x v="0"/>
    <m/>
    <m/>
    <n v="3.1926000000000001"/>
    <n v="3759866000"/>
    <x v="254"/>
    <s v="USD"/>
    <s v="-"/>
    <n v="5.2990000000000004"/>
    <x v="279"/>
    <n v="360"/>
    <s v="Corrido"/>
    <s v="N"/>
    <x v="1"/>
    <s v="N"/>
    <x v="0"/>
    <x v="0"/>
    <x v="0"/>
    <x v="77"/>
  </r>
  <r>
    <n v="116"/>
    <s v="Petrobras4141420/05/2023"/>
    <n v="29"/>
    <s v="Petrobras Global Finance BV"/>
    <s v="Petrobras"/>
    <x v="1"/>
    <n v="1"/>
    <m/>
    <n v="25"/>
    <x v="239"/>
    <s v="20/05/2023"/>
    <x v="1"/>
    <n v="1"/>
    <x v="1"/>
    <x v="0"/>
    <m/>
    <m/>
    <n v="2.0327999999999999"/>
    <n v="3500000000"/>
    <x v="255"/>
    <s v="USD"/>
    <s v="-"/>
    <n v="4.375"/>
    <x v="280"/>
    <n v="360"/>
    <s v="Corrido"/>
    <s v="N"/>
    <x v="1"/>
    <s v="S"/>
    <x v="1"/>
    <x v="7"/>
    <x v="1"/>
    <x v="96"/>
  </r>
  <r>
    <n v="117"/>
    <s v="Petrobras4057027/01/2021"/>
    <n v="29"/>
    <s v="Petrobras Global Finance BV"/>
    <s v="Petrobras"/>
    <x v="1"/>
    <n v="1"/>
    <m/>
    <n v="26"/>
    <x v="237"/>
    <s v="27/01/2021"/>
    <x v="12"/>
    <n v="1"/>
    <x v="1"/>
    <x v="0"/>
    <m/>
    <m/>
    <n v="1.6712"/>
    <n v="2500000000"/>
    <x v="256"/>
    <s v="USD"/>
    <s v="-"/>
    <n v="5.375"/>
    <x v="281"/>
    <n v="360"/>
    <s v="Corrido"/>
    <s v="N"/>
    <x v="1"/>
    <s v="S"/>
    <x v="1"/>
    <x v="7"/>
    <x v="1"/>
    <x v="30"/>
  </r>
  <r>
    <n v="118"/>
    <s v="Petrobras4275217/01/2022"/>
    <n v="29"/>
    <s v="Petrobras Global Finance BV"/>
    <s v="Petrobras"/>
    <x v="1"/>
    <n v="1"/>
    <m/>
    <n v="27"/>
    <x v="236"/>
    <s v="17/01/2022"/>
    <x v="4"/>
    <n v="1"/>
    <x v="1"/>
    <x v="0"/>
    <m/>
    <m/>
    <n v="3.2094"/>
    <n v="2000000000"/>
    <x v="244"/>
    <s v="USD"/>
    <s v="-"/>
    <n v="6.125"/>
    <x v="282"/>
    <n v="360"/>
    <s v="Corrido"/>
    <s v="N"/>
    <x v="1"/>
    <s v="S"/>
    <x v="1"/>
    <x v="0"/>
    <x v="0"/>
    <x v="116"/>
  </r>
  <r>
    <n v="119"/>
    <s v="Petrobras4251323/05/2021"/>
    <n v="29"/>
    <s v="Petrobras Global Finance BV"/>
    <s v="Petrobras"/>
    <x v="1"/>
    <n v="1"/>
    <m/>
    <n v="28"/>
    <x v="238"/>
    <s v="23/05/2021"/>
    <x v="4"/>
    <n v="1"/>
    <x v="1"/>
    <x v="0"/>
    <m/>
    <m/>
    <n v="3.5653999999999999"/>
    <n v="5000000000"/>
    <x v="257"/>
    <s v="USD"/>
    <s v="-"/>
    <n v="8.375"/>
    <x v="283"/>
    <n v="360"/>
    <s v="Corrido"/>
    <s v="N"/>
    <x v="1"/>
    <s v="S"/>
    <x v="1"/>
    <x v="0"/>
    <x v="0"/>
    <x v="137"/>
  </r>
  <r>
    <n v="120"/>
    <s v="Petrobras4094506/02/2017"/>
    <n v="29"/>
    <s v="Petrobras Global Finance BV"/>
    <s v="Petrobras"/>
    <x v="1"/>
    <n v="1"/>
    <m/>
    <n v="29"/>
    <x v="242"/>
    <s v="06/02/2017"/>
    <x v="5"/>
    <n v="1"/>
    <x v="1"/>
    <x v="0"/>
    <m/>
    <m/>
    <n v="1.7242999999999999"/>
    <n v="1750000000"/>
    <x v="258"/>
    <s v="USD"/>
    <s v="-"/>
    <n v="3.5"/>
    <x v="284"/>
    <n v="360"/>
    <s v="Corrido"/>
    <s v="N"/>
    <x v="1"/>
    <s v="N"/>
    <x v="0"/>
    <x v="7"/>
    <x v="1"/>
    <x v="139"/>
  </r>
  <r>
    <n v="121"/>
    <s v="Petrobras4171517/03/2017"/>
    <n v="29"/>
    <s v="Petrobras Global Finance BV"/>
    <s v="Petrobras"/>
    <x v="1"/>
    <n v="1"/>
    <m/>
    <n v="30"/>
    <x v="235"/>
    <s v="17/03/2017"/>
    <x v="16"/>
    <n v="0"/>
    <x v="1"/>
    <x v="0"/>
    <m/>
    <m/>
    <n v="2.3513000000000002"/>
    <n v="1600000000"/>
    <x v="259"/>
    <s v="USD"/>
    <s v="-"/>
    <n v="3.25"/>
    <x v="285"/>
    <n v="360"/>
    <s v="Corrido"/>
    <s v="N"/>
    <x v="1"/>
    <s v="N"/>
    <x v="0"/>
    <x v="7"/>
    <x v="1"/>
    <x v="102"/>
  </r>
  <r>
    <n v="122"/>
    <s v="Petrobras4057027/01/2016"/>
    <n v="29"/>
    <s v="Petrobras Global Finance BV"/>
    <s v="Petrobras"/>
    <x v="1"/>
    <n v="1"/>
    <m/>
    <n v="31"/>
    <x v="237"/>
    <s v="27/01/2016"/>
    <x v="4"/>
    <n v="1"/>
    <x v="1"/>
    <x v="0"/>
    <m/>
    <m/>
    <n v="1.6712"/>
    <n v="2500000000"/>
    <x v="256"/>
    <s v="USD"/>
    <s v="-"/>
    <n v="3.875"/>
    <x v="286"/>
    <n v="360"/>
    <s v="Corrido"/>
    <s v="N"/>
    <x v="1"/>
    <s v="N"/>
    <x v="0"/>
    <x v="7"/>
    <x v="1"/>
    <x v="30"/>
  </r>
  <r>
    <n v="123"/>
    <s v="Petrobras4094506/02/2015"/>
    <n v="29"/>
    <s v="Petrobras Global Finance BV"/>
    <s v="Petrobras"/>
    <x v="1"/>
    <n v="1"/>
    <m/>
    <n v="32"/>
    <x v="242"/>
    <s v="06/02/2015"/>
    <x v="16"/>
    <n v="0"/>
    <x v="1"/>
    <x v="0"/>
    <m/>
    <m/>
    <n v="1.7242999999999999"/>
    <n v="1250000000"/>
    <x v="260"/>
    <s v="USD"/>
    <s v="-"/>
    <n v="2.875"/>
    <x v="287"/>
    <n v="360"/>
    <s v="Corrido"/>
    <s v="N"/>
    <x v="1"/>
    <s v="N"/>
    <x v="0"/>
    <x v="7"/>
    <x v="1"/>
    <x v="139"/>
  </r>
  <r>
    <n v="124"/>
    <s v="Petrobras4171517/03/2020"/>
    <n v="29"/>
    <s v="Petrobras Global Finance BV"/>
    <s v="Petrobras"/>
    <x v="1"/>
    <n v="1"/>
    <m/>
    <n v="33"/>
    <x v="235"/>
    <s v="17/03/2020"/>
    <x v="11"/>
    <n v="1"/>
    <x v="1"/>
    <x v="0"/>
    <m/>
    <m/>
    <n v="2.3513000000000002"/>
    <n v="1500000000"/>
    <x v="261"/>
    <s v="USD"/>
    <s v="-"/>
    <n v="4.875"/>
    <x v="288"/>
    <n v="360"/>
    <s v="Corrido"/>
    <s v="N"/>
    <x v="1"/>
    <s v="N"/>
    <x v="0"/>
    <x v="7"/>
    <x v="1"/>
    <x v="102"/>
  </r>
  <r>
    <n v="0"/>
    <s v="Queiroz Galvão4194346572"/>
    <n v="30"/>
    <s v="CONSTRUTORA QUEIROZ GALVAO S/A"/>
    <s v="Queiroz Galvão"/>
    <x v="0"/>
    <n v="0"/>
    <s v="GALV14    "/>
    <n v="1"/>
    <x v="243"/>
    <d v="2027-07-04T00:00:00"/>
    <x v="110"/>
    <n v="1"/>
    <x v="0"/>
    <x v="0"/>
    <n v="200"/>
    <n v="1000000"/>
    <s v=""/>
    <n v="200000000"/>
    <x v="13"/>
    <s v="DI"/>
    <n v="130"/>
    <m/>
    <x v="289"/>
    <n v="252"/>
    <s v="Útil"/>
    <s v="N"/>
    <x v="1"/>
    <s v="S"/>
    <x v="1"/>
    <x v="1"/>
    <x v="0"/>
    <x v="25"/>
  </r>
  <r>
    <n v="0"/>
    <s v="Queiroz Galvão4196443060"/>
    <n v="30"/>
    <s v="QUEIROZ GALVAO DESENVOLVIMENTO DE NEGOCIOS S.A."/>
    <s v="Queiroz Galvão"/>
    <x v="0"/>
    <n v="0"/>
    <s v="QRZG11    "/>
    <n v="2"/>
    <x v="244"/>
    <d v="2017-11-21T00:00:00"/>
    <x v="16"/>
    <n v="0"/>
    <x v="2"/>
    <x v="1"/>
    <n v="310000"/>
    <n v="1000"/>
    <s v=""/>
    <n v="310000000"/>
    <x v="262"/>
    <s v="DI"/>
    <n v="115.6"/>
    <m/>
    <x v="290"/>
    <n v="252"/>
    <s v="Útil"/>
    <s v="N"/>
    <x v="1"/>
    <s v="S"/>
    <x v="1"/>
    <x v="1"/>
    <x v="0"/>
    <x v="109"/>
  </r>
  <r>
    <n v="0"/>
    <s v="Queiroz Galvão4164645110"/>
    <n v="30"/>
    <s v="QUEIROZ GALVAO DESENVOLVIMENTO IMOBILIARIO S.A."/>
    <s v="Queiroz Galvão"/>
    <x v="0"/>
    <n v="0"/>
    <s v="QGDI13    "/>
    <n v="3"/>
    <x v="245"/>
    <d v="2023-07-03T00:00:00"/>
    <x v="111"/>
    <n v="1"/>
    <x v="0"/>
    <x v="0"/>
    <n v="9550"/>
    <n v="10000"/>
    <s v=""/>
    <n v="95500000"/>
    <x v="263"/>
    <s v="DI"/>
    <n v="110"/>
    <s v=""/>
    <x v="291"/>
    <n v="252"/>
    <s v="Útil"/>
    <s v="N"/>
    <x v="1"/>
    <s v="S"/>
    <x v="1"/>
    <x v="1"/>
    <x v="0"/>
    <x v="33"/>
  </r>
  <r>
    <n v="0"/>
    <s v="Queiroz Galvão4178943069"/>
    <n v="30"/>
    <s v="QUEIROZ GALVAO DESENVOLVIMENTO IMOBILIARIO S.A."/>
    <s v="Queiroz Galvão"/>
    <x v="0"/>
    <n v="0"/>
    <s v="QGDI14    "/>
    <n v="4"/>
    <x v="246"/>
    <d v="2017-11-30T00:00:00"/>
    <x v="112"/>
    <n v="0"/>
    <x v="2"/>
    <x v="1"/>
    <n v="10000"/>
    <n v="10000"/>
    <s v=""/>
    <n v="100000000"/>
    <x v="33"/>
    <s v="DI"/>
    <n v="114.5"/>
    <m/>
    <x v="292"/>
    <n v="252"/>
    <s v="Útil"/>
    <s v="N"/>
    <x v="1"/>
    <s v="S"/>
    <x v="1"/>
    <x v="1"/>
    <x v="0"/>
    <x v="140"/>
  </r>
  <r>
    <n v="0"/>
    <s v="Queiroz Galvão4109545110"/>
    <n v="30"/>
    <s v="QUEIROZ GALVAO DESENVOLVIMENTO IMOBILIARIO S.A."/>
    <s v="Queiroz Galvão"/>
    <x v="0"/>
    <n v="0"/>
    <s v="QGIM12    "/>
    <n v="5"/>
    <x v="247"/>
    <d v="2023-07-03T00:00:00"/>
    <x v="113"/>
    <n v="1"/>
    <x v="0"/>
    <x v="0"/>
    <n v="170"/>
    <n v="1000000"/>
    <s v=""/>
    <n v="170000000"/>
    <x v="167"/>
    <s v="DI"/>
    <n v="110"/>
    <s v=""/>
    <x v="293"/>
    <n v="252"/>
    <s v="Útil"/>
    <s v="N"/>
    <x v="1"/>
    <s v="S"/>
    <x v="1"/>
    <x v="1"/>
    <x v="0"/>
    <x v="47"/>
  </r>
  <r>
    <n v="0"/>
    <s v="Queiroz Galvão4164643472"/>
    <n v="30"/>
    <s v="QUEIROZ GALVAO DESENVOLVIMENTO IMOBILIARIO S.A."/>
    <s v="Queiroz Galvão"/>
    <x v="0"/>
    <n v="0"/>
    <s v="QGIM13    "/>
    <n v="6"/>
    <x v="245"/>
    <d v="2019-01-07T00:00:00"/>
    <x v="4"/>
    <n v="1"/>
    <x v="0"/>
    <x v="0"/>
    <n v="10000"/>
    <n v="10000"/>
    <s v=""/>
    <n v="100000000"/>
    <x v="33"/>
    <s v="DI"/>
    <n v="141"/>
    <s v=""/>
    <x v="294"/>
    <n v="252"/>
    <s v="Útil"/>
    <s v="N"/>
    <x v="1"/>
    <s v="S"/>
    <x v="1"/>
    <x v="1"/>
    <x v="0"/>
    <x v="33"/>
  </r>
  <r>
    <n v="0"/>
    <s v="Queiroz Galvão4364946572"/>
    <n v="30"/>
    <s v="QUEIROZ GALVAO S/A"/>
    <s v="Queiroz Galvão"/>
    <x v="0"/>
    <n v="0"/>
    <s v="QGSA16    "/>
    <n v="7"/>
    <x v="248"/>
    <d v="2027-07-04T00:00:00"/>
    <x v="114"/>
    <n v="1"/>
    <x v="2"/>
    <x v="1"/>
    <n v="1600000000"/>
    <n v="1"/>
    <s v=""/>
    <n v="1600000000"/>
    <x v="228"/>
    <s v="DI"/>
    <n v="130"/>
    <m/>
    <x v="295"/>
    <n v="252"/>
    <s v="Útil"/>
    <s v="N"/>
    <x v="1"/>
    <s v="S"/>
    <x v="1"/>
    <x v="1"/>
    <x v="0"/>
    <x v="28"/>
  </r>
  <r>
    <n v="0"/>
    <s v="Queiroz Galvão4364946572"/>
    <n v="30"/>
    <s v="QUEIROZ GALVAO S/A"/>
    <s v="Queiroz Galvão"/>
    <x v="0"/>
    <n v="0"/>
    <s v="QGSA26    "/>
    <n v="8"/>
    <x v="248"/>
    <d v="2027-07-04T00:00:00"/>
    <x v="114"/>
    <n v="1"/>
    <x v="2"/>
    <x v="1"/>
    <n v="450000000"/>
    <n v="1"/>
    <s v=""/>
    <n v="450000000"/>
    <x v="37"/>
    <s v="DI"/>
    <n v="130"/>
    <m/>
    <x v="295"/>
    <n v="252"/>
    <s v="Útil"/>
    <s v="N"/>
    <x v="1"/>
    <s v="S"/>
    <x v="1"/>
    <x v="1"/>
    <x v="0"/>
    <x v="28"/>
  </r>
  <r>
    <n v="0"/>
    <s v="Queiroz Galvão4324543335"/>
    <n v="30"/>
    <s v="QUEIROZ GALVAO S/A"/>
    <s v="Queiroz Galvão"/>
    <x v="0"/>
    <n v="0"/>
    <s v="QGSA35    "/>
    <n v="9"/>
    <x v="249"/>
    <d v="2018-08-23T00:00:00"/>
    <x v="115"/>
    <n v="0"/>
    <x v="2"/>
    <x v="1"/>
    <n v="11000"/>
    <n v="7724.4218570000003"/>
    <s v=""/>
    <n v="84968640.427000001"/>
    <x v="264"/>
    <s v="DI"/>
    <n v="100"/>
    <n v="2"/>
    <x v="108"/>
    <n v="252"/>
    <s v="Útil"/>
    <s v="N"/>
    <x v="1"/>
    <s v="S"/>
    <x v="1"/>
    <x v="1"/>
    <x v="0"/>
    <x v="82"/>
  </r>
  <r>
    <n v="0"/>
    <s v="Queiroz Galvão4364946572"/>
    <n v="30"/>
    <s v="QUEIROZ GALVAO S/A"/>
    <s v="Queiroz Galvão"/>
    <x v="0"/>
    <n v="0"/>
    <s v="QGSA36    "/>
    <n v="10"/>
    <x v="248"/>
    <d v="2027-07-04T00:00:00"/>
    <x v="114"/>
    <n v="1"/>
    <x v="2"/>
    <x v="1"/>
    <n v="50000000"/>
    <n v="1"/>
    <s v=""/>
    <n v="50000000"/>
    <x v="39"/>
    <s v="DI"/>
    <n v="130"/>
    <m/>
    <x v="295"/>
    <n v="252"/>
    <s v="Útil"/>
    <s v="N"/>
    <x v="1"/>
    <s v="S"/>
    <x v="1"/>
    <x v="1"/>
    <x v="0"/>
    <x v="28"/>
  </r>
  <r>
    <n v="125"/>
    <s v="Queiroz Galvão4075130/07/2018"/>
    <n v="30"/>
    <s v="QGOG Atlantic / Alaskan Rigs Ltd"/>
    <s v="Queiroz Galvão"/>
    <x v="1"/>
    <n v="1"/>
    <m/>
    <n v="11"/>
    <x v="250"/>
    <s v="30/07/2018"/>
    <x v="116"/>
    <n v="1"/>
    <x v="4"/>
    <x v="0"/>
    <m/>
    <m/>
    <n v="1.5630999999999999"/>
    <n v="700000000"/>
    <x v="265"/>
    <s v="USD"/>
    <s v="-"/>
    <n v="5.25"/>
    <x v="296"/>
    <n v="360"/>
    <s v="Corrido"/>
    <s v="N"/>
    <x v="1"/>
    <s v="S"/>
    <x v="1"/>
    <x v="1"/>
    <x v="0"/>
    <x v="141"/>
  </r>
  <r>
    <n v="0"/>
    <s v="Raizen4156243388"/>
    <n v="31"/>
    <s v="RAIZEN ENERGIA S/A"/>
    <s v="Raizen"/>
    <x v="0"/>
    <n v="0"/>
    <s v="RESA11    "/>
    <n v="1"/>
    <x v="251"/>
    <d v="2018-10-15T00:00:00"/>
    <x v="4"/>
    <n v="1"/>
    <x v="2"/>
    <x v="1"/>
    <n v="105975"/>
    <n v="1000"/>
    <s v=""/>
    <n v="105975000"/>
    <x v="266"/>
    <s v="DI"/>
    <n v="100"/>
    <n v="0.89"/>
    <x v="297"/>
    <n v="252"/>
    <s v="Útil"/>
    <s v="N"/>
    <x v="1"/>
    <s v="S"/>
    <x v="1"/>
    <x v="7"/>
    <x v="1"/>
    <x v="68"/>
  </r>
  <r>
    <n v="0"/>
    <s v="Raizen4378447437"/>
    <n v="31"/>
    <s v="RAIZEN ENERGIA S/A"/>
    <s v="Raizen"/>
    <x v="0"/>
    <n v="0"/>
    <s v="RESA14    "/>
    <n v="2"/>
    <x v="252"/>
    <d v="2029-11-15T00:00:00"/>
    <x v="12"/>
    <n v="1"/>
    <x v="2"/>
    <x v="1"/>
    <n v="900000"/>
    <n v="1000"/>
    <s v=""/>
    <n v="900000000"/>
    <x v="90"/>
    <s v="IPCA"/>
    <s v="-"/>
    <n v="3.5390000000000001"/>
    <x v="298"/>
    <n v="252"/>
    <s v="Útil"/>
    <s v="S"/>
    <x v="0"/>
    <s v="N"/>
    <x v="0"/>
    <x v="7"/>
    <x v="1"/>
    <x v="28"/>
  </r>
  <r>
    <n v="0"/>
    <s v="Raizen4399747649"/>
    <n v="31"/>
    <s v="RAIZEN ENERGIA S/A"/>
    <s v="Raizen"/>
    <x v="0"/>
    <n v="0"/>
    <s v="RESA15    "/>
    <n v="3"/>
    <x v="253"/>
    <d v="2030-06-15T00:00:00"/>
    <x v="1"/>
    <n v="1"/>
    <x v="2"/>
    <x v="1"/>
    <n v="169518"/>
    <n v="1000"/>
    <s v=""/>
    <n v="169518000"/>
    <x v="267"/>
    <s v="IPCA"/>
    <s v="-"/>
    <n v="5.8"/>
    <x v="299"/>
    <n v="252"/>
    <s v="Útil"/>
    <s v="S"/>
    <x v="0"/>
    <s v="N"/>
    <x v="0"/>
    <x v="7"/>
    <x v="1"/>
    <x v="142"/>
  </r>
  <r>
    <n v="0"/>
    <s v="Raizen4156243388"/>
    <n v="31"/>
    <s v="RAIZEN ENERGIA S/A"/>
    <s v="Raizen"/>
    <x v="0"/>
    <n v="0"/>
    <s v="RESA21    "/>
    <n v="4"/>
    <x v="251"/>
    <d v="2018-10-15T00:00:00"/>
    <x v="4"/>
    <n v="1"/>
    <x v="2"/>
    <x v="1"/>
    <n v="340000"/>
    <n v="1000"/>
    <s v=""/>
    <n v="340000000"/>
    <x v="268"/>
    <s v="DI"/>
    <n v="100"/>
    <n v="0.94"/>
    <x v="252"/>
    <n v="252"/>
    <s v="Útil"/>
    <s v="N"/>
    <x v="1"/>
    <s v="S"/>
    <x v="1"/>
    <x v="7"/>
    <x v="1"/>
    <x v="68"/>
  </r>
  <r>
    <n v="0"/>
    <s v="Raizen4156244119"/>
    <n v="31"/>
    <s v="RAIZEN ENERGIA S/A"/>
    <s v="Raizen"/>
    <x v="0"/>
    <n v="0"/>
    <s v="RESA31    "/>
    <n v="5"/>
    <x v="251"/>
    <d v="2020-10-15T00:00:00"/>
    <x v="8"/>
    <n v="1"/>
    <x v="2"/>
    <x v="1"/>
    <n v="304025"/>
    <n v="1000"/>
    <s v=""/>
    <n v="304025000"/>
    <x v="269"/>
    <s v="IPCA"/>
    <s v="-"/>
    <n v="6.38"/>
    <x v="300"/>
    <n v="252"/>
    <s v="Útil"/>
    <s v="S"/>
    <x v="0"/>
    <s v="N"/>
    <x v="0"/>
    <x v="7"/>
    <x v="1"/>
    <x v="68"/>
  </r>
  <r>
    <n v="126"/>
    <s v="Raizen4275520/01/2027"/>
    <n v="31"/>
    <s v="Raizen Fuels Finance SA"/>
    <s v="Raizen"/>
    <x v="1"/>
    <n v="1"/>
    <m/>
    <n v="6"/>
    <x v="254"/>
    <s v="20/01/2027"/>
    <x v="1"/>
    <n v="1"/>
    <x v="1"/>
    <x v="0"/>
    <m/>
    <m/>
    <n v="3.1911999999999998"/>
    <n v="500000000"/>
    <x v="270"/>
    <s v="USD"/>
    <s v="-"/>
    <n v="5.3"/>
    <x v="301"/>
    <n v="360"/>
    <s v="Corrido"/>
    <s v="N"/>
    <x v="1"/>
    <s v="N"/>
    <x v="0"/>
    <x v="7"/>
    <x v="1"/>
    <x v="143"/>
  </r>
  <r>
    <n v="127"/>
    <s v="Raizen4401920/01/2027"/>
    <n v="31"/>
    <s v="Raizen Fuels Finance SA"/>
    <s v="Raizen"/>
    <x v="1"/>
    <n v="1"/>
    <m/>
    <n v="7"/>
    <x v="255"/>
    <s v="20/01/2027"/>
    <x v="117"/>
    <n v="1"/>
    <x v="1"/>
    <x v="0"/>
    <m/>
    <m/>
    <n v="5.3311999999999999"/>
    <n v="225000000"/>
    <x v="271"/>
    <s v="USD"/>
    <s v="-"/>
    <n v="5.3"/>
    <x v="302"/>
    <n v="360"/>
    <s v="Corrido"/>
    <s v="N"/>
    <x v="1"/>
    <s v="N"/>
    <x v="0"/>
    <x v="7"/>
    <x v="1"/>
    <x v="19"/>
  </r>
  <r>
    <n v="0"/>
    <s v="Rede D'or4065343941"/>
    <n v="32"/>
    <s v="REDE DOR SAO LUIZ S/A"/>
    <s v="Rede D'or"/>
    <x v="0"/>
    <n v="0"/>
    <s v="HMSL11    "/>
    <n v="1"/>
    <x v="143"/>
    <d v="2020-04-20T00:00:00"/>
    <x v="118"/>
    <n v="1"/>
    <x v="0"/>
    <x v="0"/>
    <n v="100"/>
    <n v="10000000"/>
    <s v=""/>
    <n v="1000000000"/>
    <x v="18"/>
    <s v="DI"/>
    <n v="100"/>
    <n v="2.2999999999999998"/>
    <x v="3"/>
    <n v="252"/>
    <s v="Útil"/>
    <s v="N"/>
    <x v="1"/>
    <s v="S"/>
    <x v="1"/>
    <x v="1"/>
    <x v="0"/>
    <x v="96"/>
  </r>
  <r>
    <n v="0"/>
    <s v="Rede D'or4084442750"/>
    <n v="32"/>
    <s v="REDE DOR SAO LUIZ S/A"/>
    <s v="Rede D'or"/>
    <x v="0"/>
    <n v="0"/>
    <s v="HMSL12    "/>
    <n v="2"/>
    <x v="256"/>
    <d v="2017-01-15T00:00:00"/>
    <x v="119"/>
    <n v="1"/>
    <x v="2"/>
    <x v="1"/>
    <n v="100"/>
    <n v="1000000"/>
    <s v=""/>
    <n v="100000000"/>
    <x v="33"/>
    <s v="DI"/>
    <n v="100"/>
    <n v="2"/>
    <x v="108"/>
    <n v="252"/>
    <s v="Útil"/>
    <s v="N"/>
    <x v="1"/>
    <s v="S"/>
    <x v="1"/>
    <x v="1"/>
    <x v="0"/>
    <x v="34"/>
  </r>
  <r>
    <n v="0"/>
    <s v="Rede D'or4161843444"/>
    <n v="32"/>
    <s v="REDE DOR SAO LUIZ S/A"/>
    <s v="Rede D'or"/>
    <x v="0"/>
    <n v="0"/>
    <s v="HMSL15    "/>
    <n v="3"/>
    <x v="257"/>
    <d v="2018-12-10T00:00:00"/>
    <x v="4"/>
    <n v="1"/>
    <x v="2"/>
    <x v="1"/>
    <n v="20000"/>
    <n v="10000"/>
    <s v=""/>
    <n v="200000000"/>
    <x v="13"/>
    <s v="DI"/>
    <n v="100"/>
    <n v="2"/>
    <x v="108"/>
    <n v="252"/>
    <s v="Útil"/>
    <s v="N"/>
    <x v="1"/>
    <s v="N"/>
    <x v="0"/>
    <x v="1"/>
    <x v="0"/>
    <x v="70"/>
  </r>
  <r>
    <n v="0"/>
    <s v="Rede D'or4198843814"/>
    <n v="32"/>
    <s v="REDE DOR SAO LUIZ S/A"/>
    <s v="Rede D'or"/>
    <x v="0"/>
    <n v="0"/>
    <s v="HMSL16    "/>
    <n v="4"/>
    <x v="258"/>
    <d v="2019-12-15T00:00:00"/>
    <x v="4"/>
    <n v="1"/>
    <x v="2"/>
    <x v="1"/>
    <n v="20000"/>
    <n v="10000"/>
    <s v=""/>
    <n v="200000000"/>
    <x v="13"/>
    <s v="DI"/>
    <n v="100"/>
    <n v="2"/>
    <x v="108"/>
    <n v="252"/>
    <s v="Útil"/>
    <s v="N"/>
    <x v="1"/>
    <s v="S"/>
    <x v="1"/>
    <x v="1"/>
    <x v="0"/>
    <x v="144"/>
  </r>
  <r>
    <n v="0"/>
    <s v="Rede D'or4256343658"/>
    <n v="32"/>
    <s v="REDE DOR SAO LUIZ S/A"/>
    <s v="Rede D'or"/>
    <x v="0"/>
    <n v="0"/>
    <s v="HSLZ17    "/>
    <n v="5"/>
    <x v="259"/>
    <d v="2019-07-12T00:00:00"/>
    <x v="6"/>
    <n v="0"/>
    <x v="0"/>
    <x v="0"/>
    <n v="600000"/>
    <n v="1000"/>
    <s v=""/>
    <n v="600000000"/>
    <x v="30"/>
    <s v="DI"/>
    <n v="100"/>
    <n v="1.9"/>
    <x v="7"/>
    <n v="252"/>
    <s v="Útil"/>
    <s v="N"/>
    <x v="1"/>
    <s v="S"/>
    <x v="1"/>
    <x v="6"/>
    <x v="0"/>
    <x v="145"/>
  </r>
  <r>
    <n v="0"/>
    <s v="Rede D'or4257244398"/>
    <n v="32"/>
    <s v="REDE DOR SAO LUIZ S/A"/>
    <s v="Rede D'or"/>
    <x v="0"/>
    <n v="0"/>
    <s v="HSLZ18    "/>
    <n v="6"/>
    <x v="260"/>
    <d v="2021-07-21T00:00:00"/>
    <x v="4"/>
    <n v="1"/>
    <x v="2"/>
    <x v="1"/>
    <n v="15000"/>
    <n v="10000"/>
    <s v=""/>
    <n v="150000000"/>
    <x v="2"/>
    <s v="DI"/>
    <n v="100"/>
    <n v="2.6"/>
    <x v="189"/>
    <n v="252"/>
    <s v="Útil"/>
    <s v="N"/>
    <x v="1"/>
    <s v="S"/>
    <x v="1"/>
    <x v="6"/>
    <x v="0"/>
    <x v="146"/>
  </r>
  <r>
    <n v="0"/>
    <s v="Rede D'or4295444050"/>
    <n v="32"/>
    <s v="REDE DOR SAO LUIZ S/A"/>
    <s v="Rede D'or"/>
    <x v="0"/>
    <n v="0"/>
    <s v="HSLZ19    "/>
    <n v="7"/>
    <x v="261"/>
    <d v="2020-08-07T00:00:00"/>
    <x v="16"/>
    <n v="0"/>
    <x v="2"/>
    <x v="1"/>
    <n v="80000"/>
    <n v="10000"/>
    <s v=""/>
    <n v="800000000"/>
    <x v="6"/>
    <s v="DI"/>
    <n v="110"/>
    <m/>
    <x v="303"/>
    <n v="252"/>
    <s v="Útil"/>
    <s v="N"/>
    <x v="1"/>
    <s v="S"/>
    <x v="1"/>
    <x v="6"/>
    <x v="0"/>
    <x v="65"/>
  </r>
  <r>
    <n v="0"/>
    <s v="Rede D'or4256344024"/>
    <n v="32"/>
    <s v="REDE DOR SAO LUIZ S/A"/>
    <s v="Rede D'or"/>
    <x v="0"/>
    <n v="0"/>
    <s v="HSLZ27    "/>
    <n v="8"/>
    <x v="259"/>
    <d v="2020-07-12T00:00:00"/>
    <x v="46"/>
    <n v="0"/>
    <x v="0"/>
    <x v="0"/>
    <n v="300000"/>
    <n v="1000"/>
    <s v=""/>
    <n v="300000000"/>
    <x v="5"/>
    <s v="DI"/>
    <n v="100"/>
    <n v="2"/>
    <x v="108"/>
    <n v="252"/>
    <s v="Útil"/>
    <s v="N"/>
    <x v="1"/>
    <s v="S"/>
    <x v="1"/>
    <x v="6"/>
    <x v="0"/>
    <x v="145"/>
  </r>
  <r>
    <n v="0"/>
    <s v="Rede D'or4295445511"/>
    <n v="32"/>
    <s v="REDE DOR SAO LUIZ S/A"/>
    <s v="Rede D'or"/>
    <x v="0"/>
    <n v="0"/>
    <s v="HSLZ29    "/>
    <n v="9"/>
    <x v="261"/>
    <d v="2024-08-07T00:00:00"/>
    <x v="8"/>
    <n v="1"/>
    <x v="2"/>
    <x v="1"/>
    <n v="60000"/>
    <n v="10000"/>
    <s v=""/>
    <n v="600000000"/>
    <x v="30"/>
    <s v="DI"/>
    <n v="100"/>
    <n v="1.75"/>
    <x v="85"/>
    <n v="252"/>
    <s v="Útil"/>
    <s v="N"/>
    <x v="1"/>
    <s v="S"/>
    <x v="1"/>
    <x v="6"/>
    <x v="0"/>
    <x v="65"/>
  </r>
  <r>
    <n v="0"/>
    <s v="Rede D'or4256344389"/>
    <n v="32"/>
    <s v="REDE DOR SAO LUIZ S/A"/>
    <s v="Rede D'or"/>
    <x v="0"/>
    <n v="0"/>
    <s v="HSLZ37    "/>
    <n v="10"/>
    <x v="259"/>
    <d v="2021-07-12T00:00:00"/>
    <x v="4"/>
    <n v="1"/>
    <x v="0"/>
    <x v="0"/>
    <n v="300000"/>
    <n v="1000"/>
    <s v=""/>
    <n v="300000000"/>
    <x v="5"/>
    <s v="DI"/>
    <n v="100"/>
    <n v="2.1"/>
    <x v="304"/>
    <n v="252"/>
    <s v="Útil"/>
    <s v="N"/>
    <x v="1"/>
    <s v="S"/>
    <x v="1"/>
    <x v="6"/>
    <x v="0"/>
    <x v="145"/>
  </r>
  <r>
    <n v="0"/>
    <s v="Rede D'or4335345545"/>
    <n v="32"/>
    <s v="REDE DOR SAO LUIZ S/A"/>
    <s v="Rede D'or"/>
    <x v="0"/>
    <n v="0"/>
    <s v="HSLZA3    "/>
    <n v="11"/>
    <x v="262"/>
    <d v="2024-09-10T00:00:00"/>
    <x v="11"/>
    <n v="1"/>
    <x v="2"/>
    <x v="1"/>
    <n v="1400000000"/>
    <n v="1"/>
    <s v=""/>
    <n v="1400000000"/>
    <x v="73"/>
    <s v="DI"/>
    <n v="100"/>
    <n v="1.02"/>
    <x v="305"/>
    <n v="252"/>
    <s v="Útil"/>
    <s v="N"/>
    <x v="1"/>
    <s v="S"/>
    <x v="1"/>
    <x v="2"/>
    <x v="1"/>
    <x v="104"/>
  </r>
  <r>
    <n v="0"/>
    <s v="Rede D'or4339746319"/>
    <n v="32"/>
    <s v="REDE DOR SAO LUIZ S/A"/>
    <s v="Rede D'or"/>
    <x v="0"/>
    <n v="0"/>
    <s v="HSLZA4    "/>
    <n v="12"/>
    <x v="263"/>
    <d v="2026-10-24T00:00:00"/>
    <x v="13"/>
    <n v="1"/>
    <x v="0"/>
    <x v="0"/>
    <n v="500000"/>
    <n v="1000"/>
    <s v=""/>
    <n v="500000000"/>
    <x v="10"/>
    <s v="DI"/>
    <n v="106"/>
    <m/>
    <x v="306"/>
    <n v="252"/>
    <s v="Útil"/>
    <s v="N"/>
    <x v="1"/>
    <s v="S"/>
    <x v="1"/>
    <x v="2"/>
    <x v="1"/>
    <x v="135"/>
  </r>
  <r>
    <n v="0"/>
    <s v="Rede D'or4088943444"/>
    <n v="32"/>
    <s v="REDE DOR SAO LUIZ S/A"/>
    <s v="Rede D'or"/>
    <x v="0"/>
    <n v="0"/>
    <s v="MEDS11    "/>
    <n v="13"/>
    <x v="264"/>
    <d v="2018-12-10T00:00:00"/>
    <x v="66"/>
    <n v="1"/>
    <x v="0"/>
    <x v="0"/>
    <n v="100"/>
    <n v="1000000"/>
    <s v=""/>
    <n v="100000000"/>
    <x v="33"/>
    <s v="DI"/>
    <n v="100"/>
    <n v="2.2000000000000002"/>
    <x v="196"/>
    <n v="252"/>
    <s v="Útil"/>
    <s v="N"/>
    <x v="1"/>
    <s v="S"/>
    <x v="1"/>
    <x v="1"/>
    <x v="0"/>
    <x v="147"/>
  </r>
  <r>
    <n v="0"/>
    <s v="Rede D'or4088744175"/>
    <n v="32"/>
    <s v="REDE DOR SAO LUIZ S/A"/>
    <s v="Rede D'or"/>
    <x v="0"/>
    <n v="0"/>
    <s v="RDOR13    "/>
    <n v="14"/>
    <x v="265"/>
    <d v="2020-12-10T00:00:00"/>
    <x v="118"/>
    <n v="1"/>
    <x v="3"/>
    <x v="0"/>
    <n v="65000"/>
    <n v="10000"/>
    <s v=""/>
    <n v="650000000"/>
    <x v="184"/>
    <s v="DI"/>
    <n v="100"/>
    <n v="2.2999999999999998"/>
    <x v="3"/>
    <n v="252"/>
    <s v="Útil"/>
    <s v="N"/>
    <x v="1"/>
    <s v="S"/>
    <x v="1"/>
    <x v="1"/>
    <x v="0"/>
    <x v="147"/>
  </r>
  <r>
    <n v="0"/>
    <s v="Rede D'or4113144418"/>
    <n v="32"/>
    <s v="REDE DOR SAO LUIZ S/A"/>
    <s v="Rede D'or"/>
    <x v="0"/>
    <n v="0"/>
    <s v="RDOR14    "/>
    <n v="15"/>
    <x v="266"/>
    <d v="2021-08-10T00:00:00"/>
    <x v="26"/>
    <n v="1"/>
    <x v="0"/>
    <x v="0"/>
    <n v="80000"/>
    <n v="10000"/>
    <s v=""/>
    <n v="800000000"/>
    <x v="6"/>
    <s v="DI"/>
    <n v="100"/>
    <n v="2.4"/>
    <x v="307"/>
    <n v="252"/>
    <s v="Útil"/>
    <s v="N"/>
    <x v="1"/>
    <s v="S"/>
    <x v="1"/>
    <x v="1"/>
    <x v="0"/>
    <x v="23"/>
  </r>
  <r>
    <n v="0"/>
    <s v="Rede D'or4363646376"/>
    <n v="32"/>
    <s v="REDE DOR SAO LUIZ S/A"/>
    <s v="Rede D'or"/>
    <x v="0"/>
    <n v="0"/>
    <s v="RDORB7    "/>
    <n v="16"/>
    <x v="267"/>
    <d v="2026-12-20T00:00:00"/>
    <x v="120"/>
    <n v="1"/>
    <x v="2"/>
    <x v="1"/>
    <n v="2500000"/>
    <n v="1000"/>
    <s v=""/>
    <n v="2500000000"/>
    <x v="272"/>
    <s v="DI"/>
    <n v="100"/>
    <n v="1.25"/>
    <x v="167"/>
    <n v="252"/>
    <s v="Útil"/>
    <s v="N"/>
    <x v="1"/>
    <s v="S"/>
    <x v="1"/>
    <x v="2"/>
    <x v="1"/>
    <x v="109"/>
  </r>
  <r>
    <n v="0"/>
    <s v="Rede D'or4399948080"/>
    <n v="32"/>
    <s v="REDE DOR SAO LUIZ S/A"/>
    <s v="Rede D'or"/>
    <x v="0"/>
    <n v="0"/>
    <s v="RDORB9    "/>
    <n v="17"/>
    <x v="268"/>
    <d v="2031-08-20T00:00:00"/>
    <x v="121"/>
    <n v="1"/>
    <x v="2"/>
    <x v="1"/>
    <n v="2500000"/>
    <n v="1000"/>
    <s v=""/>
    <n v="2500000000"/>
    <x v="272"/>
    <s v="DI"/>
    <n v="100"/>
    <n v="1.9"/>
    <x v="7"/>
    <n v="252"/>
    <s v="Útil"/>
    <s v="N"/>
    <x v="1"/>
    <s v="S"/>
    <x v="1"/>
    <x v="2"/>
    <x v="1"/>
    <x v="148"/>
  </r>
  <r>
    <n v="0"/>
    <s v="Rede D'or4363647289"/>
    <n v="32"/>
    <s v="REDE DOR SAO LUIZ S/A"/>
    <s v="Rede D'or"/>
    <x v="0"/>
    <n v="0"/>
    <s v="RDORC7    "/>
    <n v="18"/>
    <x v="267"/>
    <d v="2029-06-20T00:00:00"/>
    <x v="12"/>
    <n v="1"/>
    <x v="2"/>
    <x v="1"/>
    <n v="1000000"/>
    <n v="1000"/>
    <s v=""/>
    <n v="1000000000"/>
    <x v="18"/>
    <s v="DI"/>
    <n v="100"/>
    <n v="0.79"/>
    <x v="308"/>
    <n v="252"/>
    <s v="Útil"/>
    <s v="N"/>
    <x v="1"/>
    <s v="S"/>
    <x v="1"/>
    <x v="2"/>
    <x v="1"/>
    <x v="109"/>
  </r>
  <r>
    <n v="0"/>
    <s v="Rede D'or4399948080"/>
    <n v="32"/>
    <s v="REDE DOR SAO LUIZ S/A"/>
    <s v="Rede D'or"/>
    <x v="0"/>
    <n v="0"/>
    <s v="RDORC9    "/>
    <n v="19"/>
    <x v="268"/>
    <d v="2031-08-20T00:00:00"/>
    <x v="121"/>
    <n v="1"/>
    <x v="2"/>
    <x v="1"/>
    <n v="1500000"/>
    <n v="1000"/>
    <s v=""/>
    <n v="1500000000"/>
    <x v="71"/>
    <s v="DI"/>
    <n v="100"/>
    <n v="1.9"/>
    <x v="7"/>
    <n v="252"/>
    <s v="Útil"/>
    <s v="N"/>
    <x v="1"/>
    <s v="S"/>
    <x v="1"/>
    <x v="2"/>
    <x v="1"/>
    <x v="148"/>
  </r>
  <r>
    <n v="128"/>
    <s v="Rede D'or4385222/01/2030"/>
    <n v="32"/>
    <s v="Rede D'or Finance Sarl"/>
    <s v="Rede D'or"/>
    <x v="1"/>
    <n v="1"/>
    <m/>
    <n v="20"/>
    <x v="269"/>
    <s v="22/01/2030"/>
    <x v="12"/>
    <n v="1"/>
    <x v="1"/>
    <x v="0"/>
    <m/>
    <m/>
    <n v="4.1882999999999999"/>
    <n v="850000000"/>
    <x v="273"/>
    <s v="USD"/>
    <s v="-"/>
    <n v="4.5"/>
    <x v="309"/>
    <n v="360"/>
    <s v="Corrido"/>
    <s v="N"/>
    <x v="1"/>
    <s v="S"/>
    <x v="1"/>
    <x v="2"/>
    <x v="1"/>
    <x v="113"/>
  </r>
  <r>
    <n v="129"/>
    <s v="Rede D'or4311717/01/2028"/>
    <n v="32"/>
    <s v="Rede D'or Finance Sarl"/>
    <s v="Rede D'or"/>
    <x v="1"/>
    <n v="1"/>
    <m/>
    <n v="21"/>
    <x v="270"/>
    <s v="17/01/2028"/>
    <x v="1"/>
    <n v="1"/>
    <x v="1"/>
    <x v="0"/>
    <m/>
    <m/>
    <n v="3.2317999999999998"/>
    <n v="500000000"/>
    <x v="274"/>
    <s v="USD"/>
    <s v="-"/>
    <n v="4.95"/>
    <x v="310"/>
    <n v="360"/>
    <s v="Corrido"/>
    <s v="N"/>
    <x v="1"/>
    <s v="S"/>
    <x v="1"/>
    <x v="2"/>
    <x v="1"/>
    <x v="149"/>
  </r>
  <r>
    <n v="130"/>
    <s v="Rede D'or4387422/01/2030"/>
    <n v="32"/>
    <s v="Rede D'or Finance Sarl"/>
    <s v="Rede D'or"/>
    <x v="1"/>
    <n v="1"/>
    <m/>
    <n v="22"/>
    <x v="271"/>
    <s v="22/01/2030"/>
    <x v="122"/>
    <n v="1"/>
    <x v="1"/>
    <x v="0"/>
    <m/>
    <m/>
    <n v="4.3383000000000003"/>
    <n v="350000000"/>
    <x v="275"/>
    <s v="USD"/>
    <s v="-"/>
    <n v="4.5"/>
    <x v="311"/>
    <n v="360"/>
    <s v="Corrido"/>
    <s v="N"/>
    <x v="1"/>
    <s v="S"/>
    <x v="1"/>
    <x v="2"/>
    <x v="1"/>
    <x v="14"/>
  </r>
  <r>
    <n v="0"/>
    <s v="Rumo4118343009"/>
    <n v="33"/>
    <s v="RUMO S.A."/>
    <s v="Rumo"/>
    <x v="0"/>
    <n v="0"/>
    <s v="ALLG10    "/>
    <n v="1"/>
    <x v="89"/>
    <d v="2017-10-01T00:00:00"/>
    <x v="4"/>
    <n v="1"/>
    <x v="2"/>
    <x v="1"/>
    <n v="75000"/>
    <n v="10000"/>
    <s v=""/>
    <n v="750000000"/>
    <x v="89"/>
    <s v="DI"/>
    <n v="100"/>
    <n v="1.3"/>
    <x v="312"/>
    <n v="252"/>
    <s v="Útil"/>
    <s v="N"/>
    <x v="1"/>
    <s v="N"/>
    <x v="0"/>
    <x v="11"/>
    <x v="0"/>
    <x v="72"/>
  </r>
  <r>
    <n v="0"/>
    <s v="Rumo4064842475"/>
    <n v="33"/>
    <s v="RUMO S.A."/>
    <s v="Rumo"/>
    <x v="0"/>
    <n v="0"/>
    <s v="ALLG18    "/>
    <n v="2"/>
    <x v="57"/>
    <d v="2016-04-15T00:00:00"/>
    <x v="5"/>
    <n v="1"/>
    <x v="2"/>
    <x v="1"/>
    <n v="53916"/>
    <n v="10000"/>
    <s v=""/>
    <n v="539160000"/>
    <x v="276"/>
    <s v="DI"/>
    <n v="100"/>
    <n v="1.65"/>
    <x v="107"/>
    <n v="252"/>
    <s v="Útil"/>
    <s v="N"/>
    <x v="1"/>
    <s v="S"/>
    <x v="1"/>
    <x v="11"/>
    <x v="0"/>
    <x v="50"/>
  </r>
  <r>
    <n v="0"/>
    <s v="Rumo4073942566"/>
    <n v="33"/>
    <s v="RUMO S.A."/>
    <s v="Rumo"/>
    <x v="0"/>
    <n v="0"/>
    <s v="ALLG19    "/>
    <n v="3"/>
    <x v="272"/>
    <d v="2016-07-15T00:00:00"/>
    <x v="5"/>
    <n v="1"/>
    <x v="2"/>
    <x v="1"/>
    <n v="13376"/>
    <n v="10741.24"/>
    <s v=""/>
    <n v="143674826.24000001"/>
    <x v="277"/>
    <s v="DI"/>
    <n v="100"/>
    <n v="1.65"/>
    <x v="107"/>
    <n v="252"/>
    <s v="Útil"/>
    <s v="N"/>
    <x v="1"/>
    <s v="S"/>
    <x v="1"/>
    <x v="11"/>
    <x v="0"/>
    <x v="150"/>
  </r>
  <r>
    <n v="0"/>
    <s v="Rumo4064843205"/>
    <n v="33"/>
    <s v="RUMO S.A."/>
    <s v="Rumo"/>
    <x v="0"/>
    <n v="0"/>
    <s v="ALLG28    "/>
    <n v="4"/>
    <x v="57"/>
    <d v="2018-04-15T00:00:00"/>
    <x v="8"/>
    <n v="1"/>
    <x v="2"/>
    <x v="1"/>
    <n v="27084"/>
    <n v="10000"/>
    <s v=""/>
    <n v="270840000"/>
    <x v="278"/>
    <s v="IPCA"/>
    <s v="-"/>
    <n v="8.4"/>
    <x v="313"/>
    <n v="252"/>
    <s v="Útil"/>
    <s v="N"/>
    <x v="1"/>
    <s v="S"/>
    <x v="1"/>
    <x v="11"/>
    <x v="0"/>
    <x v="50"/>
  </r>
  <r>
    <n v="0"/>
    <s v="Rumo4073942566"/>
    <n v="33"/>
    <s v="RUMO S.A."/>
    <s v="Rumo"/>
    <x v="0"/>
    <n v="0"/>
    <s v="ALLG29    "/>
    <n v="5"/>
    <x v="272"/>
    <d v="2016-07-15T00:00:00"/>
    <x v="5"/>
    <n v="1"/>
    <x v="2"/>
    <x v="1"/>
    <n v="28056"/>
    <n v="7698.94"/>
    <s v=""/>
    <n v="216001460.63999999"/>
    <x v="279"/>
    <s v="DI"/>
    <n v="100"/>
    <n v="1.65"/>
    <x v="107"/>
    <n v="252"/>
    <s v="Útil"/>
    <s v="N"/>
    <x v="1"/>
    <s v="S"/>
    <x v="1"/>
    <x v="11"/>
    <x v="0"/>
    <x v="150"/>
  </r>
  <r>
    <n v="0"/>
    <s v="Rumo4211843214"/>
    <n v="33"/>
    <s v="RUMO S.A."/>
    <s v="Rumo"/>
    <x v="0"/>
    <n v="0"/>
    <s v="RUMO11    "/>
    <n v="6"/>
    <x v="273"/>
    <d v="2018-04-24T00:00:00"/>
    <x v="16"/>
    <n v="0"/>
    <x v="2"/>
    <x v="1"/>
    <n v="140000"/>
    <n v="10000"/>
    <s v=""/>
    <n v="1400000000"/>
    <x v="73"/>
    <s v="DI"/>
    <n v="100"/>
    <n v="2.5499999999999998"/>
    <x v="314"/>
    <n v="252"/>
    <s v="Útil"/>
    <s v="N"/>
    <x v="1"/>
    <s v="S"/>
    <x v="1"/>
    <x v="11"/>
    <x v="0"/>
    <x v="63"/>
  </r>
  <r>
    <n v="0"/>
    <s v="Rumo4351147164"/>
    <n v="33"/>
    <s v="RUMO S.A."/>
    <s v="Rumo"/>
    <x v="0"/>
    <n v="0"/>
    <s v="RUMOA2    "/>
    <n v="7"/>
    <x v="274"/>
    <d v="2029-02-15T00:00:00"/>
    <x v="12"/>
    <n v="1"/>
    <x v="2"/>
    <x v="1"/>
    <n v="600000"/>
    <n v="1000"/>
    <s v=""/>
    <n v="600000000"/>
    <x v="30"/>
    <s v="IPCA"/>
    <s v="-"/>
    <n v="4.5"/>
    <x v="315"/>
    <n v="252"/>
    <s v="Útil"/>
    <s v="S"/>
    <x v="0"/>
    <s v="N"/>
    <x v="0"/>
    <x v="6"/>
    <x v="0"/>
    <x v="151"/>
  </r>
  <r>
    <n v="0"/>
    <s v="Rumo4375347406"/>
    <n v="33"/>
    <s v="RUMO S.A."/>
    <s v="Rumo"/>
    <x v="0"/>
    <n v="0"/>
    <s v="RUMOA3    "/>
    <n v="8"/>
    <x v="173"/>
    <d v="2029-10-15T00:00:00"/>
    <x v="12"/>
    <n v="1"/>
    <x v="2"/>
    <x v="1"/>
    <n v="906856"/>
    <n v="1000"/>
    <s v=""/>
    <n v="906856000"/>
    <x v="280"/>
    <s v="IPCA"/>
    <s v="-"/>
    <n v="3.9"/>
    <x v="316"/>
    <n v="252"/>
    <s v="Útil"/>
    <s v="S"/>
    <x v="0"/>
    <s v="N"/>
    <x v="0"/>
    <x v="6"/>
    <x v="0"/>
    <x v="109"/>
  </r>
  <r>
    <n v="0"/>
    <s v="Rumo4393647588"/>
    <n v="33"/>
    <s v="RUMO S.A."/>
    <s v="Rumo"/>
    <x v="0"/>
    <n v="0"/>
    <s v="RUMOA4    "/>
    <n v="9"/>
    <x v="174"/>
    <d v="2030-04-15T00:00:00"/>
    <x v="1"/>
    <n v="1"/>
    <x v="2"/>
    <x v="1"/>
    <n v="800000"/>
    <n v="1000"/>
    <s v=""/>
    <n v="800000000"/>
    <x v="6"/>
    <s v="IPCA"/>
    <s v="-"/>
    <n v="6.7961"/>
    <x v="317"/>
    <n v="252"/>
    <s v="Útil"/>
    <s v="S"/>
    <x v="0"/>
    <s v="N"/>
    <x v="0"/>
    <x v="6"/>
    <x v="0"/>
    <x v="110"/>
  </r>
  <r>
    <n v="0"/>
    <s v="Rumo4418047832"/>
    <n v="33"/>
    <s v="RUMO S.A."/>
    <s v="Rumo"/>
    <x v="0"/>
    <n v="0"/>
    <s v="RUMOA5    "/>
    <n v="10"/>
    <x v="204"/>
    <d v="2030-12-15T00:00:00"/>
    <x v="1"/>
    <n v="1"/>
    <x v="2"/>
    <x v="1"/>
    <n v="376523"/>
    <n v="1000"/>
    <s v=""/>
    <n v="376523000"/>
    <x v="281"/>
    <s v="IPCA"/>
    <s v="-"/>
    <n v="3.6"/>
    <x v="318"/>
    <n v="252"/>
    <s v="Útil"/>
    <s v="S"/>
    <x v="0"/>
    <s v="N"/>
    <x v="0"/>
    <x v="6"/>
    <x v="0"/>
    <x v="65"/>
  </r>
  <r>
    <n v="0"/>
    <s v="Rumo4436248014"/>
    <n v="33"/>
    <s v="RUMO S.A."/>
    <s v="Rumo"/>
    <x v="0"/>
    <n v="0"/>
    <s v="RUMOA6    "/>
    <n v="11"/>
    <x v="44"/>
    <d v="2031-06-15T00:00:00"/>
    <x v="1"/>
    <n v="1"/>
    <x v="2"/>
    <x v="1"/>
    <n v="784619"/>
    <n v="1000"/>
    <s v=""/>
    <n v="784619000"/>
    <x v="282"/>
    <s v="IPCA"/>
    <s v="-"/>
    <n v="4.4997999999999996"/>
    <x v="319"/>
    <n v="252"/>
    <s v="Útil"/>
    <s v="S"/>
    <x v="0"/>
    <s v="N"/>
    <x v="0"/>
    <x v="6"/>
    <x v="0"/>
    <x v="40"/>
  </r>
  <r>
    <n v="0"/>
    <s v="Rumo4375347406"/>
    <n v="33"/>
    <s v="RUMO S.A."/>
    <s v="Rumo"/>
    <x v="0"/>
    <n v="0"/>
    <s v="RUMOB3    "/>
    <n v="12"/>
    <x v="173"/>
    <d v="2029-10-15T00:00:00"/>
    <x v="12"/>
    <n v="1"/>
    <x v="2"/>
    <x v="1"/>
    <n v="222280"/>
    <n v="1000"/>
    <s v=""/>
    <n v="222280000"/>
    <x v="283"/>
    <s v="IPCA"/>
    <s v="-"/>
    <n v="4"/>
    <x v="316"/>
    <n v="252"/>
    <s v="Útil"/>
    <s v="S"/>
    <x v="0"/>
    <s v="N"/>
    <x v="0"/>
    <x v="6"/>
    <x v="0"/>
    <x v="109"/>
  </r>
  <r>
    <n v="0"/>
    <s v="Rumo4418049658"/>
    <n v="33"/>
    <s v="RUMO S.A."/>
    <s v="Rumo"/>
    <x v="0"/>
    <n v="0"/>
    <s v="RUMOB5    "/>
    <n v="13"/>
    <x v="204"/>
    <d v="2035-12-15T00:00:00"/>
    <x v="62"/>
    <n v="1"/>
    <x v="2"/>
    <x v="1"/>
    <n v="823477"/>
    <n v="1000"/>
    <s v=""/>
    <n v="823477000"/>
    <x v="284"/>
    <s v="IPCA"/>
    <s v="-"/>
    <n v="4"/>
    <x v="320"/>
    <n v="252"/>
    <s v="Útil"/>
    <s v="S"/>
    <x v="0"/>
    <s v="N"/>
    <x v="0"/>
    <x v="6"/>
    <x v="0"/>
    <x v="65"/>
  </r>
  <r>
    <n v="0"/>
    <s v="Rumo4436249841"/>
    <n v="33"/>
    <s v="RUMO S.A."/>
    <s v="Rumo"/>
    <x v="0"/>
    <n v="0"/>
    <s v="RUMOB6    "/>
    <n v="14"/>
    <x v="44"/>
    <d v="2036-06-15T00:00:00"/>
    <x v="56"/>
    <n v="1"/>
    <x v="2"/>
    <x v="1"/>
    <n v="258815"/>
    <n v="1000"/>
    <s v=""/>
    <n v="258815000"/>
    <x v="285"/>
    <s v="IPCA"/>
    <s v="-"/>
    <n v="4.5404"/>
    <x v="321"/>
    <n v="252"/>
    <s v="Útil"/>
    <s v="S"/>
    <x v="0"/>
    <s v="N"/>
    <x v="0"/>
    <x v="6"/>
    <x v="0"/>
    <x v="40"/>
  </r>
  <r>
    <n v="131"/>
    <s v="Rumo4402210/01/2028"/>
    <n v="33"/>
    <s v="Rumo Luxembourg Sarl"/>
    <s v="Rumo"/>
    <x v="1"/>
    <n v="1"/>
    <m/>
    <n v="15"/>
    <x v="275"/>
    <s v="10/01/2028"/>
    <x v="120"/>
    <n v="1"/>
    <x v="1"/>
    <x v="0"/>
    <m/>
    <m/>
    <n v="5.3433999999999999"/>
    <n v="500000000"/>
    <x v="286"/>
    <s v="USD"/>
    <s v="-"/>
    <n v="5.25"/>
    <x v="322"/>
    <n v="360"/>
    <s v="Corrido"/>
    <s v="N"/>
    <x v="1"/>
    <s v="S"/>
    <x v="1"/>
    <x v="6"/>
    <x v="0"/>
    <x v="152"/>
  </r>
  <r>
    <n v="132"/>
    <s v="Rumo4446118/01/2032"/>
    <n v="33"/>
    <s v="Rumo Luxembourg Sarl"/>
    <s v="Rumo"/>
    <x v="1"/>
    <n v="1"/>
    <m/>
    <n v="16"/>
    <x v="276"/>
    <s v="18/01/2032"/>
    <x v="123"/>
    <n v="1"/>
    <x v="1"/>
    <x v="0"/>
    <m/>
    <m/>
    <n v="5.2777000000000003"/>
    <n v="500000000"/>
    <x v="287"/>
    <s v="USD"/>
    <s v="-"/>
    <n v="4.2"/>
    <x v="323"/>
    <n v="360"/>
    <s v="Corrido"/>
    <s v="N"/>
    <x v="1"/>
    <s v="S"/>
    <x v="1"/>
    <x v="6"/>
    <x v="0"/>
    <x v="35"/>
  </r>
  <r>
    <n v="0"/>
    <s v="Simpar4448947046"/>
    <n v="34"/>
    <s v="JSL S.A"/>
    <s v="Simpar"/>
    <x v="0"/>
    <n v="0"/>
    <s v="JSLGA5    "/>
    <n v="1"/>
    <x v="277"/>
    <d v="2028-10-20T00:00:00"/>
    <x v="8"/>
    <n v="1"/>
    <x v="2"/>
    <x v="1"/>
    <n v="700000"/>
    <n v="1000"/>
    <s v=""/>
    <n v="700000000"/>
    <x v="12"/>
    <s v="DI"/>
    <n v="100"/>
    <n v="2.7"/>
    <x v="235"/>
    <n v="252"/>
    <s v="Útil"/>
    <s v="N"/>
    <x v="1"/>
    <s v="S"/>
    <x v="1"/>
    <x v="11"/>
    <x v="0"/>
    <x v="153"/>
  </r>
  <r>
    <n v="0"/>
    <s v="Simpar4071842910"/>
    <n v="34"/>
    <s v="JSL S.A"/>
    <s v="Simpar"/>
    <x v="0"/>
    <n v="0"/>
    <s v="JSML14    "/>
    <n v="2"/>
    <x v="278"/>
    <d v="2017-06-24T00:00:00"/>
    <x v="11"/>
    <n v="1"/>
    <x v="2"/>
    <x v="1"/>
    <n v="113"/>
    <n v="1000000"/>
    <s v=""/>
    <n v="113000000"/>
    <x v="288"/>
    <s v="DI"/>
    <n v="118"/>
    <m/>
    <x v="324"/>
    <n v="252"/>
    <s v="Útil"/>
    <s v="N"/>
    <x v="1"/>
    <s v="S"/>
    <x v="1"/>
    <x v="11"/>
    <x v="0"/>
    <x v="50"/>
  </r>
  <r>
    <n v="0"/>
    <s v="Simpar4105342514"/>
    <n v="34"/>
    <s v="JSL S.A"/>
    <s v="Simpar"/>
    <x v="0"/>
    <n v="0"/>
    <s v="JSML15    "/>
    <n v="3"/>
    <x v="279"/>
    <d v="2016-05-24T00:00:00"/>
    <x v="46"/>
    <n v="0"/>
    <x v="2"/>
    <x v="1"/>
    <n v="20000"/>
    <n v="10000"/>
    <s v=""/>
    <n v="200000000"/>
    <x v="13"/>
    <s v="DI"/>
    <n v="100"/>
    <n v="1.85"/>
    <x v="57"/>
    <n v="252"/>
    <s v="Útil"/>
    <s v="N"/>
    <x v="1"/>
    <s v="S"/>
    <x v="1"/>
    <x v="0"/>
    <x v="0"/>
    <x v="62"/>
  </r>
  <r>
    <n v="0"/>
    <s v="Simpar4147043296"/>
    <n v="34"/>
    <s v="JSL S.A"/>
    <s v="Simpar"/>
    <x v="0"/>
    <n v="0"/>
    <s v="JSML16    "/>
    <n v="4"/>
    <x v="15"/>
    <d v="2018-07-15T00:00:00"/>
    <x v="4"/>
    <n v="1"/>
    <x v="2"/>
    <x v="1"/>
    <n v="152429"/>
    <n v="1000"/>
    <s v=""/>
    <n v="152429000"/>
    <x v="289"/>
    <s v="DI"/>
    <n v="100"/>
    <n v="1.8"/>
    <x v="5"/>
    <n v="252"/>
    <s v="Útil"/>
    <s v="N"/>
    <x v="1"/>
    <s v="N"/>
    <x v="0"/>
    <x v="0"/>
    <x v="0"/>
    <x v="13"/>
  </r>
  <r>
    <n v="0"/>
    <s v="Simpar4157143762"/>
    <n v="34"/>
    <s v="JSL S.A"/>
    <s v="Simpar"/>
    <x v="0"/>
    <n v="0"/>
    <s v="JSML17    "/>
    <n v="5"/>
    <x v="280"/>
    <d v="2019-10-24T00:00:00"/>
    <x v="7"/>
    <n v="1"/>
    <x v="2"/>
    <x v="1"/>
    <n v="17000"/>
    <n v="10000"/>
    <s v=""/>
    <n v="170000000"/>
    <x v="167"/>
    <s v="DI"/>
    <n v="117.5"/>
    <m/>
    <x v="325"/>
    <n v="252"/>
    <s v="Útil"/>
    <s v="N"/>
    <x v="1"/>
    <s v="S"/>
    <x v="1"/>
    <x v="0"/>
    <x v="0"/>
    <x v="53"/>
  </r>
  <r>
    <n v="0"/>
    <s v="Simpar4180543631"/>
    <n v="34"/>
    <s v="JSL S.A"/>
    <s v="Simpar"/>
    <x v="0"/>
    <n v="0"/>
    <s v="JSML18    "/>
    <n v="6"/>
    <x v="281"/>
    <d v="2019-06-15T00:00:00"/>
    <x v="4"/>
    <n v="1"/>
    <x v="2"/>
    <x v="1"/>
    <n v="165175"/>
    <n v="1000"/>
    <s v=""/>
    <n v="165175000"/>
    <x v="290"/>
    <s v="DI"/>
    <n v="116"/>
    <m/>
    <x v="326"/>
    <n v="252"/>
    <s v="Útil"/>
    <s v="N"/>
    <x v="1"/>
    <s v="N"/>
    <x v="0"/>
    <x v="0"/>
    <x v="0"/>
    <x v="140"/>
  </r>
  <r>
    <n v="0"/>
    <s v="Simpar4198843814"/>
    <n v="34"/>
    <s v="JSL S.A"/>
    <s v="Simpar"/>
    <x v="0"/>
    <n v="0"/>
    <s v="JSML19    "/>
    <n v="7"/>
    <x v="258"/>
    <d v="2019-12-15T00:00:00"/>
    <x v="4"/>
    <n v="1"/>
    <x v="2"/>
    <x v="1"/>
    <n v="10000"/>
    <n v="10000"/>
    <s v=""/>
    <n v="100000000"/>
    <x v="33"/>
    <s v="DI"/>
    <n v="116"/>
    <m/>
    <x v="327"/>
    <n v="252"/>
    <s v="Útil"/>
    <s v="N"/>
    <x v="1"/>
    <s v="S"/>
    <x v="1"/>
    <x v="0"/>
    <x v="0"/>
    <x v="144"/>
  </r>
  <r>
    <n v="0"/>
    <s v="Simpar4147044027"/>
    <n v="34"/>
    <s v="JSL S.A"/>
    <s v="Simpar"/>
    <x v="0"/>
    <n v="0"/>
    <s v="JSML26    "/>
    <n v="8"/>
    <x v="15"/>
    <d v="2020-07-15T00:00:00"/>
    <x v="8"/>
    <n v="1"/>
    <x v="2"/>
    <x v="1"/>
    <n v="62472"/>
    <n v="1000"/>
    <s v=""/>
    <n v="62472000"/>
    <x v="291"/>
    <s v="DI"/>
    <n v="100"/>
    <n v="2.2000000000000002"/>
    <x v="196"/>
    <n v="252"/>
    <s v="Útil"/>
    <s v="N"/>
    <x v="1"/>
    <s v="N"/>
    <x v="0"/>
    <x v="0"/>
    <x v="0"/>
    <x v="13"/>
  </r>
  <r>
    <n v="0"/>
    <s v="Simpar4180544362"/>
    <n v="34"/>
    <s v="JSL S.A"/>
    <s v="Simpar"/>
    <x v="0"/>
    <n v="0"/>
    <s v="JSML28    "/>
    <n v="9"/>
    <x v="281"/>
    <d v="2021-06-15T00:00:00"/>
    <x v="8"/>
    <n v="1"/>
    <x v="2"/>
    <x v="1"/>
    <n v="71751"/>
    <n v="1000"/>
    <s v=""/>
    <n v="71751000"/>
    <x v="292"/>
    <s v="IPCA"/>
    <s v="-"/>
    <n v="8"/>
    <x v="328"/>
    <n v="252"/>
    <s v="Útil"/>
    <s v="N"/>
    <x v="1"/>
    <s v="N"/>
    <x v="0"/>
    <x v="0"/>
    <x v="0"/>
    <x v="140"/>
  </r>
  <r>
    <n v="0"/>
    <s v="Simpar4198844545"/>
    <n v="34"/>
    <s v="JSL S.A"/>
    <s v="Simpar"/>
    <x v="0"/>
    <n v="0"/>
    <s v="JSML29    "/>
    <n v="10"/>
    <x v="258"/>
    <d v="2021-12-15T00:00:00"/>
    <x v="8"/>
    <n v="1"/>
    <x v="2"/>
    <x v="1"/>
    <n v="15000"/>
    <n v="10000"/>
    <s v=""/>
    <n v="150000000"/>
    <x v="2"/>
    <s v="DI"/>
    <n v="118.5"/>
    <m/>
    <x v="329"/>
    <n v="252"/>
    <s v="Útil"/>
    <s v="N"/>
    <x v="1"/>
    <s v="S"/>
    <x v="1"/>
    <x v="0"/>
    <x v="0"/>
    <x v="144"/>
  </r>
  <r>
    <n v="0"/>
    <s v="Simpar4147044027"/>
    <n v="34"/>
    <s v="JSL S.A"/>
    <s v="Simpar"/>
    <x v="0"/>
    <n v="0"/>
    <s v="JSML36    "/>
    <n v="11"/>
    <x v="15"/>
    <d v="2020-07-15T00:00:00"/>
    <x v="8"/>
    <n v="1"/>
    <x v="2"/>
    <x v="1"/>
    <n v="185099"/>
    <n v="1000"/>
    <s v=""/>
    <n v="185099000"/>
    <x v="293"/>
    <s v="IPCA"/>
    <s v="-"/>
    <n v="7.5"/>
    <x v="330"/>
    <n v="252"/>
    <s v="Útil"/>
    <s v="N"/>
    <x v="1"/>
    <s v="N"/>
    <x v="0"/>
    <x v="0"/>
    <x v="0"/>
    <x v="13"/>
  </r>
  <r>
    <n v="0"/>
    <s v="Simpar4180544362"/>
    <n v="34"/>
    <s v="JSL S.A"/>
    <s v="Simpar"/>
    <x v="0"/>
    <n v="0"/>
    <s v="JSML38    "/>
    <n v="12"/>
    <x v="281"/>
    <d v="2021-06-15T00:00:00"/>
    <x v="8"/>
    <n v="1"/>
    <x v="2"/>
    <x v="1"/>
    <n v="163074"/>
    <n v="1000"/>
    <s v=""/>
    <n v="163074000"/>
    <x v="294"/>
    <s v="DI"/>
    <n v="118.5"/>
    <m/>
    <x v="331"/>
    <n v="252"/>
    <s v="Útil"/>
    <s v="N"/>
    <x v="1"/>
    <s v="N"/>
    <x v="0"/>
    <x v="0"/>
    <x v="0"/>
    <x v="140"/>
  </r>
  <r>
    <n v="0"/>
    <s v="Simpar4290647016"/>
    <n v="34"/>
    <s v="JSL S.A"/>
    <s v="Simpar"/>
    <x v="0"/>
    <n v="0"/>
    <s v="JSMLA1    "/>
    <n v="13"/>
    <x v="41"/>
    <d v="2028-09-20T00:00:00"/>
    <x v="124"/>
    <n v="1"/>
    <x v="3"/>
    <x v="0"/>
    <n v="400000"/>
    <n v="1000"/>
    <s v=""/>
    <n v="400000000"/>
    <x v="0"/>
    <s v="DI"/>
    <n v="100"/>
    <n v="2.7"/>
    <x v="235"/>
    <n v="252"/>
    <s v="Útil"/>
    <s v="N"/>
    <x v="1"/>
    <s v="S"/>
    <x v="1"/>
    <x v="0"/>
    <x v="0"/>
    <x v="37"/>
  </r>
  <r>
    <n v="0"/>
    <s v="Simpar4345447016"/>
    <n v="34"/>
    <s v="JSL S.A"/>
    <s v="Simpar"/>
    <x v="0"/>
    <n v="0"/>
    <s v="JSMLA2    "/>
    <n v="14"/>
    <x v="43"/>
    <d v="2028-09-20T00:00:00"/>
    <x v="125"/>
    <n v="1"/>
    <x v="3"/>
    <x v="0"/>
    <n v="60000"/>
    <n v="10000"/>
    <s v=""/>
    <n v="600000000"/>
    <x v="30"/>
    <s v="DI"/>
    <n v="100"/>
    <n v="2.7"/>
    <x v="235"/>
    <n v="252"/>
    <s v="Útil"/>
    <s v="N"/>
    <x v="1"/>
    <s v="S"/>
    <x v="1"/>
    <x v="0"/>
    <x v="0"/>
    <x v="39"/>
  </r>
  <r>
    <n v="0"/>
    <s v="Simpar4360545432"/>
    <n v="34"/>
    <s v="JSL S.A"/>
    <s v="Simpar"/>
    <x v="0"/>
    <n v="0"/>
    <s v="JSMLA3    "/>
    <n v="15"/>
    <x v="282"/>
    <d v="2024-05-20T00:00:00"/>
    <x v="5"/>
    <n v="1"/>
    <x v="2"/>
    <x v="1"/>
    <n v="344940"/>
    <n v="1000"/>
    <s v=""/>
    <n v="344940000"/>
    <x v="295"/>
    <s v="DI"/>
    <n v="100"/>
    <n v="1.9"/>
    <x v="7"/>
    <n v="252"/>
    <s v="Útil"/>
    <s v="N"/>
    <x v="1"/>
    <s v="S"/>
    <x v="1"/>
    <x v="0"/>
    <x v="0"/>
    <x v="120"/>
  </r>
  <r>
    <n v="0"/>
    <s v="Simpar4378945250"/>
    <n v="34"/>
    <s v="JSL S.A"/>
    <s v="Simpar"/>
    <x v="0"/>
    <n v="0"/>
    <s v="JSMLA4    "/>
    <n v="16"/>
    <x v="283"/>
    <d v="2023-11-20T00:00:00"/>
    <x v="46"/>
    <n v="0"/>
    <x v="2"/>
    <x v="1"/>
    <n v="200000"/>
    <n v="1000"/>
    <s v=""/>
    <n v="200000000"/>
    <x v="13"/>
    <s v="DI"/>
    <n v="115.2"/>
    <m/>
    <x v="332"/>
    <n v="252"/>
    <s v="Útil"/>
    <s v="N"/>
    <x v="1"/>
    <s v="S"/>
    <x v="1"/>
    <x v="0"/>
    <x v="0"/>
    <x v="76"/>
  </r>
  <r>
    <n v="0"/>
    <s v="Simpar4445447863"/>
    <n v="34"/>
    <s v="JSL S.A"/>
    <s v="Simpar"/>
    <x v="0"/>
    <n v="0"/>
    <s v="JSMLA5    "/>
    <n v="17"/>
    <x v="215"/>
    <d v="2031-01-15T00:00:00"/>
    <x v="126"/>
    <n v="1"/>
    <x v="2"/>
    <x v="1"/>
    <n v="1245000"/>
    <n v="1000"/>
    <s v=""/>
    <n v="1245000000"/>
    <x v="296"/>
    <s v="DI"/>
    <n v="100"/>
    <n v="3.5"/>
    <x v="58"/>
    <n v="252"/>
    <s v="Útil"/>
    <s v="N"/>
    <x v="1"/>
    <s v="S"/>
    <x v="1"/>
    <x v="11"/>
    <x v="0"/>
    <x v="95"/>
  </r>
  <r>
    <n v="0"/>
    <s v="Simpar4360546162"/>
    <n v="34"/>
    <s v="JSL S.A"/>
    <s v="Simpar"/>
    <x v="0"/>
    <n v="0"/>
    <s v="JSMLB3    "/>
    <n v="18"/>
    <x v="282"/>
    <d v="2026-05-20T00:00:00"/>
    <x v="8"/>
    <n v="1"/>
    <x v="2"/>
    <x v="1"/>
    <n v="105060"/>
    <n v="1000"/>
    <s v=""/>
    <n v="105060000"/>
    <x v="297"/>
    <s v="DI"/>
    <n v="100"/>
    <n v="2.2000000000000002"/>
    <x v="196"/>
    <n v="252"/>
    <s v="Útil"/>
    <s v="N"/>
    <x v="1"/>
    <s v="S"/>
    <x v="1"/>
    <x v="0"/>
    <x v="0"/>
    <x v="120"/>
  </r>
  <r>
    <n v="0"/>
    <s v="Simpar4445448106"/>
    <n v="34"/>
    <s v="JSL S.A"/>
    <s v="Simpar"/>
    <x v="0"/>
    <n v="0"/>
    <s v="JSMLB5    "/>
    <n v="19"/>
    <x v="215"/>
    <d v="2031-09-15T00:00:00"/>
    <x v="1"/>
    <n v="1"/>
    <x v="2"/>
    <x v="1"/>
    <n v="255000"/>
    <n v="1000"/>
    <s v=""/>
    <n v="255000000"/>
    <x v="298"/>
    <s v="IPCA"/>
    <s v="-"/>
    <n v="7.9676999999999998"/>
    <x v="333"/>
    <n v="252"/>
    <s v="Útil"/>
    <s v="N"/>
    <x v="1"/>
    <s v="S"/>
    <x v="1"/>
    <x v="11"/>
    <x v="0"/>
    <x v="95"/>
  </r>
  <r>
    <n v="133"/>
    <s v="Simpar4421626/01/2031"/>
    <n v="34"/>
    <s v="Simpar Europe SA"/>
    <s v="Simpar"/>
    <x v="1"/>
    <n v="1"/>
    <m/>
    <n v="20"/>
    <x v="284"/>
    <s v="26/01/2031"/>
    <x v="127"/>
    <n v="1"/>
    <x v="1"/>
    <x v="0"/>
    <m/>
    <m/>
    <n v="5.3026999999999997"/>
    <n v="625000000"/>
    <x v="299"/>
    <s v="USD"/>
    <s v="-"/>
    <n v="5.2"/>
    <x v="334"/>
    <n v="360"/>
    <s v="Corrido"/>
    <s v="N"/>
    <x v="1"/>
    <s v="S"/>
    <x v="1"/>
    <x v="11"/>
    <x v="0"/>
    <x v="154"/>
  </r>
  <r>
    <n v="134"/>
    <s v="Simpar4294226/07/2024"/>
    <n v="34"/>
    <s v="Simpar Europe SA"/>
    <s v="Simpar"/>
    <x v="1"/>
    <n v="1"/>
    <m/>
    <n v="21"/>
    <x v="285"/>
    <s v="26/07/2024"/>
    <x v="8"/>
    <n v="1"/>
    <x v="1"/>
    <x v="0"/>
    <m/>
    <m/>
    <n v="3.1650999999999998"/>
    <n v="325000000"/>
    <x v="300"/>
    <s v="USD"/>
    <s v="-"/>
    <n v="7.75"/>
    <x v="335"/>
    <n v="360"/>
    <s v="Corrido"/>
    <s v="N"/>
    <x v="1"/>
    <s v="S"/>
    <x v="1"/>
    <x v="0"/>
    <x v="0"/>
    <x v="135"/>
  </r>
  <r>
    <n v="135"/>
    <s v="Simpar4311626/07/2024"/>
    <n v="34"/>
    <s v="Simpar Europe SA"/>
    <s v="Simpar"/>
    <x v="1"/>
    <n v="1"/>
    <m/>
    <n v="22"/>
    <x v="286"/>
    <s v="26/07/2024"/>
    <x v="128"/>
    <n v="1"/>
    <x v="1"/>
    <x v="0"/>
    <m/>
    <m/>
    <n v="3.2212999999999998"/>
    <n v="325000000"/>
    <x v="301"/>
    <s v="USD"/>
    <s v="-"/>
    <n v="7.75"/>
    <x v="336"/>
    <n v="360"/>
    <s v="Corrido"/>
    <s v="N"/>
    <x v="1"/>
    <s v="S"/>
    <x v="1"/>
    <x v="0"/>
    <x v="0"/>
    <x v="91"/>
  </r>
  <r>
    <n v="0"/>
    <s v="Suzano4328046202"/>
    <n v="35"/>
    <s v="SUZANO S.A."/>
    <s v="Suzano"/>
    <x v="0"/>
    <n v="0"/>
    <s v="SUZB16    "/>
    <n v="1"/>
    <x v="287"/>
    <d v="2026-06-29T00:00:00"/>
    <x v="13"/>
    <n v="1"/>
    <x v="2"/>
    <x v="1"/>
    <n v="4681100"/>
    <n v="1000"/>
    <s v=""/>
    <n v="4681100000"/>
    <x v="302"/>
    <s v="DI"/>
    <n v="112.5"/>
    <m/>
    <x v="337"/>
    <n v="252"/>
    <s v="Útil"/>
    <s v="N"/>
    <x v="1"/>
    <s v="S"/>
    <x v="1"/>
    <x v="2"/>
    <x v="1"/>
    <x v="45"/>
  </r>
  <r>
    <n v="0"/>
    <s v="Suzano4347243832"/>
    <n v="35"/>
    <s v="SUZANO S.A."/>
    <s v="Suzano"/>
    <x v="0"/>
    <n v="0"/>
    <s v="SUZB17    "/>
    <n v="2"/>
    <x v="288"/>
    <d v="2020-01-02T00:00:00"/>
    <x v="2"/>
    <n v="0"/>
    <x v="2"/>
    <x v="1"/>
    <n v="400000"/>
    <n v="10000"/>
    <s v=""/>
    <n v="4000000000"/>
    <x v="303"/>
    <s v="DI"/>
    <n v="103"/>
    <m/>
    <x v="338"/>
    <n v="252"/>
    <s v="Útil"/>
    <s v="N"/>
    <x v="1"/>
    <s v="S"/>
    <x v="1"/>
    <x v="2"/>
    <x v="1"/>
    <x v="77"/>
  </r>
  <r>
    <n v="0"/>
    <s v="Suzano4372347011"/>
    <n v="35"/>
    <s v="SUZANO S.A."/>
    <s v="Suzano"/>
    <x v="0"/>
    <n v="0"/>
    <s v="SUZB18    "/>
    <n v="3"/>
    <x v="289"/>
    <d v="2028-09-15T00:00:00"/>
    <x v="118"/>
    <n v="1"/>
    <x v="2"/>
    <x v="1"/>
    <n v="75000"/>
    <n v="10000"/>
    <s v=""/>
    <n v="750000000"/>
    <x v="89"/>
    <s v="DI"/>
    <n v="100"/>
    <n v="1.2"/>
    <x v="131"/>
    <n v="252"/>
    <s v="Útil"/>
    <s v="N"/>
    <x v="1"/>
    <s v="S"/>
    <x v="1"/>
    <x v="2"/>
    <x v="1"/>
    <x v="13"/>
  </r>
  <r>
    <n v="136"/>
    <s v="Suzano4281016/03/2047"/>
    <n v="35"/>
    <s v="Suzano Austria GmbH"/>
    <s v="Suzano"/>
    <x v="1"/>
    <n v="1"/>
    <m/>
    <n v="4"/>
    <x v="290"/>
    <s v="16/03/2047"/>
    <x v="41"/>
    <n v="1"/>
    <x v="1"/>
    <x v="0"/>
    <m/>
    <m/>
    <n v="3.1074000000000002"/>
    <n v="300000000"/>
    <x v="304"/>
    <s v="USD"/>
    <s v="-"/>
    <n v="7"/>
    <x v="339"/>
    <n v="360"/>
    <s v="Corrido"/>
    <s v="N"/>
    <x v="1"/>
    <s v="S"/>
    <x v="1"/>
    <x v="6"/>
    <x v="0"/>
    <x v="128"/>
  </r>
  <r>
    <n v="137"/>
    <s v="Suzano4369115/01/2029"/>
    <n v="35"/>
    <s v="Suzano Austria GmbH"/>
    <s v="Suzano"/>
    <x v="1"/>
    <n v="1"/>
    <m/>
    <n v="5"/>
    <x v="291"/>
    <s v="15/01/2029"/>
    <x v="129"/>
    <n v="1"/>
    <x v="1"/>
    <x v="0"/>
    <m/>
    <m/>
    <n v="4.0068000000000001"/>
    <n v="750000000"/>
    <x v="305"/>
    <s v="USD"/>
    <s v="-"/>
    <n v="6"/>
    <x v="340"/>
    <n v="360"/>
    <s v="Corrido"/>
    <s v="N"/>
    <x v="1"/>
    <s v="S"/>
    <x v="1"/>
    <x v="2"/>
    <x v="1"/>
    <x v="60"/>
  </r>
  <r>
    <n v="138"/>
    <s v="Suzano4437815/01/2032"/>
    <n v="35"/>
    <s v="Suzano Austria GmbH"/>
    <s v="Suzano"/>
    <x v="1"/>
    <n v="1"/>
    <m/>
    <n v="6"/>
    <x v="50"/>
    <s v="15/01/2032"/>
    <x v="130"/>
    <n v="1"/>
    <x v="1"/>
    <x v="0"/>
    <m/>
    <m/>
    <n v="5.0049000000000001"/>
    <n v="1000000000"/>
    <x v="306"/>
    <s v="USD"/>
    <s v="-"/>
    <n v="3.125"/>
    <x v="341"/>
    <n v="360"/>
    <s v="Corrido"/>
    <s v="N"/>
    <x v="1"/>
    <s v="S"/>
    <x v="1"/>
    <x v="2"/>
    <x v="1"/>
    <x v="0"/>
  </r>
  <r>
    <n v="139"/>
    <s v="Suzano4408815/01/2031"/>
    <n v="35"/>
    <s v="Suzano Austria GmbH"/>
    <s v="Suzano"/>
    <x v="1"/>
    <n v="1"/>
    <m/>
    <n v="7"/>
    <x v="292"/>
    <s v="15/01/2031"/>
    <x v="40"/>
    <n v="1"/>
    <x v="1"/>
    <x v="0"/>
    <m/>
    <m/>
    <n v="5.2977999999999996"/>
    <n v="750000000"/>
    <x v="307"/>
    <s v="USD"/>
    <s v="-"/>
    <n v="3.75"/>
    <x v="342"/>
    <n v="360"/>
    <s v="Corrido"/>
    <s v="N"/>
    <x v="1"/>
    <s v="S"/>
    <x v="1"/>
    <x v="2"/>
    <x v="1"/>
    <x v="129"/>
  </r>
  <r>
    <n v="140"/>
    <s v="Suzano4445215/09/2028"/>
    <n v="35"/>
    <s v="Suzano Austria GmbH"/>
    <s v="Suzano"/>
    <x v="1"/>
    <n v="1"/>
    <m/>
    <n v="8"/>
    <x v="293"/>
    <s v="15/09/2028"/>
    <x v="131"/>
    <n v="1"/>
    <x v="1"/>
    <x v="0"/>
    <m/>
    <m/>
    <n v="5.2183999999999999"/>
    <n v="500000000"/>
    <x v="308"/>
    <s v="USD"/>
    <s v="-"/>
    <n v="2.5"/>
    <x v="343"/>
    <n v="360"/>
    <s v="Corrido"/>
    <s v="N"/>
    <x v="1"/>
    <s v="S"/>
    <x v="1"/>
    <x v="2"/>
    <x v="1"/>
    <x v="95"/>
  </r>
  <r>
    <n v="141"/>
    <s v="Suzano4256514/07/2026"/>
    <n v="35"/>
    <s v="Suzano Austria GmbH"/>
    <s v="Suzano"/>
    <x v="1"/>
    <n v="1"/>
    <m/>
    <n v="9"/>
    <x v="294"/>
    <s v="14/07/2026"/>
    <x v="1"/>
    <n v="1"/>
    <x v="1"/>
    <x v="0"/>
    <m/>
    <m/>
    <n v="3.2305000000000001"/>
    <n v="500000000"/>
    <x v="309"/>
    <s v="USD"/>
    <s v="-"/>
    <n v="5.75"/>
    <x v="344"/>
    <n v="360"/>
    <s v="Corrido"/>
    <s v="N"/>
    <x v="1"/>
    <s v="N"/>
    <x v="0"/>
    <x v="6"/>
    <x v="0"/>
    <x v="145"/>
  </r>
  <r>
    <n v="142"/>
    <s v="Suzano4336315/01/2029"/>
    <n v="35"/>
    <s v="Suzano Austria GmbH"/>
    <s v="Suzano"/>
    <x v="1"/>
    <n v="1"/>
    <m/>
    <n v="10"/>
    <x v="295"/>
    <s v="15/01/2029"/>
    <x v="123"/>
    <n v="1"/>
    <x v="1"/>
    <x v="0"/>
    <m/>
    <m/>
    <n v="4.0991"/>
    <n v="1000000000"/>
    <x v="310"/>
    <s v="USD"/>
    <s v="-"/>
    <n v="6"/>
    <x v="345"/>
    <n v="360"/>
    <s v="Corrido"/>
    <s v="N"/>
    <x v="1"/>
    <s v="S"/>
    <x v="1"/>
    <x v="2"/>
    <x v="1"/>
    <x v="155"/>
  </r>
  <r>
    <n v="143"/>
    <s v="Suzano4361415/01/2030"/>
    <n v="35"/>
    <s v="Suzano Austria GmbH"/>
    <s v="Suzano"/>
    <x v="1"/>
    <n v="1"/>
    <m/>
    <n v="11"/>
    <x v="296"/>
    <s v="15/01/2030"/>
    <x v="132"/>
    <n v="1"/>
    <x v="1"/>
    <x v="0"/>
    <m/>
    <m/>
    <n v="3.9958999999999998"/>
    <n v="1000000000"/>
    <x v="311"/>
    <s v="USD"/>
    <s v="-"/>
    <n v="5"/>
    <x v="346"/>
    <n v="360"/>
    <s v="Corrido"/>
    <s v="N"/>
    <x v="1"/>
    <s v="S"/>
    <x v="1"/>
    <x v="2"/>
    <x v="1"/>
    <x v="135"/>
  </r>
  <r>
    <n v="144"/>
    <s v="Suzano4361416/03/2047"/>
    <n v="35"/>
    <s v="Suzano Austria GmbH"/>
    <s v="Suzano"/>
    <x v="1"/>
    <n v="1"/>
    <m/>
    <n v="12"/>
    <x v="296"/>
    <s v="16/03/2047"/>
    <x v="133"/>
    <n v="1"/>
    <x v="1"/>
    <x v="0"/>
    <m/>
    <m/>
    <n v="3.9958999999999998"/>
    <n v="250000000"/>
    <x v="312"/>
    <s v="USD"/>
    <s v="-"/>
    <n v="7"/>
    <x v="347"/>
    <n v="360"/>
    <s v="Corrido"/>
    <s v="N"/>
    <x v="1"/>
    <s v="S"/>
    <x v="1"/>
    <x v="2"/>
    <x v="1"/>
    <x v="135"/>
  </r>
  <r>
    <n v="145"/>
    <s v="Suzano4299014/07/2026"/>
    <n v="35"/>
    <s v="Suzano Austria GmbH"/>
    <s v="Suzano"/>
    <x v="1"/>
    <n v="1"/>
    <m/>
    <n v="13"/>
    <x v="297"/>
    <s v="14/07/2026"/>
    <x v="134"/>
    <n v="1"/>
    <x v="1"/>
    <x v="0"/>
    <m/>
    <m/>
    <n v="3.1137999999999999"/>
    <n v="200000000"/>
    <x v="313"/>
    <s v="USD"/>
    <s v="-"/>
    <n v="5.75"/>
    <x v="348"/>
    <n v="360"/>
    <s v="Corrido"/>
    <s v="N"/>
    <x v="1"/>
    <s v="N"/>
    <x v="0"/>
    <x v="6"/>
    <x v="0"/>
    <x v="120"/>
  </r>
  <r>
    <n v="146"/>
    <s v="Suzano4341316/03/2047"/>
    <n v="35"/>
    <s v="Suzano Austria GmbH"/>
    <s v="Suzano"/>
    <x v="1"/>
    <n v="1"/>
    <m/>
    <n v="14"/>
    <x v="298"/>
    <s v="16/03/2047"/>
    <x v="135"/>
    <n v="1"/>
    <x v="1"/>
    <x v="0"/>
    <m/>
    <m/>
    <n v="3.75"/>
    <n v="500000000"/>
    <x v="314"/>
    <s v="USD"/>
    <s v="-"/>
    <n v="7"/>
    <x v="349"/>
    <n v="360"/>
    <s v="Corrido"/>
    <s v="N"/>
    <x v="1"/>
    <s v="S"/>
    <x v="1"/>
    <x v="2"/>
    <x v="1"/>
    <x v="17"/>
  </r>
  <r>
    <n v="147"/>
    <s v="Suzano4299016/03/2047"/>
    <n v="35"/>
    <s v="Suzano Austria GmbH"/>
    <s v="Suzano"/>
    <x v="1"/>
    <n v="1"/>
    <m/>
    <n v="15"/>
    <x v="297"/>
    <s v="16/03/2047"/>
    <x v="136"/>
    <n v="1"/>
    <x v="1"/>
    <x v="0"/>
    <m/>
    <m/>
    <n v="3.1137999999999999"/>
    <n v="200000000"/>
    <x v="313"/>
    <s v="USD"/>
    <s v="-"/>
    <n v="7"/>
    <x v="350"/>
    <n v="360"/>
    <s v="Corrido"/>
    <s v="N"/>
    <x v="1"/>
    <s v="N"/>
    <x v="0"/>
    <x v="6"/>
    <x v="0"/>
    <x v="120"/>
  </r>
  <r>
    <n v="148"/>
    <s v="Suzano4336315/01/2029"/>
    <n v="35"/>
    <s v="Suzano Austria GmbH"/>
    <s v="Suzano"/>
    <x v="1"/>
    <n v="1"/>
    <m/>
    <n v="16"/>
    <x v="295"/>
    <s v="15/01/2029"/>
    <x v="123"/>
    <n v="1"/>
    <x v="1"/>
    <x v="0"/>
    <m/>
    <m/>
    <n v="4.0991"/>
    <n v="1000000000"/>
    <x v="310"/>
    <s v="USD"/>
    <s v="-"/>
    <n v="6"/>
    <x v="345"/>
    <n v="360"/>
    <s v="Corrido"/>
    <s v="N"/>
    <x v="1"/>
    <s v="S"/>
    <x v="1"/>
    <x v="2"/>
    <x v="1"/>
    <x v="155"/>
  </r>
  <r>
    <n v="149"/>
    <s v="Suzano4350115/01/2029"/>
    <n v="35"/>
    <s v="Suzano Austria GmbH"/>
    <s v="Suzano"/>
    <x v="1"/>
    <n v="1"/>
    <m/>
    <n v="17"/>
    <x v="299"/>
    <s v="15/01/2029"/>
    <x v="43"/>
    <n v="1"/>
    <x v="1"/>
    <x v="0"/>
    <m/>
    <m/>
    <n v="3.6735000000000002"/>
    <n v="750000000"/>
    <x v="315"/>
    <s v="USD"/>
    <s v="-"/>
    <n v="6"/>
    <x v="351"/>
    <n v="360"/>
    <s v="Corrido"/>
    <s v="N"/>
    <x v="1"/>
    <s v="S"/>
    <x v="1"/>
    <x v="2"/>
    <x v="1"/>
    <x v="156"/>
  </r>
  <r>
    <n v="0"/>
    <s v="Ultrapar4098442079"/>
    <n v="36"/>
    <s v="ULTRAPAR PARTICIPACOES S/A"/>
    <s v="Ultrapar"/>
    <x v="0"/>
    <n v="0"/>
    <s v="UGPA14    "/>
    <n v="1"/>
    <x v="300"/>
    <d v="2015-03-16T00:00:00"/>
    <x v="6"/>
    <n v="0"/>
    <x v="2"/>
    <x v="1"/>
    <n v="800"/>
    <n v="1000000"/>
    <s v=""/>
    <n v="800000000"/>
    <x v="6"/>
    <s v="DI"/>
    <n v="108.25"/>
    <m/>
    <x v="352"/>
    <n v="252"/>
    <s v="Útil"/>
    <s v="N"/>
    <x v="1"/>
    <s v="S"/>
    <x v="1"/>
    <x v="2"/>
    <x v="1"/>
    <x v="157"/>
  </r>
  <r>
    <n v="0"/>
    <s v="Ultrapar4207943175"/>
    <n v="36"/>
    <s v="ULTRAPAR PARTICIPACOES S/A"/>
    <s v="Ultrapar"/>
    <x v="0"/>
    <n v="0"/>
    <s v="UGPA15    "/>
    <n v="2"/>
    <x v="217"/>
    <d v="2018-03-16T00:00:00"/>
    <x v="16"/>
    <n v="0"/>
    <x v="2"/>
    <x v="1"/>
    <n v="80000"/>
    <n v="10000"/>
    <s v=""/>
    <n v="800000000"/>
    <x v="6"/>
    <s v="DI"/>
    <n v="108.25"/>
    <m/>
    <x v="353"/>
    <n v="252"/>
    <s v="Útil"/>
    <s v="N"/>
    <x v="1"/>
    <s v="S"/>
    <x v="1"/>
    <x v="7"/>
    <x v="1"/>
    <x v="130"/>
  </r>
  <r>
    <n v="0"/>
    <s v="Ultrapar4316444990"/>
    <n v="36"/>
    <s v="ULTRAPAR PARTICIPACOES S/A"/>
    <s v="Ultrapar"/>
    <x v="0"/>
    <n v="0"/>
    <s v="UGPA16    "/>
    <n v="3"/>
    <x v="301"/>
    <d v="2023-03-05T00:00:00"/>
    <x v="4"/>
    <n v="1"/>
    <x v="2"/>
    <x v="1"/>
    <n v="1725000"/>
    <n v="1000"/>
    <s v=""/>
    <n v="1725000000"/>
    <x v="316"/>
    <s v="DI"/>
    <n v="105.25"/>
    <m/>
    <x v="354"/>
    <n v="252"/>
    <s v="Útil"/>
    <s v="N"/>
    <x v="1"/>
    <s v="S"/>
    <x v="1"/>
    <x v="6"/>
    <x v="0"/>
    <x v="109"/>
  </r>
  <r>
    <n v="150"/>
    <s v="Ultrapar4362206/06/2029"/>
    <n v="36"/>
    <s v="Ultrapar International SA"/>
    <s v="Ultrapar"/>
    <x v="1"/>
    <n v="1"/>
    <m/>
    <n v="4"/>
    <x v="302"/>
    <s v="06/06/2029"/>
    <x v="12"/>
    <n v="1"/>
    <x v="1"/>
    <x v="0"/>
    <m/>
    <m/>
    <n v="3.8719999999999999"/>
    <n v="500000000"/>
    <x v="317"/>
    <s v="USD"/>
    <s v="-"/>
    <n v="5.25"/>
    <x v="355"/>
    <n v="360"/>
    <s v="Corrido"/>
    <s v="N"/>
    <x v="1"/>
    <s v="N"/>
    <x v="0"/>
    <x v="6"/>
    <x v="0"/>
    <x v="1"/>
  </r>
  <r>
    <n v="151"/>
    <s v="Ultrapar4264906/10/2026"/>
    <n v="36"/>
    <s v="Ultrapar International SA"/>
    <s v="Ultrapar"/>
    <x v="1"/>
    <n v="1"/>
    <m/>
    <n v="5"/>
    <x v="303"/>
    <s v="06/10/2026"/>
    <x v="1"/>
    <n v="1"/>
    <x v="1"/>
    <x v="0"/>
    <m/>
    <m/>
    <n v="3.2303999999999999"/>
    <n v="750000000"/>
    <x v="318"/>
    <s v="USD"/>
    <s v="-"/>
    <n v="5.25"/>
    <x v="356"/>
    <n v="360"/>
    <s v="Corrido"/>
    <s v="N"/>
    <x v="1"/>
    <s v="N"/>
    <x v="0"/>
    <x v="6"/>
    <x v="0"/>
    <x v="56"/>
  </r>
  <r>
    <n v="152"/>
    <s v="Ultrapar4403206/06/2029"/>
    <n v="36"/>
    <s v="Ultrapar International SA"/>
    <s v="Ultrapar"/>
    <x v="1"/>
    <n v="1"/>
    <m/>
    <n v="6"/>
    <x v="304"/>
    <s v="06/06/2029"/>
    <x v="137"/>
    <n v="1"/>
    <x v="1"/>
    <x v="0"/>
    <m/>
    <m/>
    <n v="5.3628999999999998"/>
    <n v="350000000"/>
    <x v="319"/>
    <s v="USD"/>
    <s v="-"/>
    <n v="5.25"/>
    <x v="357"/>
    <n v="360"/>
    <s v="Corrido"/>
    <s v="N"/>
    <x v="1"/>
    <s v="N"/>
    <x v="0"/>
    <x v="6"/>
    <x v="0"/>
    <x v="158"/>
  </r>
  <r>
    <n v="0"/>
    <s v="Usiminas4130446006"/>
    <n v="37"/>
    <s v="USINAS SIDERURGICAS DE MG S/A - USIMINAS"/>
    <s v="Usiminas"/>
    <x v="0"/>
    <n v="0"/>
    <s v="USIM16    "/>
    <n v="1"/>
    <x v="305"/>
    <d v="2025-12-15T00:00:00"/>
    <x v="138"/>
    <n v="1"/>
    <x v="2"/>
    <x v="1"/>
    <n v="100000"/>
    <n v="10000"/>
    <s v=""/>
    <n v="1000000000"/>
    <x v="18"/>
    <s v="DI"/>
    <n v="100"/>
    <n v="3"/>
    <x v="2"/>
    <n v="252"/>
    <s v="Útil"/>
    <s v="N"/>
    <x v="1"/>
    <s v="S"/>
    <x v="1"/>
    <x v="6"/>
    <x v="0"/>
    <x v="159"/>
  </r>
  <r>
    <n v="0"/>
    <s v="Usiminas4373845199"/>
    <n v="37"/>
    <s v="USINAS SIDERURGICAS DE MG S/A - USIMINAS"/>
    <s v="Usiminas"/>
    <x v="0"/>
    <n v="0"/>
    <s v="USIM17    "/>
    <n v="2"/>
    <x v="306"/>
    <d v="2023-09-30T00:00:00"/>
    <x v="46"/>
    <n v="0"/>
    <x v="2"/>
    <x v="1"/>
    <n v="700000"/>
    <n v="1000"/>
    <s v=""/>
    <n v="700000000"/>
    <x v="12"/>
    <s v="DI"/>
    <n v="100"/>
    <n v="1.7"/>
    <x v="90"/>
    <n v="252"/>
    <s v="Útil"/>
    <s v="N"/>
    <x v="1"/>
    <s v="S"/>
    <x v="1"/>
    <x v="11"/>
    <x v="0"/>
    <x v="70"/>
  </r>
  <r>
    <n v="0"/>
    <s v="Usiminas4373845930"/>
    <n v="37"/>
    <s v="USINAS SIDERURGICAS DE MG S/A - USIMINAS"/>
    <s v="Usiminas"/>
    <x v="0"/>
    <n v="0"/>
    <s v="USIM27    "/>
    <n v="3"/>
    <x v="306"/>
    <d v="2025-09-30T00:00:00"/>
    <x v="11"/>
    <n v="1"/>
    <x v="2"/>
    <x v="1"/>
    <n v="1300000"/>
    <n v="1000"/>
    <s v=""/>
    <n v="1300000000"/>
    <x v="320"/>
    <s v="DI"/>
    <n v="100"/>
    <n v="2.1"/>
    <x v="304"/>
    <n v="252"/>
    <s v="Útil"/>
    <s v="N"/>
    <x v="1"/>
    <s v="S"/>
    <x v="1"/>
    <x v="11"/>
    <x v="0"/>
    <x v="70"/>
  </r>
  <r>
    <n v="153"/>
    <s v="Usiminas4366418/07/2026"/>
    <n v="37"/>
    <s v="Usiminas International Sarl"/>
    <s v="Usiminas"/>
    <x v="1"/>
    <n v="1"/>
    <m/>
    <n v="4"/>
    <x v="307"/>
    <s v="18/07/2026"/>
    <x v="8"/>
    <n v="1"/>
    <x v="1"/>
    <x v="0"/>
    <m/>
    <m/>
    <n v="3.7483"/>
    <n v="750000000"/>
    <x v="321"/>
    <s v="USD"/>
    <s v="-"/>
    <n v="5.875"/>
    <x v="358"/>
    <n v="360"/>
    <s v="Corrido"/>
    <s v="N"/>
    <x v="1"/>
    <s v="S"/>
    <x v="1"/>
    <x v="11"/>
    <x v="0"/>
    <x v="100"/>
  </r>
  <r>
    <n v="0"/>
    <s v="Vale4165444211"/>
    <n v="38"/>
    <s v="VALE S/A"/>
    <s v="Vale"/>
    <x v="0"/>
    <n v="0"/>
    <s v="VALE18    "/>
    <n v="1"/>
    <x v="308"/>
    <d v="2021-01-15T00:00:00"/>
    <x v="8"/>
    <n v="1"/>
    <x v="2"/>
    <x v="1"/>
    <n v="600000"/>
    <n v="1000"/>
    <s v=""/>
    <n v="600000000"/>
    <x v="30"/>
    <s v="IPCA"/>
    <s v="-"/>
    <n v="6.46"/>
    <x v="359"/>
    <n v="252"/>
    <s v="Útil"/>
    <s v="S"/>
    <x v="0"/>
    <s v="N"/>
    <x v="0"/>
    <x v="10"/>
    <x v="1"/>
    <x v="16"/>
  </r>
  <r>
    <n v="0"/>
    <s v="Vale4223144058"/>
    <n v="38"/>
    <s v="VALE S/A"/>
    <s v="Vale"/>
    <x v="0"/>
    <n v="0"/>
    <s v="VALE19    "/>
    <n v="2"/>
    <x v="309"/>
    <d v="2020-08-15T00:00:00"/>
    <x v="5"/>
    <n v="1"/>
    <x v="2"/>
    <x v="1"/>
    <n v="800000"/>
    <n v="1000"/>
    <s v=""/>
    <n v="800000000"/>
    <x v="6"/>
    <s v="IPCA"/>
    <s v="-"/>
    <n v="6.6231999999999998"/>
    <x v="360"/>
    <n v="252"/>
    <s v="Útil"/>
    <s v="S"/>
    <x v="0"/>
    <s v="N"/>
    <x v="0"/>
    <x v="10"/>
    <x v="1"/>
    <x v="160"/>
  </r>
  <r>
    <n v="0"/>
    <s v="Vale4165445306"/>
    <n v="38"/>
    <s v="VALE S/A"/>
    <s v="Vale"/>
    <x v="0"/>
    <n v="0"/>
    <s v="VALE28    "/>
    <n v="3"/>
    <x v="308"/>
    <d v="2024-01-15T00:00:00"/>
    <x v="1"/>
    <n v="1"/>
    <x v="2"/>
    <x v="1"/>
    <n v="150000"/>
    <n v="1000"/>
    <s v=""/>
    <n v="150000000"/>
    <x v="2"/>
    <s v="IPCA"/>
    <s v="-"/>
    <n v="6.57"/>
    <x v="361"/>
    <n v="252"/>
    <s v="Útil"/>
    <s v="S"/>
    <x v="0"/>
    <s v="N"/>
    <x v="0"/>
    <x v="10"/>
    <x v="1"/>
    <x v="16"/>
  </r>
  <r>
    <n v="0"/>
    <s v="Vale4223144788"/>
    <n v="38"/>
    <s v="VALE S/A"/>
    <s v="Vale"/>
    <x v="0"/>
    <n v="0"/>
    <s v="VALE29    "/>
    <n v="4"/>
    <x v="309"/>
    <d v="2022-08-15T00:00:00"/>
    <x v="8"/>
    <n v="1"/>
    <x v="2"/>
    <x v="1"/>
    <n v="550000"/>
    <n v="1000"/>
    <s v=""/>
    <n v="550000000"/>
    <x v="26"/>
    <s v="IPCA"/>
    <s v="-"/>
    <n v="6.6252000000000004"/>
    <x v="362"/>
    <n v="252"/>
    <s v="Útil"/>
    <s v="S"/>
    <x v="0"/>
    <s v="N"/>
    <x v="0"/>
    <x v="10"/>
    <x v="1"/>
    <x v="160"/>
  </r>
  <r>
    <n v="0"/>
    <s v="Vale4165446037"/>
    <n v="38"/>
    <s v="VALE S/A"/>
    <s v="Vale"/>
    <x v="0"/>
    <n v="0"/>
    <s v="VALE38    "/>
    <n v="5"/>
    <x v="308"/>
    <d v="2026-01-15T00:00:00"/>
    <x v="44"/>
    <n v="1"/>
    <x v="2"/>
    <x v="1"/>
    <n v="100000"/>
    <n v="1000"/>
    <s v=""/>
    <n v="100000000"/>
    <x v="33"/>
    <s v="IPCA"/>
    <s v="-"/>
    <n v="6.71"/>
    <x v="363"/>
    <n v="252"/>
    <s v="Útil"/>
    <s v="S"/>
    <x v="0"/>
    <s v="N"/>
    <x v="0"/>
    <x v="10"/>
    <x v="1"/>
    <x v="16"/>
  </r>
  <r>
    <n v="0"/>
    <s v="Vale4165447133"/>
    <n v="38"/>
    <s v="VALE S/A"/>
    <s v="Vale"/>
    <x v="0"/>
    <n v="0"/>
    <s v="VALE48    "/>
    <n v="6"/>
    <x v="308"/>
    <d v="2029-01-15T00:00:00"/>
    <x v="56"/>
    <n v="1"/>
    <x v="2"/>
    <x v="1"/>
    <n v="150000"/>
    <n v="1000"/>
    <s v=""/>
    <n v="150000000"/>
    <x v="2"/>
    <s v="IPCA"/>
    <s v="-"/>
    <n v="6.78"/>
    <x v="364"/>
    <n v="252"/>
    <s v="Útil"/>
    <s v="S"/>
    <x v="0"/>
    <s v="N"/>
    <x v="0"/>
    <x v="10"/>
    <x v="1"/>
    <x v="16"/>
  </r>
  <r>
    <n v="154"/>
    <s v="Vale4402008/07/2030"/>
    <n v="38"/>
    <s v="Vale Overseas Ltd"/>
    <s v="Vale"/>
    <x v="1"/>
    <n v="1"/>
    <m/>
    <n v="7"/>
    <x v="310"/>
    <s v="08/07/2030"/>
    <x v="1"/>
    <n v="1"/>
    <x v="1"/>
    <x v="0"/>
    <m/>
    <m/>
    <n v="5.3475999999999999"/>
    <n v="1500000000"/>
    <x v="322"/>
    <s v="USD"/>
    <s v="-"/>
    <n v="3.75"/>
    <x v="365"/>
    <n v="360"/>
    <s v="Corrido"/>
    <s v="N"/>
    <x v="1"/>
    <s v="S"/>
    <x v="1"/>
    <x v="7"/>
    <x v="1"/>
    <x v="148"/>
  </r>
  <r>
    <n v="155"/>
    <s v="Vale4259210/08/2026"/>
    <n v="38"/>
    <s v="Vale Overseas Ltd"/>
    <s v="Vale"/>
    <x v="1"/>
    <n v="1"/>
    <m/>
    <n v="8"/>
    <x v="311"/>
    <s v="10/08/2026"/>
    <x v="1"/>
    <n v="1"/>
    <x v="1"/>
    <x v="0"/>
    <m/>
    <m/>
    <n v="3.1295999999999999"/>
    <n v="1000000000"/>
    <x v="323"/>
    <s v="USD"/>
    <s v="-"/>
    <n v="6.25"/>
    <x v="366"/>
    <n v="360"/>
    <s v="Corrido"/>
    <s v="N"/>
    <x v="1"/>
    <s v="N"/>
    <x v="0"/>
    <x v="7"/>
    <x v="1"/>
    <x v="160"/>
  </r>
  <r>
    <n v="156"/>
    <s v="Vale4253110/06/2021"/>
    <n v="38"/>
    <s v="Vale Overseas Ltd"/>
    <s v="Vale"/>
    <x v="1"/>
    <n v="1"/>
    <m/>
    <n v="9"/>
    <x v="312"/>
    <s v="10/06/2021"/>
    <x v="4"/>
    <n v="1"/>
    <x v="1"/>
    <x v="0"/>
    <m/>
    <m/>
    <n v="3.4255"/>
    <n v="1250000000"/>
    <x v="324"/>
    <s v="USD"/>
    <s v="-"/>
    <n v="5.875"/>
    <x v="367"/>
    <n v="360"/>
    <s v="Corrido"/>
    <s v="N"/>
    <x v="1"/>
    <s v="N"/>
    <x v="0"/>
    <x v="7"/>
    <x v="1"/>
    <x v="161"/>
  </r>
  <r>
    <n v="157"/>
    <s v="Vale4091911/01/2022"/>
    <n v="38"/>
    <s v="Vale Overseas Ltd"/>
    <s v="Vale"/>
    <x v="1"/>
    <n v="1"/>
    <m/>
    <n v="10"/>
    <x v="313"/>
    <s v="11/01/2022"/>
    <x v="12"/>
    <n v="1"/>
    <x v="1"/>
    <x v="0"/>
    <m/>
    <m/>
    <n v="1.8041"/>
    <n v="2250000000"/>
    <x v="325"/>
    <s v="USD"/>
    <s v="-"/>
    <n v="4.375"/>
    <x v="368"/>
    <n v="360"/>
    <s v="Corrido"/>
    <s v="N"/>
    <x v="1"/>
    <s v="N"/>
    <x v="0"/>
    <x v="10"/>
    <x v="1"/>
    <x v="25"/>
  </r>
  <r>
    <n v="158"/>
    <s v="Vale4116311/09/2042"/>
    <n v="38"/>
    <s v="Vale SA"/>
    <s v="Vale"/>
    <x v="1"/>
    <n v="1"/>
    <m/>
    <n v="11"/>
    <x v="314"/>
    <s v="11/09/2042"/>
    <x v="41"/>
    <n v="1"/>
    <x v="5"/>
    <x v="1"/>
    <m/>
    <m/>
    <n v="2.0192000000000001"/>
    <n v="1500000000"/>
    <x v="326"/>
    <s v="USD"/>
    <s v="-"/>
    <n v="5.625"/>
    <x v="369"/>
    <n v="360"/>
    <s v="Corrido"/>
    <s v="N"/>
    <x v="1"/>
    <s v="N"/>
    <x v="0"/>
    <x v="10"/>
    <x v="1"/>
    <x v="46"/>
  </r>
  <r>
    <n v="0"/>
    <s v="Votorantim Cimentos4188343344"/>
    <n v="39"/>
    <s v="VOTORANTIM CIMENTOS S/A"/>
    <s v="Votorantim Cimentos"/>
    <x v="0"/>
    <n v="0"/>
    <s v="VEBM17    "/>
    <n v="1"/>
    <x v="315"/>
    <d v="2018-09-01T00:00:00"/>
    <x v="46"/>
    <n v="0"/>
    <x v="2"/>
    <x v="1"/>
    <n v="15000"/>
    <n v="10000"/>
    <s v=""/>
    <n v="150000000"/>
    <x v="2"/>
    <s v="DI"/>
    <n v="108.8"/>
    <m/>
    <x v="370"/>
    <n v="252"/>
    <s v="Útil"/>
    <s v="N"/>
    <x v="1"/>
    <s v="S"/>
    <x v="1"/>
    <x v="7"/>
    <x v="1"/>
    <x v="47"/>
  </r>
  <r>
    <n v="0"/>
    <s v="Votorantim Cimentos4231345721"/>
    <n v="39"/>
    <s v="VOTORANTIM CIMENTOS S/A"/>
    <s v="Votorantim Cimentos"/>
    <x v="0"/>
    <n v="0"/>
    <s v="VEBM18    "/>
    <n v="2"/>
    <x v="316"/>
    <d v="2025-03-05T00:00:00"/>
    <x v="139"/>
    <n v="1"/>
    <x v="2"/>
    <x v="1"/>
    <n v="75000"/>
    <n v="10000"/>
    <s v=""/>
    <n v="750000000"/>
    <x v="89"/>
    <s v="DI"/>
    <n v="112"/>
    <m/>
    <x v="371"/>
    <n v="252"/>
    <s v="Útil"/>
    <s v="N"/>
    <x v="1"/>
    <s v="S"/>
    <x v="1"/>
    <x v="7"/>
    <x v="1"/>
    <x v="142"/>
  </r>
  <r>
    <n v="0"/>
    <s v="Votorantim Cimentos4274544571"/>
    <n v="39"/>
    <s v="VOTORANTIM CIMENTOS S/A"/>
    <s v="Votorantim Cimentos"/>
    <x v="0"/>
    <n v="0"/>
    <s v="VEBM19    "/>
    <n v="3"/>
    <x v="317"/>
    <d v="2022-01-10T00:00:00"/>
    <x v="4"/>
    <n v="1"/>
    <x v="2"/>
    <x v="1"/>
    <n v="500000000"/>
    <n v="1"/>
    <s v=""/>
    <n v="500000000"/>
    <x v="10"/>
    <s v="DI"/>
    <n v="119.9"/>
    <m/>
    <x v="372"/>
    <n v="252"/>
    <s v="Útil"/>
    <s v="N"/>
    <x v="1"/>
    <s v="S"/>
    <x v="1"/>
    <x v="2"/>
    <x v="1"/>
    <x v="162"/>
  </r>
  <r>
    <n v="0"/>
    <s v="Votorantim Cimentos4188343709"/>
    <n v="39"/>
    <s v="VOTORANTIM CIMENTOS S/A"/>
    <s v="Votorantim Cimentos"/>
    <x v="0"/>
    <n v="0"/>
    <s v="VEBM27    "/>
    <n v="4"/>
    <x v="315"/>
    <d v="2019-09-01T00:00:00"/>
    <x v="4"/>
    <n v="1"/>
    <x v="2"/>
    <x v="1"/>
    <n v="30000"/>
    <n v="10000"/>
    <s v=""/>
    <n v="300000000"/>
    <x v="5"/>
    <s v="DI"/>
    <n v="107.91"/>
    <m/>
    <x v="373"/>
    <n v="252"/>
    <s v="Útil"/>
    <s v="N"/>
    <x v="1"/>
    <s v="S"/>
    <x v="1"/>
    <x v="7"/>
    <x v="1"/>
    <x v="47"/>
  </r>
  <r>
    <n v="0"/>
    <s v="Votorantim Cimentos4188343709"/>
    <n v="39"/>
    <s v="VOTORANTIM CIMENTOS S/A"/>
    <s v="Votorantim Cimentos"/>
    <x v="0"/>
    <n v="0"/>
    <s v="VEBM37    "/>
    <n v="5"/>
    <x v="315"/>
    <d v="2019-09-01T00:00:00"/>
    <x v="4"/>
    <n v="1"/>
    <x v="2"/>
    <x v="1"/>
    <n v="15000"/>
    <n v="10000"/>
    <s v=""/>
    <n v="150000000"/>
    <x v="2"/>
    <s v="DI"/>
    <n v="109.4"/>
    <m/>
    <x v="373"/>
    <n v="252"/>
    <s v="Útil"/>
    <s v="N"/>
    <x v="1"/>
    <s v="S"/>
    <x v="1"/>
    <x v="7"/>
    <x v="1"/>
    <x v="47"/>
  </r>
  <r>
    <n v="0"/>
    <s v="Votorantim Cimentos4424746073"/>
    <n v="39"/>
    <s v="VOTORANTIM CIMENTOS S/A"/>
    <s v="Votorantim Cimentos"/>
    <x v="0"/>
    <n v="0"/>
    <s v="VEBMA2    "/>
    <n v="6"/>
    <x v="318"/>
    <d v="2026-02-20T00:00:00"/>
    <x v="4"/>
    <n v="1"/>
    <x v="2"/>
    <x v="1"/>
    <n v="450000"/>
    <n v="1000"/>
    <s v=""/>
    <n v="450000000"/>
    <x v="37"/>
    <s v="DI"/>
    <n v="100"/>
    <n v="1.45"/>
    <x v="72"/>
    <n v="252"/>
    <s v="Útil"/>
    <s v="N"/>
    <x v="1"/>
    <s v="S"/>
    <x v="1"/>
    <x v="2"/>
    <x v="1"/>
    <x v="7"/>
  </r>
  <r>
    <n v="0"/>
    <s v="Votorantim Cimentos4447447031"/>
    <n v="39"/>
    <s v="VOTORANTIM CIMENTOS S/A"/>
    <s v="Votorantim Cimentos"/>
    <x v="0"/>
    <n v="0"/>
    <s v="VEBMA3    "/>
    <n v="7"/>
    <x v="319"/>
    <d v="2028-10-05T00:00:00"/>
    <x v="8"/>
    <n v="1"/>
    <x v="2"/>
    <x v="1"/>
    <n v="500000"/>
    <n v="1000"/>
    <s v=""/>
    <n v="500000000"/>
    <x v="10"/>
    <s v="DI"/>
    <n v="100"/>
    <n v="1.55"/>
    <x v="99"/>
    <n v="252"/>
    <s v="Útil"/>
    <s v="N"/>
    <x v="1"/>
    <s v="S"/>
    <x v="1"/>
    <x v="2"/>
    <x v="1"/>
    <x v="45"/>
  </r>
  <r>
    <n v="0"/>
    <s v="Votorantim Cimentos4058844241"/>
    <n v="39"/>
    <s v="VOTORANTIM CIMENTOS S/A"/>
    <s v="Votorantim Cimentos"/>
    <x v="0"/>
    <n v="0"/>
    <s v="VTCM13    "/>
    <n v="8"/>
    <x v="320"/>
    <d v="2021-02-14T00:00:00"/>
    <x v="12"/>
    <n v="1"/>
    <x v="2"/>
    <x v="1"/>
    <n v="60"/>
    <n v="10000000"/>
    <s v=""/>
    <n v="600000000"/>
    <x v="30"/>
    <s v="DI"/>
    <n v="113.9"/>
    <m/>
    <x v="374"/>
    <n v="252"/>
    <s v="Útil"/>
    <s v="N"/>
    <x v="1"/>
    <s v="S"/>
    <x v="1"/>
    <x v="2"/>
    <x v="1"/>
    <x v="97"/>
  </r>
  <r>
    <n v="0"/>
    <s v="Votorantim Cimentos4092843251"/>
    <n v="39"/>
    <s v="VOTORANTIM CIMENTOS S/A"/>
    <s v="Votorantim Cimentos"/>
    <x v="0"/>
    <n v="0"/>
    <s v="VTCM14    "/>
    <n v="9"/>
    <x v="321"/>
    <d v="2018-05-31T00:00:00"/>
    <x v="140"/>
    <n v="1"/>
    <x v="2"/>
    <x v="1"/>
    <n v="500"/>
    <n v="1000000"/>
    <s v=""/>
    <n v="500000000"/>
    <x v="10"/>
    <s v="DI"/>
    <n v="100"/>
    <n v="1.0900000000000001"/>
    <x v="375"/>
    <n v="252"/>
    <s v="Útil"/>
    <s v="N"/>
    <x v="1"/>
    <s v="S"/>
    <x v="1"/>
    <x v="7"/>
    <x v="1"/>
    <x v="57"/>
  </r>
  <r>
    <n v="0"/>
    <s v="Votorantim Cimentos4124845356"/>
    <n v="39"/>
    <s v="VOTORANTIM CIMENTOS S/A"/>
    <s v="Votorantim Cimentos"/>
    <x v="0"/>
    <n v="0"/>
    <s v="VTCM15    "/>
    <n v="10"/>
    <x v="322"/>
    <d v="2024-03-05T00:00:00"/>
    <x v="141"/>
    <n v="1"/>
    <x v="2"/>
    <x v="1"/>
    <n v="120000"/>
    <n v="10000"/>
    <s v=""/>
    <n v="1200000000"/>
    <x v="110"/>
    <s v="DI"/>
    <n v="118.9"/>
    <s v=""/>
    <x v="376"/>
    <n v="252"/>
    <s v="Útil"/>
    <s v="N"/>
    <x v="1"/>
    <s v="S"/>
    <x v="1"/>
    <x v="7"/>
    <x v="1"/>
    <x v="141"/>
  </r>
  <r>
    <n v="0"/>
    <s v="Votorantim Cimentos4161345721"/>
    <n v="39"/>
    <s v="VOTORANTIM CIMENTOS S/A"/>
    <s v="Votorantim Cimentos"/>
    <x v="0"/>
    <n v="0"/>
    <s v="VTCM16    "/>
    <n v="11"/>
    <x v="323"/>
    <d v="2025-03-05T00:00:00"/>
    <x v="141"/>
    <n v="1"/>
    <x v="2"/>
    <x v="1"/>
    <n v="50000"/>
    <n v="10000"/>
    <s v=""/>
    <n v="500000000"/>
    <x v="10"/>
    <s v="DI"/>
    <n v="112"/>
    <m/>
    <x v="377"/>
    <n v="252"/>
    <s v="Útil"/>
    <s v="N"/>
    <x v="1"/>
    <s v="S"/>
    <x v="1"/>
    <x v="7"/>
    <x v="1"/>
    <x v="1"/>
  </r>
  <r>
    <n v="0"/>
    <s v="Votorantim Cimentos4092843251"/>
    <n v="39"/>
    <s v="VOTORANTIM CIMENTOS S/A"/>
    <s v="Votorantim Cimentos"/>
    <x v="0"/>
    <n v="0"/>
    <s v="VTCM24    "/>
    <n v="12"/>
    <x v="321"/>
    <d v="2018-05-31T00:00:00"/>
    <x v="140"/>
    <n v="1"/>
    <x v="2"/>
    <x v="1"/>
    <n v="500"/>
    <n v="1000000"/>
    <s v=""/>
    <n v="500000000"/>
    <x v="10"/>
    <s v="DI"/>
    <n v="111"/>
    <m/>
    <x v="378"/>
    <n v="252"/>
    <s v="Útil"/>
    <s v="N"/>
    <x v="1"/>
    <s v="S"/>
    <x v="1"/>
    <x v="7"/>
    <x v="1"/>
    <x v="57"/>
  </r>
  <r>
    <n v="0"/>
    <s v="Votorantim Cimentos4172342819"/>
    <n v="39"/>
    <s v="VOTORANTIM SIDERURGIA S.A."/>
    <s v="Votorantim Cimentos"/>
    <x v="0"/>
    <n v="0"/>
    <s v="SDBM11    "/>
    <n v="13"/>
    <x v="324"/>
    <d v="2017-03-25T00:00:00"/>
    <x v="16"/>
    <n v="0"/>
    <x v="2"/>
    <x v="1"/>
    <n v="45000"/>
    <n v="10000"/>
    <s v=""/>
    <n v="450000000"/>
    <x v="37"/>
    <s v="DI"/>
    <n v="107"/>
    <m/>
    <x v="379"/>
    <n v="252"/>
    <s v="Útil"/>
    <s v="N"/>
    <x v="1"/>
    <s v="S"/>
    <x v="1"/>
    <x v="7"/>
    <x v="1"/>
    <x v="163"/>
  </r>
  <r>
    <n v="159"/>
    <s v="Votorantim Cimentos4063805/04/2041"/>
    <n v="39"/>
    <s v="Votorantim Cimentos International SA"/>
    <s v="Votorantim Cimentos"/>
    <x v="1"/>
    <n v="1"/>
    <m/>
    <n v="14"/>
    <x v="325"/>
    <s v="05/04/2041"/>
    <x v="33"/>
    <n v="1"/>
    <x v="1"/>
    <x v="0"/>
    <m/>
    <m/>
    <n v="1.6079000000000001"/>
    <n v="750000000"/>
    <x v="327"/>
    <s v="USD"/>
    <s v="-"/>
    <n v="7.25"/>
    <x v="380"/>
    <n v="360"/>
    <s v="Corrido"/>
    <s v="N"/>
    <x v="1"/>
    <s v="N"/>
    <x v="0"/>
    <x v="2"/>
    <x v="1"/>
    <x v="118"/>
  </r>
  <r>
    <n v="160"/>
    <s v="Votorantim Cimentos4094805/04/2041"/>
    <n v="39"/>
    <s v="Votorantim Cimentos SA"/>
    <s v="Votorantim Cimentos"/>
    <x v="1"/>
    <n v="1"/>
    <m/>
    <n v="15"/>
    <x v="326"/>
    <s v="05/04/2041"/>
    <x v="142"/>
    <n v="1"/>
    <x v="1"/>
    <x v="0"/>
    <m/>
    <m/>
    <n v="1.7219"/>
    <n v="500000000"/>
    <x v="328"/>
    <s v="USD"/>
    <s v="-"/>
    <n v="7.25"/>
    <x v="381"/>
    <n v="360"/>
    <s v="Corrido"/>
    <s v="N"/>
    <x v="1"/>
    <s v="S"/>
    <x v="1"/>
    <x v="7"/>
    <x v="1"/>
    <x v="16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8CDB5A-5D6C-41F2-97F2-F6F36EAB5856}" name="Tabela dinâmica1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O10:Q195" firstHeaderRow="0" firstDataRow="1" firstDataCol="1" rowPageCount="1" colPageCount="1"/>
  <pivotFields count="35"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4" showAll="0"/>
    <pivotField numFmtId="3" showAll="0"/>
    <pivotField showAll="0"/>
    <pivotField showAll="0"/>
    <pivotField showAll="0"/>
    <pivotField showAll="0"/>
    <pivotField showAll="0"/>
    <pivotField numFmtId="3" showAll="0"/>
    <pivotField numFmtId="4" showAll="0"/>
    <pivotField showAll="0"/>
    <pivotField showAll="0"/>
    <pivotField showAll="0"/>
    <pivotField dataField="1" numFmtId="10" showAll="0">
      <items count="383">
        <item x="254"/>
        <item x="262"/>
        <item x="259"/>
        <item x="287"/>
        <item x="174"/>
        <item x="258"/>
        <item x="284"/>
        <item x="73"/>
        <item x="359"/>
        <item x="361"/>
        <item x="77"/>
        <item x="260"/>
        <item x="263"/>
        <item x="69"/>
        <item x="315"/>
        <item x="368"/>
        <item x="363"/>
        <item x="261"/>
        <item x="338"/>
        <item x="364"/>
        <item x="102"/>
        <item x="301"/>
        <item x="100"/>
        <item x="320"/>
        <item x="76"/>
        <item x="286"/>
        <item x="203"/>
        <item x="298"/>
        <item x="136"/>
        <item x="87"/>
        <item x="318"/>
        <item x="106"/>
        <item x="86"/>
        <item x="141"/>
        <item x="66"/>
        <item x="354"/>
        <item x="35"/>
        <item x="257"/>
        <item x="265"/>
        <item x="140"/>
        <item x="138"/>
        <item x="306"/>
        <item x="280"/>
        <item x="142"/>
        <item x="63"/>
        <item x="344"/>
        <item x="264"/>
        <item x="316"/>
        <item x="321"/>
        <item x="81"/>
        <item x="128"/>
        <item x="300"/>
        <item x="242"/>
        <item x="101"/>
        <item x="51"/>
        <item x="319"/>
        <item x="360"/>
        <item x="32"/>
        <item x="362"/>
        <item x="343"/>
        <item x="308"/>
        <item x="181"/>
        <item x="70"/>
        <item x="82"/>
        <item x="356"/>
        <item x="199"/>
        <item x="240"/>
        <item x="89"/>
        <item x="352"/>
        <item x="281"/>
        <item x="373"/>
        <item x="285"/>
        <item x="379"/>
        <item x="243"/>
        <item x="93"/>
        <item x="297"/>
        <item x="88"/>
        <item x="303"/>
        <item x="296"/>
        <item x="244"/>
        <item x="252"/>
        <item x="143"/>
        <item x="332"/>
        <item x="175"/>
        <item x="241"/>
        <item x="95"/>
        <item x="135"/>
        <item x="370"/>
        <item x="36"/>
        <item x="247"/>
        <item x="130"/>
        <item x="129"/>
        <item x="29"/>
        <item x="293"/>
        <item x="116"/>
        <item x="305"/>
        <item x="15"/>
        <item x="117"/>
        <item x="246"/>
        <item x="83"/>
        <item x="375"/>
        <item x="164"/>
        <item x="245"/>
        <item x="353"/>
        <item x="187"/>
        <item x="202"/>
        <item x="169"/>
        <item x="182"/>
        <item x="188"/>
        <item x="21"/>
        <item x="8"/>
        <item x="0"/>
        <item x="131"/>
        <item x="248"/>
        <item x="132"/>
        <item x="148"/>
        <item x="366"/>
        <item x="378"/>
        <item x="253"/>
        <item x="147"/>
        <item x="341"/>
        <item x="167"/>
        <item x="160"/>
        <item x="166"/>
        <item x="159"/>
        <item x="288"/>
        <item x="52"/>
        <item x="312"/>
        <item x="16"/>
        <item x="249"/>
        <item x="177"/>
        <item x="291"/>
        <item x="165"/>
        <item x="345"/>
        <item x="14"/>
        <item x="134"/>
        <item x="198"/>
        <item x="113"/>
        <item x="18"/>
        <item x="19"/>
        <item x="310"/>
        <item x="62"/>
        <item x="4"/>
        <item x="103"/>
        <item x="12"/>
        <item x="168"/>
        <item x="163"/>
        <item x="172"/>
        <item x="146"/>
        <item x="144"/>
        <item x="94"/>
        <item x="72"/>
        <item x="23"/>
        <item x="337"/>
        <item x="114"/>
        <item x="47"/>
        <item x="22"/>
        <item x="24"/>
        <item x="65"/>
        <item x="191"/>
        <item x="20"/>
        <item x="99"/>
        <item x="61"/>
        <item x="377"/>
        <item x="237"/>
        <item x="279"/>
        <item x="91"/>
        <item x="56"/>
        <item x="180"/>
        <item x="170"/>
        <item x="173"/>
        <item x="271"/>
        <item x="348"/>
        <item x="107"/>
        <item x="64"/>
        <item x="90"/>
        <item x="292"/>
        <item x="346"/>
        <item x="26"/>
        <item x="85"/>
        <item x="309"/>
        <item x="311"/>
        <item x="374"/>
        <item x="376"/>
        <item x="220"/>
        <item x="5"/>
        <item x="272"/>
        <item x="365"/>
        <item x="251"/>
        <item x="1"/>
        <item x="255"/>
        <item x="367"/>
        <item x="112"/>
        <item x="57"/>
        <item x="201"/>
        <item x="109"/>
        <item x="137"/>
        <item x="223"/>
        <item x="371"/>
        <item x="326"/>
        <item x="80"/>
        <item x="7"/>
        <item x="290"/>
        <item x="219"/>
        <item x="313"/>
        <item x="227"/>
        <item x="78"/>
        <item x="55"/>
        <item x="10"/>
        <item x="342"/>
        <item x="13"/>
        <item x="328"/>
        <item x="108"/>
        <item x="327"/>
        <item x="133"/>
        <item x="179"/>
        <item x="325"/>
        <item x="229"/>
        <item x="9"/>
        <item x="355"/>
        <item x="304"/>
        <item x="74"/>
        <item x="17"/>
        <item x="323"/>
        <item x="299"/>
        <item x="218"/>
        <item x="6"/>
        <item x="104"/>
        <item x="282"/>
        <item x="250"/>
        <item x="324"/>
        <item x="196"/>
        <item x="331"/>
        <item x="295"/>
        <item x="351"/>
        <item x="105"/>
        <item x="372"/>
        <item x="111"/>
        <item x="330"/>
        <item x="3"/>
        <item x="329"/>
        <item x="162"/>
        <item x="41"/>
        <item x="200"/>
        <item x="278"/>
        <item x="269"/>
        <item x="124"/>
        <item x="307"/>
        <item x="45"/>
        <item x="208"/>
        <item x="42"/>
        <item x="233"/>
        <item x="192"/>
        <item x="221"/>
        <item x="314"/>
        <item x="276"/>
        <item x="30"/>
        <item x="369"/>
        <item x="189"/>
        <item x="120"/>
        <item x="210"/>
        <item x="71"/>
        <item x="110"/>
        <item x="96"/>
        <item x="235"/>
        <item x="230"/>
        <item x="115"/>
        <item x="27"/>
        <item x="184"/>
        <item x="190"/>
        <item x="46"/>
        <item x="317"/>
        <item x="194"/>
        <item x="31"/>
        <item x="236"/>
        <item x="273"/>
        <item x="40"/>
        <item x="207"/>
        <item x="2"/>
        <item x="205"/>
        <item x="28"/>
        <item x="37"/>
        <item x="204"/>
        <item x="380"/>
        <item x="11"/>
        <item x="176"/>
        <item x="339"/>
        <item x="152"/>
        <item x="44"/>
        <item x="59"/>
        <item x="161"/>
        <item x="234"/>
        <item x="358"/>
        <item x="266"/>
        <item x="211"/>
        <item x="239"/>
        <item x="277"/>
        <item x="209"/>
        <item x="231"/>
        <item x="43"/>
        <item x="216"/>
        <item x="153"/>
        <item x="149"/>
        <item x="67"/>
        <item x="333"/>
        <item x="274"/>
        <item x="238"/>
        <item x="350"/>
        <item x="206"/>
        <item x="322"/>
        <item x="58"/>
        <item x="335"/>
        <item x="357"/>
        <item x="267"/>
        <item x="145"/>
        <item x="126"/>
        <item x="349"/>
        <item x="289"/>
        <item x="302"/>
        <item x="340"/>
        <item x="268"/>
        <item x="197"/>
        <item x="334"/>
        <item x="228"/>
        <item x="212"/>
        <item x="225"/>
        <item x="25"/>
        <item x="171"/>
        <item x="232"/>
        <item x="381"/>
        <item x="122"/>
        <item x="54"/>
        <item x="213"/>
        <item x="270"/>
        <item x="193"/>
        <item x="125"/>
        <item x="121"/>
        <item x="127"/>
        <item x="79"/>
        <item x="185"/>
        <item x="60"/>
        <item x="75"/>
        <item x="178"/>
        <item x="38"/>
        <item x="53"/>
        <item x="186"/>
        <item x="217"/>
        <item x="222"/>
        <item x="118"/>
        <item x="283"/>
        <item x="195"/>
        <item x="347"/>
        <item x="336"/>
        <item x="151"/>
        <item x="98"/>
        <item x="183"/>
        <item x="275"/>
        <item x="92"/>
        <item x="84"/>
        <item x="50"/>
        <item x="157"/>
        <item x="34"/>
        <item x="119"/>
        <item x="48"/>
        <item x="123"/>
        <item x="150"/>
        <item x="294"/>
        <item x="256"/>
        <item x="33"/>
        <item x="97"/>
        <item x="49"/>
        <item x="155"/>
        <item x="156"/>
        <item x="139"/>
        <item x="39"/>
        <item x="154"/>
        <item x="214"/>
        <item x="158"/>
        <item x="68"/>
        <item x="215"/>
        <item x="224"/>
        <item x="226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6">
        <item x="9"/>
        <item x="3"/>
        <item x="8"/>
        <item x="0"/>
        <item x="11"/>
        <item x="6"/>
        <item x="7"/>
        <item x="2"/>
        <item x="10"/>
        <item x="13"/>
        <item x="12"/>
        <item x="4"/>
        <item x="5"/>
        <item x="14"/>
        <item x="1"/>
        <item t="default"/>
      </items>
    </pivotField>
    <pivotField showAll="0">
      <items count="3">
        <item x="0"/>
        <item x="1"/>
        <item t="default"/>
      </items>
    </pivotField>
    <pivotField axis="axisRow" dataField="1" showAll="0">
      <items count="166">
        <item x="12"/>
        <item x="119"/>
        <item x="159"/>
        <item x="27"/>
        <item x="141"/>
        <item x="2"/>
        <item x="58"/>
        <item x="72"/>
        <item x="46"/>
        <item x="31"/>
        <item x="71"/>
        <item x="114"/>
        <item x="118"/>
        <item x="23"/>
        <item x="92"/>
        <item x="157"/>
        <item x="150"/>
        <item x="30"/>
        <item x="50"/>
        <item x="96"/>
        <item x="85"/>
        <item x="54"/>
        <item x="99"/>
        <item x="97"/>
        <item x="49"/>
        <item x="134"/>
        <item x="32"/>
        <item x="164"/>
        <item x="81"/>
        <item x="123"/>
        <item x="14"/>
        <item x="47"/>
        <item x="68"/>
        <item x="140"/>
        <item x="139"/>
        <item x="147"/>
        <item x="34"/>
        <item x="57"/>
        <item x="5"/>
        <item x="53"/>
        <item x="113"/>
        <item x="11"/>
        <item x="3"/>
        <item x="93"/>
        <item x="55"/>
        <item x="100"/>
        <item x="106"/>
        <item x="13"/>
        <item x="138"/>
        <item x="91"/>
        <item x="75"/>
        <item x="149"/>
        <item x="62"/>
        <item x="163"/>
        <item x="26"/>
        <item x="156"/>
        <item x="25"/>
        <item x="84"/>
        <item x="73"/>
        <item x="66"/>
        <item x="109"/>
        <item x="28"/>
        <item x="88"/>
        <item x="102"/>
        <item x="151"/>
        <item x="41"/>
        <item x="16"/>
        <item x="60"/>
        <item x="33"/>
        <item x="70"/>
        <item x="9"/>
        <item x="76"/>
        <item x="83"/>
        <item x="136"/>
        <item x="52"/>
        <item x="17"/>
        <item x="1"/>
        <item x="77"/>
        <item x="131"/>
        <item x="89"/>
        <item x="120"/>
        <item x="101"/>
        <item x="65"/>
        <item x="24"/>
        <item x="40"/>
        <item x="61"/>
        <item x="39"/>
        <item x="135"/>
        <item x="15"/>
        <item x="82"/>
        <item x="21"/>
        <item x="103"/>
        <item x="128"/>
        <item x="105"/>
        <item x="0"/>
        <item x="133"/>
        <item x="48"/>
        <item x="63"/>
        <item x="116"/>
        <item x="154"/>
        <item x="122"/>
        <item x="44"/>
        <item x="132"/>
        <item x="115"/>
        <item x="121"/>
        <item x="80"/>
        <item x="69"/>
        <item x="7"/>
        <item x="108"/>
        <item x="143"/>
        <item x="4"/>
        <item x="37"/>
        <item x="162"/>
        <item x="29"/>
        <item x="20"/>
        <item x="155"/>
        <item x="129"/>
        <item x="6"/>
        <item x="144"/>
        <item x="95"/>
        <item x="160"/>
        <item x="56"/>
        <item x="35"/>
        <item x="98"/>
        <item x="112"/>
        <item x="78"/>
        <item x="90"/>
        <item x="64"/>
        <item x="36"/>
        <item x="22"/>
        <item x="104"/>
        <item x="127"/>
        <item x="145"/>
        <item x="45"/>
        <item x="10"/>
        <item x="8"/>
        <item x="153"/>
        <item x="146"/>
        <item x="67"/>
        <item x="38"/>
        <item x="130"/>
        <item x="87"/>
        <item x="111"/>
        <item x="51"/>
        <item x="158"/>
        <item x="126"/>
        <item x="117"/>
        <item x="148"/>
        <item x="19"/>
        <item x="74"/>
        <item x="152"/>
        <item x="161"/>
        <item x="142"/>
        <item x="107"/>
        <item x="43"/>
        <item x="110"/>
        <item x="137"/>
        <item x="79"/>
        <item x="125"/>
        <item x="18"/>
        <item x="94"/>
        <item x="124"/>
        <item x="59"/>
        <item x="42"/>
        <item x="86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4">
        <item sd="0" x="0"/>
        <item x="1"/>
        <item x="2"/>
        <item x="3"/>
        <item x="4"/>
        <item x="5"/>
        <item x="6"/>
        <item x="7"/>
        <item x="8"/>
        <item x="9"/>
        <item x="10"/>
        <item x="11"/>
        <item sd="0" x="12"/>
        <item t="default"/>
      </items>
    </pivotField>
  </pivotFields>
  <rowFields count="2">
    <field x="34"/>
    <field x="32"/>
  </rowFields>
  <rowItems count="185">
    <i>
      <x v="1"/>
    </i>
    <i r="1">
      <x v="9"/>
    </i>
    <i r="1">
      <x v="10"/>
    </i>
    <i r="1">
      <x v="11"/>
    </i>
    <i r="1">
      <x v="14"/>
    </i>
    <i r="1">
      <x v="16"/>
    </i>
    <i r="1">
      <x v="17"/>
    </i>
    <i r="1">
      <x v="18"/>
    </i>
    <i r="1">
      <x v="19"/>
    </i>
    <i r="1">
      <x v="20"/>
    </i>
    <i r="1">
      <x v="23"/>
    </i>
    <i r="1">
      <x v="35"/>
    </i>
    <i r="1">
      <x v="36"/>
    </i>
    <i r="1">
      <x v="38"/>
    </i>
    <i r="1">
      <x v="43"/>
    </i>
    <i r="1">
      <x v="46"/>
    </i>
    <i>
      <x v="2"/>
    </i>
    <i r="1">
      <x/>
    </i>
    <i r="1">
      <x v="3"/>
    </i>
    <i r="1">
      <x v="4"/>
    </i>
    <i r="1">
      <x v="5"/>
    </i>
    <i r="1">
      <x v="7"/>
    </i>
    <i r="1">
      <x v="9"/>
    </i>
    <i r="1">
      <x v="13"/>
    </i>
    <i r="1">
      <x v="15"/>
    </i>
    <i r="1">
      <x v="23"/>
    </i>
    <i r="1">
      <x v="30"/>
    </i>
    <i r="1">
      <x v="31"/>
    </i>
    <i r="1">
      <x v="37"/>
    </i>
    <i r="1">
      <x v="38"/>
    </i>
    <i r="1">
      <x v="41"/>
    </i>
    <i r="1">
      <x v="52"/>
    </i>
    <i>
      <x v="3"/>
    </i>
    <i r="1">
      <x v="2"/>
    </i>
    <i r="1">
      <x v="6"/>
    </i>
    <i r="1">
      <x v="13"/>
    </i>
    <i r="1">
      <x v="22"/>
    </i>
    <i r="1">
      <x v="25"/>
    </i>
    <i r="1">
      <x v="26"/>
    </i>
    <i r="1">
      <x v="32"/>
    </i>
    <i r="1">
      <x v="39"/>
    </i>
    <i r="1">
      <x v="40"/>
    </i>
    <i r="1">
      <x v="42"/>
    </i>
    <i r="1">
      <x v="47"/>
    </i>
    <i r="1">
      <x v="52"/>
    </i>
    <i r="1">
      <x v="56"/>
    </i>
    <i r="1">
      <x v="59"/>
    </i>
    <i r="1">
      <x v="61"/>
    </i>
    <i r="1">
      <x v="65"/>
    </i>
    <i r="1">
      <x v="69"/>
    </i>
    <i r="1">
      <x v="76"/>
    </i>
    <i>
      <x v="4"/>
    </i>
    <i r="1">
      <x v="30"/>
    </i>
    <i r="1">
      <x v="31"/>
    </i>
    <i r="1">
      <x v="33"/>
    </i>
    <i r="1">
      <x v="36"/>
    </i>
    <i r="1">
      <x v="40"/>
    </i>
    <i r="1">
      <x v="43"/>
    </i>
    <i r="1">
      <x v="45"/>
    </i>
    <i r="1">
      <x v="53"/>
    </i>
    <i r="1">
      <x v="56"/>
    </i>
    <i r="1">
      <x v="60"/>
    </i>
    <i r="1">
      <x v="66"/>
    </i>
    <i r="1">
      <x v="67"/>
    </i>
    <i r="1">
      <x v="68"/>
    </i>
    <i r="1">
      <x v="76"/>
    </i>
    <i r="1">
      <x v="97"/>
    </i>
    <i r="1">
      <x v="118"/>
    </i>
    <i>
      <x v="5"/>
    </i>
    <i r="1">
      <x v="97"/>
    </i>
    <i r="1">
      <x v="101"/>
    </i>
    <i r="1">
      <x v="106"/>
    </i>
    <i r="1">
      <x v="113"/>
    </i>
    <i r="1">
      <x v="120"/>
    </i>
    <i r="1">
      <x v="122"/>
    </i>
    <i r="1">
      <x v="140"/>
    </i>
    <i r="1">
      <x v="152"/>
    </i>
    <i r="1">
      <x v="161"/>
    </i>
    <i r="1">
      <x v="162"/>
    </i>
    <i r="1">
      <x v="164"/>
    </i>
    <i>
      <x v="6"/>
    </i>
    <i r="1">
      <x v="127"/>
    </i>
    <i r="1">
      <x v="128"/>
    </i>
    <i r="1">
      <x v="130"/>
    </i>
    <i r="1">
      <x v="132"/>
    </i>
    <i r="1">
      <x v="133"/>
    </i>
    <i r="1">
      <x v="134"/>
    </i>
    <i r="1">
      <x v="137"/>
    </i>
    <i r="1">
      <x v="153"/>
    </i>
    <i>
      <x v="7"/>
    </i>
    <i r="1">
      <x v="65"/>
    </i>
    <i r="1">
      <x v="66"/>
    </i>
    <i r="1">
      <x v="67"/>
    </i>
    <i r="1">
      <x v="78"/>
    </i>
    <i r="1">
      <x v="82"/>
    </i>
    <i r="1">
      <x v="83"/>
    </i>
    <i r="1">
      <x v="87"/>
    </i>
    <i r="1">
      <x v="88"/>
    </i>
    <i r="1">
      <x v="91"/>
    </i>
    <i r="1">
      <x v="93"/>
    </i>
    <i r="1">
      <x v="108"/>
    </i>
    <i r="1">
      <x v="111"/>
    </i>
    <i r="1">
      <x v="112"/>
    </i>
    <i>
      <x v="8"/>
    </i>
    <i r="1">
      <x v="60"/>
    </i>
    <i r="1">
      <x v="66"/>
    </i>
    <i r="1">
      <x v="70"/>
    </i>
    <i r="1">
      <x v="71"/>
    </i>
    <i r="1">
      <x v="81"/>
    </i>
    <i r="1">
      <x v="85"/>
    </i>
    <i r="1">
      <x v="86"/>
    </i>
    <i r="1">
      <x v="87"/>
    </i>
    <i r="1">
      <x v="89"/>
    </i>
    <i r="1">
      <x v="92"/>
    </i>
    <i r="1">
      <x v="102"/>
    </i>
    <i r="1">
      <x v="110"/>
    </i>
    <i r="1">
      <x v="113"/>
    </i>
    <i r="1">
      <x v="130"/>
    </i>
    <i r="1">
      <x v="131"/>
    </i>
    <i r="1">
      <x v="133"/>
    </i>
    <i r="1">
      <x v="139"/>
    </i>
    <i>
      <x v="9"/>
    </i>
    <i r="1">
      <x v="36"/>
    </i>
    <i r="1">
      <x v="47"/>
    </i>
    <i r="1">
      <x v="54"/>
    </i>
    <i r="1">
      <x v="58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7"/>
    </i>
    <i r="1">
      <x v="68"/>
    </i>
    <i r="1">
      <x v="69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80"/>
    </i>
    <i r="1">
      <x v="94"/>
    </i>
    <i>
      <x v="10"/>
    </i>
    <i r="1">
      <x v="38"/>
    </i>
    <i r="1">
      <x v="82"/>
    </i>
    <i r="1">
      <x v="86"/>
    </i>
    <i r="1">
      <x v="93"/>
    </i>
    <i r="1">
      <x v="94"/>
    </i>
    <i r="1">
      <x v="114"/>
    </i>
    <i r="1">
      <x v="116"/>
    </i>
    <i r="1">
      <x v="117"/>
    </i>
    <i r="1">
      <x v="119"/>
    </i>
    <i r="1">
      <x v="124"/>
    </i>
    <i r="1">
      <x v="133"/>
    </i>
    <i r="1">
      <x v="135"/>
    </i>
    <i r="1">
      <x v="142"/>
    </i>
    <i r="1">
      <x v="147"/>
    </i>
    <i r="1">
      <x v="148"/>
    </i>
    <i r="1">
      <x v="152"/>
    </i>
    <i r="1">
      <x v="154"/>
    </i>
    <i r="1">
      <x v="155"/>
    </i>
    <i r="1">
      <x v="158"/>
    </i>
    <i r="1">
      <x v="159"/>
    </i>
    <i r="1">
      <x v="160"/>
    </i>
    <i r="1">
      <x v="163"/>
    </i>
    <i>
      <x v="11"/>
    </i>
    <i r="1">
      <x v="84"/>
    </i>
    <i r="1">
      <x v="94"/>
    </i>
    <i r="1">
      <x v="97"/>
    </i>
    <i r="1">
      <x v="105"/>
    </i>
    <i r="1">
      <x v="107"/>
    </i>
    <i r="1">
      <x v="119"/>
    </i>
    <i r="1">
      <x v="121"/>
    </i>
    <i r="1">
      <x v="123"/>
    </i>
    <i r="1">
      <x v="125"/>
    </i>
    <i r="1">
      <x v="126"/>
    </i>
    <i r="1">
      <x v="133"/>
    </i>
    <i r="1">
      <x v="135"/>
    </i>
    <i r="1">
      <x v="136"/>
    </i>
    <i r="1">
      <x v="138"/>
    </i>
    <i r="1">
      <x v="141"/>
    </i>
    <i r="1">
      <x v="145"/>
    </i>
    <i t="grand">
      <x/>
    </i>
  </rowItems>
  <colFields count="1">
    <field x="-2"/>
  </colFields>
  <colItems count="2">
    <i>
      <x/>
    </i>
    <i i="1">
      <x v="1"/>
    </i>
  </colItems>
  <pageFields count="1">
    <pageField fld="5" item="1" hier="-1"/>
  </pageFields>
  <dataFields count="2">
    <dataField name="Média de Spread DI+" fld="23" subtotal="average" baseField="32" baseItem="9" numFmtId="10"/>
    <dataField name="Contagem de RiscoPaís (%)" fld="32" subtotal="count" baseField="34" baseItem="1" numFmtId="3"/>
  </dataFields>
  <formats count="2">
    <format dxfId="44">
      <pivotArea outline="0" collapsedLevelsAreSubtotals="1" fieldPosition="0"/>
    </format>
    <format dxfId="43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303D72-6D8D-4EE2-A7A3-88766558F657}" name="Tabela dinâmica4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W10:Y286" firstHeaderRow="0" firstDataRow="1" firstDataCol="1"/>
  <pivotFields count="35"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4" showAll="0"/>
    <pivotField numFmtId="3" showAll="0"/>
    <pivotField showAll="0"/>
    <pivotField showAll="0"/>
    <pivotField showAll="0"/>
    <pivotField showAll="0"/>
    <pivotField showAll="0"/>
    <pivotField numFmtId="3" showAll="0"/>
    <pivotField numFmtId="4" showAll="0"/>
    <pivotField showAll="0"/>
    <pivotField showAll="0"/>
    <pivotField showAll="0"/>
    <pivotField dataField="1" numFmtId="10" showAll="0">
      <items count="383">
        <item x="254"/>
        <item x="262"/>
        <item x="259"/>
        <item x="287"/>
        <item x="174"/>
        <item x="258"/>
        <item x="284"/>
        <item x="73"/>
        <item x="359"/>
        <item x="361"/>
        <item x="77"/>
        <item x="260"/>
        <item x="263"/>
        <item x="69"/>
        <item x="315"/>
        <item x="368"/>
        <item x="363"/>
        <item x="261"/>
        <item x="338"/>
        <item x="364"/>
        <item x="102"/>
        <item x="301"/>
        <item x="100"/>
        <item x="320"/>
        <item x="76"/>
        <item x="286"/>
        <item x="203"/>
        <item x="298"/>
        <item x="136"/>
        <item x="87"/>
        <item x="318"/>
        <item x="106"/>
        <item x="86"/>
        <item x="141"/>
        <item x="66"/>
        <item x="354"/>
        <item x="35"/>
        <item x="257"/>
        <item x="265"/>
        <item x="140"/>
        <item x="138"/>
        <item x="306"/>
        <item x="280"/>
        <item x="142"/>
        <item x="63"/>
        <item x="344"/>
        <item x="264"/>
        <item x="316"/>
        <item x="321"/>
        <item x="81"/>
        <item x="128"/>
        <item x="300"/>
        <item x="242"/>
        <item x="101"/>
        <item x="51"/>
        <item x="319"/>
        <item x="360"/>
        <item x="32"/>
        <item x="362"/>
        <item x="343"/>
        <item x="308"/>
        <item x="181"/>
        <item x="70"/>
        <item x="82"/>
        <item x="356"/>
        <item x="199"/>
        <item x="240"/>
        <item x="89"/>
        <item x="352"/>
        <item x="281"/>
        <item x="373"/>
        <item x="285"/>
        <item x="379"/>
        <item x="243"/>
        <item x="93"/>
        <item x="297"/>
        <item x="88"/>
        <item x="303"/>
        <item x="296"/>
        <item x="244"/>
        <item x="252"/>
        <item x="143"/>
        <item x="332"/>
        <item x="175"/>
        <item x="241"/>
        <item x="95"/>
        <item x="135"/>
        <item x="370"/>
        <item x="36"/>
        <item x="247"/>
        <item x="130"/>
        <item x="129"/>
        <item x="29"/>
        <item x="293"/>
        <item x="116"/>
        <item x="305"/>
        <item x="15"/>
        <item x="117"/>
        <item x="246"/>
        <item x="83"/>
        <item x="375"/>
        <item x="164"/>
        <item x="245"/>
        <item x="353"/>
        <item x="187"/>
        <item x="202"/>
        <item x="169"/>
        <item x="182"/>
        <item x="188"/>
        <item x="21"/>
        <item x="8"/>
        <item x="0"/>
        <item x="131"/>
        <item x="248"/>
        <item x="132"/>
        <item x="148"/>
        <item x="366"/>
        <item x="378"/>
        <item x="253"/>
        <item x="147"/>
        <item x="341"/>
        <item x="167"/>
        <item x="160"/>
        <item x="166"/>
        <item x="159"/>
        <item x="288"/>
        <item x="52"/>
        <item x="312"/>
        <item x="16"/>
        <item x="249"/>
        <item x="177"/>
        <item x="291"/>
        <item x="165"/>
        <item x="345"/>
        <item x="14"/>
        <item x="134"/>
        <item x="198"/>
        <item x="113"/>
        <item x="18"/>
        <item x="19"/>
        <item x="310"/>
        <item x="62"/>
        <item x="4"/>
        <item x="103"/>
        <item x="12"/>
        <item x="168"/>
        <item x="163"/>
        <item x="172"/>
        <item x="146"/>
        <item x="144"/>
        <item x="94"/>
        <item x="72"/>
        <item x="23"/>
        <item x="337"/>
        <item x="114"/>
        <item x="47"/>
        <item x="22"/>
        <item x="24"/>
        <item x="65"/>
        <item x="191"/>
        <item x="20"/>
        <item x="99"/>
        <item x="61"/>
        <item x="377"/>
        <item x="237"/>
        <item x="279"/>
        <item x="91"/>
        <item x="56"/>
        <item x="180"/>
        <item x="170"/>
        <item x="173"/>
        <item x="271"/>
        <item x="348"/>
        <item x="107"/>
        <item x="64"/>
        <item x="90"/>
        <item x="292"/>
        <item x="346"/>
        <item x="26"/>
        <item x="85"/>
        <item x="309"/>
        <item x="311"/>
        <item x="374"/>
        <item x="376"/>
        <item x="220"/>
        <item x="5"/>
        <item x="272"/>
        <item x="365"/>
        <item x="251"/>
        <item x="1"/>
        <item x="255"/>
        <item x="367"/>
        <item x="112"/>
        <item x="57"/>
        <item x="201"/>
        <item x="109"/>
        <item x="137"/>
        <item x="223"/>
        <item x="371"/>
        <item x="326"/>
        <item x="80"/>
        <item x="7"/>
        <item x="290"/>
        <item x="219"/>
        <item x="313"/>
        <item x="227"/>
        <item x="78"/>
        <item x="55"/>
        <item x="10"/>
        <item x="342"/>
        <item x="13"/>
        <item x="328"/>
        <item x="108"/>
        <item x="327"/>
        <item x="133"/>
        <item x="179"/>
        <item x="325"/>
        <item x="229"/>
        <item x="9"/>
        <item x="355"/>
        <item x="304"/>
        <item x="74"/>
        <item x="17"/>
        <item x="323"/>
        <item x="299"/>
        <item x="218"/>
        <item x="6"/>
        <item x="104"/>
        <item x="282"/>
        <item x="250"/>
        <item x="324"/>
        <item x="196"/>
        <item x="331"/>
        <item x="295"/>
        <item x="351"/>
        <item x="105"/>
        <item x="372"/>
        <item x="111"/>
        <item x="330"/>
        <item x="3"/>
        <item x="329"/>
        <item x="162"/>
        <item x="41"/>
        <item x="200"/>
        <item x="278"/>
        <item x="269"/>
        <item x="124"/>
        <item x="307"/>
        <item x="45"/>
        <item x="208"/>
        <item x="42"/>
        <item x="233"/>
        <item x="192"/>
        <item x="221"/>
        <item x="314"/>
        <item x="276"/>
        <item x="30"/>
        <item x="369"/>
        <item x="189"/>
        <item x="120"/>
        <item x="210"/>
        <item x="71"/>
        <item x="110"/>
        <item x="96"/>
        <item x="235"/>
        <item x="230"/>
        <item x="115"/>
        <item x="27"/>
        <item x="184"/>
        <item x="190"/>
        <item x="46"/>
        <item x="317"/>
        <item x="194"/>
        <item x="31"/>
        <item x="236"/>
        <item x="273"/>
        <item x="40"/>
        <item x="207"/>
        <item x="2"/>
        <item x="205"/>
        <item x="28"/>
        <item x="37"/>
        <item x="204"/>
        <item x="380"/>
        <item x="11"/>
        <item x="176"/>
        <item x="339"/>
        <item x="152"/>
        <item x="44"/>
        <item x="59"/>
        <item x="161"/>
        <item x="234"/>
        <item x="358"/>
        <item x="266"/>
        <item x="211"/>
        <item x="239"/>
        <item x="277"/>
        <item x="209"/>
        <item x="231"/>
        <item x="43"/>
        <item x="216"/>
        <item x="153"/>
        <item x="149"/>
        <item x="67"/>
        <item x="333"/>
        <item x="274"/>
        <item x="238"/>
        <item x="350"/>
        <item x="206"/>
        <item x="322"/>
        <item x="58"/>
        <item x="335"/>
        <item x="357"/>
        <item x="267"/>
        <item x="145"/>
        <item x="126"/>
        <item x="349"/>
        <item x="289"/>
        <item x="302"/>
        <item x="340"/>
        <item x="268"/>
        <item x="197"/>
        <item x="334"/>
        <item x="228"/>
        <item x="212"/>
        <item x="225"/>
        <item x="25"/>
        <item x="171"/>
        <item x="232"/>
        <item x="381"/>
        <item x="122"/>
        <item x="54"/>
        <item x="213"/>
        <item x="270"/>
        <item x="193"/>
        <item x="125"/>
        <item x="121"/>
        <item x="127"/>
        <item x="79"/>
        <item x="185"/>
        <item x="60"/>
        <item x="75"/>
        <item x="178"/>
        <item x="38"/>
        <item x="53"/>
        <item x="186"/>
        <item x="217"/>
        <item x="222"/>
        <item x="118"/>
        <item x="283"/>
        <item x="195"/>
        <item x="347"/>
        <item x="336"/>
        <item x="151"/>
        <item x="98"/>
        <item x="183"/>
        <item x="275"/>
        <item x="92"/>
        <item x="84"/>
        <item x="50"/>
        <item x="157"/>
        <item x="34"/>
        <item x="119"/>
        <item x="48"/>
        <item x="123"/>
        <item x="150"/>
        <item x="294"/>
        <item x="256"/>
        <item x="33"/>
        <item x="97"/>
        <item x="49"/>
        <item x="155"/>
        <item x="156"/>
        <item x="139"/>
        <item x="39"/>
        <item x="154"/>
        <item x="214"/>
        <item x="158"/>
        <item x="68"/>
        <item x="215"/>
        <item x="224"/>
        <item x="226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6">
        <item x="9"/>
        <item x="3"/>
        <item x="8"/>
        <item x="0"/>
        <item x="11"/>
        <item x="6"/>
        <item x="7"/>
        <item x="2"/>
        <item x="10"/>
        <item x="13"/>
        <item x="12"/>
        <item x="4"/>
        <item x="5"/>
        <item x="14"/>
        <item x="1"/>
        <item t="default"/>
      </items>
    </pivotField>
    <pivotField showAll="0">
      <items count="3">
        <item x="0"/>
        <item x="1"/>
        <item t="default"/>
      </items>
    </pivotField>
    <pivotField axis="axisRow" dataField="1" showAll="0">
      <items count="166">
        <item x="12"/>
        <item x="119"/>
        <item x="159"/>
        <item x="27"/>
        <item x="141"/>
        <item x="2"/>
        <item x="58"/>
        <item x="72"/>
        <item x="46"/>
        <item x="31"/>
        <item x="71"/>
        <item x="114"/>
        <item x="118"/>
        <item x="23"/>
        <item x="92"/>
        <item x="157"/>
        <item x="150"/>
        <item x="30"/>
        <item x="50"/>
        <item x="96"/>
        <item x="85"/>
        <item x="54"/>
        <item x="99"/>
        <item x="97"/>
        <item x="49"/>
        <item x="134"/>
        <item x="32"/>
        <item x="164"/>
        <item x="81"/>
        <item x="123"/>
        <item x="14"/>
        <item x="47"/>
        <item x="68"/>
        <item x="140"/>
        <item x="139"/>
        <item x="147"/>
        <item x="34"/>
        <item x="57"/>
        <item x="5"/>
        <item x="53"/>
        <item x="113"/>
        <item x="11"/>
        <item x="3"/>
        <item x="93"/>
        <item x="55"/>
        <item x="100"/>
        <item x="106"/>
        <item x="13"/>
        <item x="138"/>
        <item x="91"/>
        <item x="75"/>
        <item x="149"/>
        <item x="62"/>
        <item x="163"/>
        <item x="26"/>
        <item x="156"/>
        <item x="25"/>
        <item x="84"/>
        <item x="73"/>
        <item x="66"/>
        <item x="109"/>
        <item x="28"/>
        <item x="88"/>
        <item x="102"/>
        <item x="151"/>
        <item x="41"/>
        <item x="16"/>
        <item x="60"/>
        <item x="33"/>
        <item x="70"/>
        <item x="9"/>
        <item x="76"/>
        <item x="83"/>
        <item x="136"/>
        <item x="52"/>
        <item x="17"/>
        <item x="1"/>
        <item x="77"/>
        <item x="131"/>
        <item x="89"/>
        <item x="120"/>
        <item x="101"/>
        <item x="65"/>
        <item x="24"/>
        <item x="40"/>
        <item x="61"/>
        <item x="39"/>
        <item x="135"/>
        <item x="15"/>
        <item x="82"/>
        <item x="21"/>
        <item x="103"/>
        <item x="128"/>
        <item x="105"/>
        <item x="0"/>
        <item x="133"/>
        <item x="48"/>
        <item x="63"/>
        <item x="116"/>
        <item x="154"/>
        <item x="122"/>
        <item x="44"/>
        <item x="132"/>
        <item x="115"/>
        <item x="121"/>
        <item x="80"/>
        <item x="69"/>
        <item x="7"/>
        <item x="108"/>
        <item x="143"/>
        <item x="4"/>
        <item x="37"/>
        <item x="162"/>
        <item x="29"/>
        <item x="20"/>
        <item x="155"/>
        <item x="129"/>
        <item x="6"/>
        <item x="144"/>
        <item x="95"/>
        <item x="160"/>
        <item x="56"/>
        <item x="35"/>
        <item x="98"/>
        <item x="112"/>
        <item x="78"/>
        <item x="90"/>
        <item x="64"/>
        <item x="36"/>
        <item x="22"/>
        <item x="104"/>
        <item x="127"/>
        <item x="145"/>
        <item x="45"/>
        <item x="10"/>
        <item x="8"/>
        <item x="153"/>
        <item x="146"/>
        <item x="67"/>
        <item x="38"/>
        <item x="130"/>
        <item x="87"/>
        <item x="111"/>
        <item x="51"/>
        <item x="158"/>
        <item x="126"/>
        <item x="117"/>
        <item x="148"/>
        <item x="19"/>
        <item x="74"/>
        <item x="152"/>
        <item x="161"/>
        <item x="142"/>
        <item x="107"/>
        <item x="43"/>
        <item x="110"/>
        <item x="137"/>
        <item x="79"/>
        <item x="125"/>
        <item x="18"/>
        <item x="94"/>
        <item x="124"/>
        <item x="59"/>
        <item x="42"/>
        <item x="86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4">
        <item sd="0" x="0"/>
        <item x="1"/>
        <item x="2"/>
        <item x="3"/>
        <item x="4"/>
        <item x="5"/>
        <item x="6"/>
        <item x="7"/>
        <item x="8"/>
        <item x="9"/>
        <item x="10"/>
        <item x="11"/>
        <item sd="0" x="12"/>
        <item t="default"/>
      </items>
    </pivotField>
  </pivotFields>
  <rowFields count="2">
    <field x="34"/>
    <field x="32"/>
  </rowFields>
  <rowItems count="276">
    <i>
      <x v="1"/>
    </i>
    <i r="1">
      <x v="4"/>
    </i>
    <i r="1">
      <x v="8"/>
    </i>
    <i r="1">
      <x v="9"/>
    </i>
    <i r="1">
      <x v="10"/>
    </i>
    <i r="1">
      <x v="11"/>
    </i>
    <i r="1">
      <x v="12"/>
    </i>
    <i r="1">
      <x v="14"/>
    </i>
    <i r="1">
      <x v="16"/>
    </i>
    <i r="1">
      <x v="17"/>
    </i>
    <i r="1">
      <x v="18"/>
    </i>
    <i r="1">
      <x v="19"/>
    </i>
    <i r="1">
      <x v="20"/>
    </i>
    <i r="1">
      <x v="23"/>
    </i>
    <i r="1">
      <x v="28"/>
    </i>
    <i r="1">
      <x v="35"/>
    </i>
    <i r="1">
      <x v="36"/>
    </i>
    <i r="1">
      <x v="38"/>
    </i>
    <i r="1">
      <x v="43"/>
    </i>
    <i r="1">
      <x v="46"/>
    </i>
    <i>
      <x v="2"/>
    </i>
    <i r="1">
      <x/>
    </i>
    <i r="1">
      <x v="3"/>
    </i>
    <i r="1">
      <x v="4"/>
    </i>
    <i r="1">
      <x v="5"/>
    </i>
    <i r="1">
      <x v="7"/>
    </i>
    <i r="1">
      <x v="8"/>
    </i>
    <i r="1">
      <x v="9"/>
    </i>
    <i r="1">
      <x v="10"/>
    </i>
    <i r="1">
      <x v="13"/>
    </i>
    <i r="1">
      <x v="15"/>
    </i>
    <i r="1">
      <x v="23"/>
    </i>
    <i r="1">
      <x v="24"/>
    </i>
    <i r="1">
      <x v="27"/>
    </i>
    <i r="1">
      <x v="29"/>
    </i>
    <i r="1">
      <x v="30"/>
    </i>
    <i r="1">
      <x v="31"/>
    </i>
    <i r="1">
      <x v="32"/>
    </i>
    <i r="1">
      <x v="34"/>
    </i>
    <i r="1">
      <x v="37"/>
    </i>
    <i r="1">
      <x v="38"/>
    </i>
    <i r="1">
      <x v="41"/>
    </i>
    <i r="1">
      <x v="44"/>
    </i>
    <i r="1">
      <x v="52"/>
    </i>
    <i r="1">
      <x v="56"/>
    </i>
    <i>
      <x v="3"/>
    </i>
    <i r="1">
      <x v="1"/>
    </i>
    <i r="1">
      <x v="2"/>
    </i>
    <i r="1">
      <x v="3"/>
    </i>
    <i r="1">
      <x v="6"/>
    </i>
    <i r="1">
      <x v="13"/>
    </i>
    <i r="1">
      <x v="17"/>
    </i>
    <i r="1">
      <x v="19"/>
    </i>
    <i r="1">
      <x v="21"/>
    </i>
    <i r="1">
      <x v="22"/>
    </i>
    <i r="1">
      <x v="25"/>
    </i>
    <i r="1">
      <x v="26"/>
    </i>
    <i r="1">
      <x v="32"/>
    </i>
    <i r="1">
      <x v="37"/>
    </i>
    <i r="1">
      <x v="39"/>
    </i>
    <i r="1">
      <x v="40"/>
    </i>
    <i r="1">
      <x v="42"/>
    </i>
    <i r="1">
      <x v="47"/>
    </i>
    <i r="1">
      <x v="52"/>
    </i>
    <i r="1">
      <x v="56"/>
    </i>
    <i r="1">
      <x v="59"/>
    </i>
    <i r="1">
      <x v="61"/>
    </i>
    <i r="1">
      <x v="65"/>
    </i>
    <i r="1">
      <x v="69"/>
    </i>
    <i r="1">
      <x v="76"/>
    </i>
    <i>
      <x v="4"/>
    </i>
    <i r="1">
      <x v="30"/>
    </i>
    <i r="1">
      <x v="31"/>
    </i>
    <i r="1">
      <x v="32"/>
    </i>
    <i r="1">
      <x v="33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53"/>
    </i>
    <i r="1">
      <x v="56"/>
    </i>
    <i r="1">
      <x v="60"/>
    </i>
    <i r="1">
      <x v="63"/>
    </i>
    <i r="1">
      <x v="66"/>
    </i>
    <i r="1">
      <x v="67"/>
    </i>
    <i r="1">
      <x v="68"/>
    </i>
    <i r="1">
      <x v="76"/>
    </i>
    <i r="1">
      <x v="96"/>
    </i>
    <i r="1">
      <x v="97"/>
    </i>
    <i r="1">
      <x v="118"/>
    </i>
    <i>
      <x v="5"/>
    </i>
    <i r="1">
      <x v="97"/>
    </i>
    <i r="1">
      <x v="101"/>
    </i>
    <i r="1">
      <x v="106"/>
    </i>
    <i r="1">
      <x v="113"/>
    </i>
    <i r="1">
      <x v="120"/>
    </i>
    <i r="1">
      <x v="122"/>
    </i>
    <i r="1">
      <x v="140"/>
    </i>
    <i r="1">
      <x v="152"/>
    </i>
    <i r="1">
      <x v="161"/>
    </i>
    <i r="1">
      <x v="162"/>
    </i>
    <i r="1">
      <x v="164"/>
    </i>
    <i>
      <x v="6"/>
    </i>
    <i r="1">
      <x v="120"/>
    </i>
    <i r="1">
      <x v="121"/>
    </i>
    <i r="1">
      <x v="122"/>
    </i>
    <i r="1">
      <x v="127"/>
    </i>
    <i r="1">
      <x v="128"/>
    </i>
    <i r="1">
      <x v="129"/>
    </i>
    <i r="1">
      <x v="130"/>
    </i>
    <i r="1">
      <x v="132"/>
    </i>
    <i r="1">
      <x v="133"/>
    </i>
    <i r="1">
      <x v="134"/>
    </i>
    <i r="1">
      <x v="137"/>
    </i>
    <i r="1">
      <x v="146"/>
    </i>
    <i r="1">
      <x v="149"/>
    </i>
    <i r="1">
      <x v="151"/>
    </i>
    <i r="1">
      <x v="153"/>
    </i>
    <i r="1">
      <x v="156"/>
    </i>
    <i r="1">
      <x v="157"/>
    </i>
    <i>
      <x v="7"/>
    </i>
    <i r="1">
      <x v="57"/>
    </i>
    <i r="1">
      <x v="59"/>
    </i>
    <i r="1">
      <x v="62"/>
    </i>
    <i r="1">
      <x v="65"/>
    </i>
    <i r="1">
      <x v="66"/>
    </i>
    <i r="1">
      <x v="67"/>
    </i>
    <i r="1">
      <x v="70"/>
    </i>
    <i r="1">
      <x v="74"/>
    </i>
    <i r="1">
      <x v="75"/>
    </i>
    <i r="1">
      <x v="76"/>
    </i>
    <i r="1">
      <x v="77"/>
    </i>
    <i r="1">
      <x v="78"/>
    </i>
    <i r="1">
      <x v="80"/>
    </i>
    <i r="1">
      <x v="82"/>
    </i>
    <i r="1">
      <x v="83"/>
    </i>
    <i r="1">
      <x v="87"/>
    </i>
    <i r="1">
      <x v="88"/>
    </i>
    <i r="1">
      <x v="91"/>
    </i>
    <i r="1">
      <x v="92"/>
    </i>
    <i r="1">
      <x v="93"/>
    </i>
    <i r="1">
      <x v="98"/>
    </i>
    <i r="1">
      <x v="101"/>
    </i>
    <i r="1">
      <x v="108"/>
    </i>
    <i r="1">
      <x v="109"/>
    </i>
    <i r="1">
      <x v="111"/>
    </i>
    <i r="1">
      <x v="112"/>
    </i>
    <i>
      <x v="8"/>
    </i>
    <i r="1">
      <x v="49"/>
    </i>
    <i r="1">
      <x v="50"/>
    </i>
    <i r="1">
      <x v="51"/>
    </i>
    <i r="1">
      <x v="52"/>
    </i>
    <i r="1">
      <x v="54"/>
    </i>
    <i r="1">
      <x v="60"/>
    </i>
    <i r="1">
      <x v="66"/>
    </i>
    <i r="1">
      <x v="70"/>
    </i>
    <i r="1">
      <x v="71"/>
    </i>
    <i r="1">
      <x v="75"/>
    </i>
    <i r="1">
      <x v="77"/>
    </i>
    <i r="1">
      <x v="81"/>
    </i>
    <i r="1">
      <x v="83"/>
    </i>
    <i r="1">
      <x v="85"/>
    </i>
    <i r="1">
      <x v="86"/>
    </i>
    <i r="1">
      <x v="87"/>
    </i>
    <i r="1">
      <x v="89"/>
    </i>
    <i r="1">
      <x v="92"/>
    </i>
    <i r="1">
      <x v="102"/>
    </i>
    <i r="1">
      <x v="107"/>
    </i>
    <i r="1">
      <x v="110"/>
    </i>
    <i r="1">
      <x v="113"/>
    </i>
    <i r="1">
      <x v="115"/>
    </i>
    <i r="1">
      <x v="130"/>
    </i>
    <i r="1">
      <x v="131"/>
    </i>
    <i r="1">
      <x v="133"/>
    </i>
    <i r="1">
      <x v="139"/>
    </i>
    <i>
      <x v="9"/>
    </i>
    <i r="1">
      <x v="36"/>
    </i>
    <i r="1">
      <x v="41"/>
    </i>
    <i r="1">
      <x v="45"/>
    </i>
    <i r="1">
      <x v="47"/>
    </i>
    <i r="1">
      <x v="48"/>
    </i>
    <i r="1">
      <x v="54"/>
    </i>
    <i r="1">
      <x v="55"/>
    </i>
    <i r="1">
      <x v="56"/>
    </i>
    <i r="1">
      <x v="58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80"/>
    </i>
    <i r="1">
      <x v="87"/>
    </i>
    <i r="1">
      <x v="94"/>
    </i>
    <i>
      <x v="10"/>
    </i>
    <i r="1">
      <x v="30"/>
    </i>
    <i r="1">
      <x v="38"/>
    </i>
    <i r="1">
      <x v="40"/>
    </i>
    <i r="1">
      <x v="42"/>
    </i>
    <i r="1">
      <x v="50"/>
    </i>
    <i r="1">
      <x v="79"/>
    </i>
    <i r="1">
      <x v="82"/>
    </i>
    <i r="1">
      <x v="86"/>
    </i>
    <i r="1">
      <x v="90"/>
    </i>
    <i r="1">
      <x v="93"/>
    </i>
    <i r="1">
      <x v="94"/>
    </i>
    <i r="1">
      <x v="114"/>
    </i>
    <i r="1">
      <x v="116"/>
    </i>
    <i r="1">
      <x v="117"/>
    </i>
    <i r="1">
      <x v="119"/>
    </i>
    <i r="1">
      <x v="121"/>
    </i>
    <i r="1">
      <x v="124"/>
    </i>
    <i r="1">
      <x v="128"/>
    </i>
    <i r="1">
      <x v="129"/>
    </i>
    <i r="1">
      <x v="133"/>
    </i>
    <i r="1">
      <x v="135"/>
    </i>
    <i r="1">
      <x v="142"/>
    </i>
    <i r="1">
      <x v="143"/>
    </i>
    <i r="1">
      <x v="144"/>
    </i>
    <i r="1">
      <x v="147"/>
    </i>
    <i r="1">
      <x v="148"/>
    </i>
    <i r="1">
      <x v="150"/>
    </i>
    <i r="1">
      <x v="152"/>
    </i>
    <i r="1">
      <x v="154"/>
    </i>
    <i r="1">
      <x v="155"/>
    </i>
    <i r="1">
      <x v="158"/>
    </i>
    <i r="1">
      <x v="159"/>
    </i>
    <i r="1">
      <x v="160"/>
    </i>
    <i r="1">
      <x v="163"/>
    </i>
    <i>
      <x v="11"/>
    </i>
    <i r="1">
      <x v="77"/>
    </i>
    <i r="1">
      <x v="81"/>
    </i>
    <i r="1">
      <x v="84"/>
    </i>
    <i r="1">
      <x v="85"/>
    </i>
    <i r="1">
      <x v="86"/>
    </i>
    <i r="1">
      <x v="91"/>
    </i>
    <i r="1">
      <x v="94"/>
    </i>
    <i r="1">
      <x v="95"/>
    </i>
    <i r="1">
      <x v="97"/>
    </i>
    <i r="1">
      <x v="99"/>
    </i>
    <i r="1">
      <x v="100"/>
    </i>
    <i r="1">
      <x v="103"/>
    </i>
    <i r="1">
      <x v="104"/>
    </i>
    <i r="1">
      <x v="105"/>
    </i>
    <i r="1">
      <x v="107"/>
    </i>
    <i r="1">
      <x v="119"/>
    </i>
    <i r="1">
      <x v="121"/>
    </i>
    <i r="1">
      <x v="122"/>
    </i>
    <i r="1">
      <x v="123"/>
    </i>
    <i r="1">
      <x v="125"/>
    </i>
    <i r="1">
      <x v="126"/>
    </i>
    <i r="1">
      <x v="127"/>
    </i>
    <i r="1">
      <x v="133"/>
    </i>
    <i r="1">
      <x v="135"/>
    </i>
    <i r="1">
      <x v="136"/>
    </i>
    <i r="1">
      <x v="138"/>
    </i>
    <i r="1">
      <x v="141"/>
    </i>
    <i r="1">
      <x v="145"/>
    </i>
    <i t="grand">
      <x/>
    </i>
  </rowItems>
  <colFields count="1">
    <field x="-2"/>
  </colFields>
  <colItems count="2">
    <i>
      <x/>
    </i>
    <i i="1">
      <x v="1"/>
    </i>
  </colItems>
  <dataFields count="2">
    <dataField name="Média de Spread DI+" fld="23" subtotal="average" baseField="34" baseItem="1" numFmtId="10"/>
    <dataField name="Contagem de RiscoPaís (%)" fld="32" subtotal="count" baseField="34" baseItem="1" numFmtId="3"/>
  </dataFields>
  <formats count="2">
    <format dxfId="46">
      <pivotArea outline="0" collapsedLevelsAreSubtotals="1" fieldPosition="0"/>
    </format>
    <format dxfId="45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8179B3-0EA6-4C94-ABE0-71C67F889244}" name="Tabela dinâmica3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S10:U140" firstHeaderRow="0" firstDataRow="1" firstDataCol="1" rowPageCount="1" colPageCount="1"/>
  <pivotFields count="35"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4" showAll="0"/>
    <pivotField numFmtId="3" showAll="0"/>
    <pivotField showAll="0"/>
    <pivotField showAll="0"/>
    <pivotField showAll="0"/>
    <pivotField showAll="0"/>
    <pivotField showAll="0"/>
    <pivotField numFmtId="3" showAll="0"/>
    <pivotField numFmtId="4" showAll="0"/>
    <pivotField showAll="0"/>
    <pivotField showAll="0"/>
    <pivotField showAll="0"/>
    <pivotField dataField="1" numFmtId="10" showAll="0">
      <items count="383">
        <item x="254"/>
        <item x="262"/>
        <item x="259"/>
        <item x="287"/>
        <item x="174"/>
        <item x="258"/>
        <item x="284"/>
        <item x="73"/>
        <item x="359"/>
        <item x="361"/>
        <item x="77"/>
        <item x="260"/>
        <item x="263"/>
        <item x="69"/>
        <item x="315"/>
        <item x="368"/>
        <item x="363"/>
        <item x="261"/>
        <item x="338"/>
        <item x="364"/>
        <item x="102"/>
        <item x="301"/>
        <item x="100"/>
        <item x="320"/>
        <item x="76"/>
        <item x="286"/>
        <item x="203"/>
        <item x="298"/>
        <item x="136"/>
        <item x="87"/>
        <item x="318"/>
        <item x="106"/>
        <item x="86"/>
        <item x="141"/>
        <item x="66"/>
        <item x="354"/>
        <item x="35"/>
        <item x="257"/>
        <item x="265"/>
        <item x="140"/>
        <item x="138"/>
        <item x="306"/>
        <item x="280"/>
        <item x="142"/>
        <item x="63"/>
        <item x="344"/>
        <item x="264"/>
        <item x="316"/>
        <item x="321"/>
        <item x="81"/>
        <item x="128"/>
        <item x="300"/>
        <item x="242"/>
        <item x="101"/>
        <item x="51"/>
        <item x="319"/>
        <item x="360"/>
        <item x="32"/>
        <item x="362"/>
        <item x="343"/>
        <item x="308"/>
        <item x="181"/>
        <item x="70"/>
        <item x="82"/>
        <item x="356"/>
        <item x="199"/>
        <item x="240"/>
        <item x="89"/>
        <item x="352"/>
        <item x="281"/>
        <item x="373"/>
        <item x="285"/>
        <item x="379"/>
        <item x="243"/>
        <item x="93"/>
        <item x="297"/>
        <item x="88"/>
        <item x="303"/>
        <item x="296"/>
        <item x="244"/>
        <item x="252"/>
        <item x="143"/>
        <item x="332"/>
        <item x="175"/>
        <item x="241"/>
        <item x="95"/>
        <item x="135"/>
        <item x="370"/>
        <item x="36"/>
        <item x="247"/>
        <item x="130"/>
        <item x="129"/>
        <item x="29"/>
        <item x="293"/>
        <item x="116"/>
        <item x="305"/>
        <item x="15"/>
        <item x="117"/>
        <item x="246"/>
        <item x="83"/>
        <item x="375"/>
        <item x="164"/>
        <item x="245"/>
        <item x="353"/>
        <item x="187"/>
        <item x="202"/>
        <item x="169"/>
        <item x="182"/>
        <item x="188"/>
        <item x="21"/>
        <item x="8"/>
        <item x="0"/>
        <item x="131"/>
        <item x="248"/>
        <item x="132"/>
        <item x="148"/>
        <item x="366"/>
        <item x="378"/>
        <item x="253"/>
        <item x="147"/>
        <item x="341"/>
        <item x="167"/>
        <item x="160"/>
        <item x="166"/>
        <item x="159"/>
        <item x="288"/>
        <item x="52"/>
        <item x="312"/>
        <item x="16"/>
        <item x="249"/>
        <item x="177"/>
        <item x="291"/>
        <item x="165"/>
        <item x="345"/>
        <item x="14"/>
        <item x="134"/>
        <item x="198"/>
        <item x="113"/>
        <item x="18"/>
        <item x="19"/>
        <item x="310"/>
        <item x="62"/>
        <item x="4"/>
        <item x="103"/>
        <item x="12"/>
        <item x="168"/>
        <item x="163"/>
        <item x="172"/>
        <item x="146"/>
        <item x="144"/>
        <item x="94"/>
        <item x="72"/>
        <item x="23"/>
        <item x="337"/>
        <item x="114"/>
        <item x="47"/>
        <item x="22"/>
        <item x="24"/>
        <item x="65"/>
        <item x="191"/>
        <item x="20"/>
        <item x="99"/>
        <item x="61"/>
        <item x="377"/>
        <item x="237"/>
        <item x="279"/>
        <item x="91"/>
        <item x="56"/>
        <item x="180"/>
        <item x="170"/>
        <item x="173"/>
        <item x="271"/>
        <item x="348"/>
        <item x="107"/>
        <item x="64"/>
        <item x="90"/>
        <item x="292"/>
        <item x="346"/>
        <item x="26"/>
        <item x="85"/>
        <item x="309"/>
        <item x="311"/>
        <item x="374"/>
        <item x="376"/>
        <item x="220"/>
        <item x="5"/>
        <item x="272"/>
        <item x="365"/>
        <item x="251"/>
        <item x="1"/>
        <item x="255"/>
        <item x="367"/>
        <item x="112"/>
        <item x="57"/>
        <item x="201"/>
        <item x="109"/>
        <item x="137"/>
        <item x="223"/>
        <item x="371"/>
        <item x="326"/>
        <item x="80"/>
        <item x="7"/>
        <item x="290"/>
        <item x="219"/>
        <item x="313"/>
        <item x="227"/>
        <item x="78"/>
        <item x="55"/>
        <item x="10"/>
        <item x="342"/>
        <item x="13"/>
        <item x="328"/>
        <item x="108"/>
        <item x="327"/>
        <item x="133"/>
        <item x="179"/>
        <item x="325"/>
        <item x="229"/>
        <item x="9"/>
        <item x="355"/>
        <item x="304"/>
        <item x="74"/>
        <item x="17"/>
        <item x="323"/>
        <item x="299"/>
        <item x="218"/>
        <item x="6"/>
        <item x="104"/>
        <item x="282"/>
        <item x="250"/>
        <item x="324"/>
        <item x="196"/>
        <item x="331"/>
        <item x="295"/>
        <item x="351"/>
        <item x="105"/>
        <item x="372"/>
        <item x="111"/>
        <item x="330"/>
        <item x="3"/>
        <item x="329"/>
        <item x="162"/>
        <item x="41"/>
        <item x="200"/>
        <item x="278"/>
        <item x="269"/>
        <item x="124"/>
        <item x="307"/>
        <item x="45"/>
        <item x="208"/>
        <item x="42"/>
        <item x="233"/>
        <item x="192"/>
        <item x="221"/>
        <item x="314"/>
        <item x="276"/>
        <item x="30"/>
        <item x="369"/>
        <item x="189"/>
        <item x="120"/>
        <item x="210"/>
        <item x="71"/>
        <item x="110"/>
        <item x="96"/>
        <item x="235"/>
        <item x="230"/>
        <item x="115"/>
        <item x="27"/>
        <item x="184"/>
        <item x="190"/>
        <item x="46"/>
        <item x="317"/>
        <item x="194"/>
        <item x="31"/>
        <item x="236"/>
        <item x="273"/>
        <item x="40"/>
        <item x="207"/>
        <item x="2"/>
        <item x="205"/>
        <item x="28"/>
        <item x="37"/>
        <item x="204"/>
        <item x="380"/>
        <item x="11"/>
        <item x="176"/>
        <item x="339"/>
        <item x="152"/>
        <item x="44"/>
        <item x="59"/>
        <item x="161"/>
        <item x="234"/>
        <item x="358"/>
        <item x="266"/>
        <item x="211"/>
        <item x="239"/>
        <item x="277"/>
        <item x="209"/>
        <item x="231"/>
        <item x="43"/>
        <item x="216"/>
        <item x="153"/>
        <item x="149"/>
        <item x="67"/>
        <item x="333"/>
        <item x="274"/>
        <item x="238"/>
        <item x="350"/>
        <item x="206"/>
        <item x="322"/>
        <item x="58"/>
        <item x="335"/>
        <item x="357"/>
        <item x="267"/>
        <item x="145"/>
        <item x="126"/>
        <item x="349"/>
        <item x="289"/>
        <item x="302"/>
        <item x="340"/>
        <item x="268"/>
        <item x="197"/>
        <item x="334"/>
        <item x="228"/>
        <item x="212"/>
        <item x="225"/>
        <item x="25"/>
        <item x="171"/>
        <item x="232"/>
        <item x="381"/>
        <item x="122"/>
        <item x="54"/>
        <item x="213"/>
        <item x="270"/>
        <item x="193"/>
        <item x="125"/>
        <item x="121"/>
        <item x="127"/>
        <item x="79"/>
        <item x="185"/>
        <item x="60"/>
        <item x="75"/>
        <item x="178"/>
        <item x="38"/>
        <item x="53"/>
        <item x="186"/>
        <item x="217"/>
        <item x="222"/>
        <item x="118"/>
        <item x="283"/>
        <item x="195"/>
        <item x="347"/>
        <item x="336"/>
        <item x="151"/>
        <item x="98"/>
        <item x="183"/>
        <item x="275"/>
        <item x="92"/>
        <item x="84"/>
        <item x="50"/>
        <item x="157"/>
        <item x="34"/>
        <item x="119"/>
        <item x="48"/>
        <item x="123"/>
        <item x="150"/>
        <item x="294"/>
        <item x="256"/>
        <item x="33"/>
        <item x="97"/>
        <item x="49"/>
        <item x="155"/>
        <item x="156"/>
        <item x="139"/>
        <item x="39"/>
        <item x="154"/>
        <item x="214"/>
        <item x="158"/>
        <item x="68"/>
        <item x="215"/>
        <item x="224"/>
        <item x="226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6">
        <item x="9"/>
        <item x="3"/>
        <item x="8"/>
        <item x="0"/>
        <item x="11"/>
        <item x="6"/>
        <item x="7"/>
        <item x="2"/>
        <item x="10"/>
        <item x="13"/>
        <item x="12"/>
        <item x="4"/>
        <item x="5"/>
        <item x="14"/>
        <item x="1"/>
        <item t="default"/>
      </items>
    </pivotField>
    <pivotField showAll="0">
      <items count="3">
        <item x="0"/>
        <item x="1"/>
        <item t="default"/>
      </items>
    </pivotField>
    <pivotField axis="axisRow" dataField="1" showAll="0">
      <items count="166">
        <item x="12"/>
        <item x="119"/>
        <item x="159"/>
        <item x="27"/>
        <item x="141"/>
        <item x="2"/>
        <item x="58"/>
        <item x="72"/>
        <item x="46"/>
        <item x="31"/>
        <item x="71"/>
        <item x="114"/>
        <item x="118"/>
        <item x="23"/>
        <item x="92"/>
        <item x="157"/>
        <item x="150"/>
        <item x="30"/>
        <item x="50"/>
        <item x="96"/>
        <item x="85"/>
        <item x="54"/>
        <item x="99"/>
        <item x="97"/>
        <item x="49"/>
        <item x="134"/>
        <item x="32"/>
        <item x="164"/>
        <item x="81"/>
        <item x="123"/>
        <item x="14"/>
        <item x="47"/>
        <item x="68"/>
        <item x="140"/>
        <item x="139"/>
        <item x="147"/>
        <item x="34"/>
        <item x="57"/>
        <item x="5"/>
        <item x="53"/>
        <item x="113"/>
        <item x="11"/>
        <item x="3"/>
        <item x="93"/>
        <item x="55"/>
        <item x="100"/>
        <item x="106"/>
        <item x="13"/>
        <item x="138"/>
        <item x="91"/>
        <item x="75"/>
        <item x="149"/>
        <item x="62"/>
        <item x="163"/>
        <item x="26"/>
        <item x="156"/>
        <item x="25"/>
        <item x="84"/>
        <item x="73"/>
        <item x="66"/>
        <item x="109"/>
        <item x="28"/>
        <item x="88"/>
        <item x="102"/>
        <item x="151"/>
        <item x="41"/>
        <item x="16"/>
        <item x="60"/>
        <item x="33"/>
        <item x="70"/>
        <item x="9"/>
        <item x="76"/>
        <item x="83"/>
        <item x="136"/>
        <item x="52"/>
        <item x="17"/>
        <item x="1"/>
        <item x="77"/>
        <item x="131"/>
        <item x="89"/>
        <item x="120"/>
        <item x="101"/>
        <item x="65"/>
        <item x="24"/>
        <item x="40"/>
        <item x="61"/>
        <item x="39"/>
        <item x="135"/>
        <item x="15"/>
        <item x="82"/>
        <item x="21"/>
        <item x="103"/>
        <item x="128"/>
        <item x="105"/>
        <item x="0"/>
        <item x="133"/>
        <item x="48"/>
        <item x="63"/>
        <item x="116"/>
        <item x="154"/>
        <item x="122"/>
        <item x="44"/>
        <item x="132"/>
        <item x="115"/>
        <item x="121"/>
        <item x="80"/>
        <item x="69"/>
        <item x="7"/>
        <item x="108"/>
        <item x="143"/>
        <item x="4"/>
        <item x="37"/>
        <item x="162"/>
        <item x="29"/>
        <item x="20"/>
        <item x="155"/>
        <item x="129"/>
        <item x="6"/>
        <item x="144"/>
        <item x="95"/>
        <item x="160"/>
        <item x="56"/>
        <item x="35"/>
        <item x="98"/>
        <item x="112"/>
        <item x="78"/>
        <item x="90"/>
        <item x="64"/>
        <item x="36"/>
        <item x="22"/>
        <item x="104"/>
        <item x="127"/>
        <item x="145"/>
        <item x="45"/>
        <item x="10"/>
        <item x="8"/>
        <item x="153"/>
        <item x="146"/>
        <item x="67"/>
        <item x="38"/>
        <item x="130"/>
        <item x="87"/>
        <item x="111"/>
        <item x="51"/>
        <item x="158"/>
        <item x="126"/>
        <item x="117"/>
        <item x="148"/>
        <item x="19"/>
        <item x="74"/>
        <item x="152"/>
        <item x="161"/>
        <item x="142"/>
        <item x="107"/>
        <item x="43"/>
        <item x="110"/>
        <item x="137"/>
        <item x="79"/>
        <item x="125"/>
        <item x="18"/>
        <item x="94"/>
        <item x="124"/>
        <item x="59"/>
        <item x="42"/>
        <item x="86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4">
        <item sd="0" x="0"/>
        <item x="1"/>
        <item x="2"/>
        <item x="3"/>
        <item x="4"/>
        <item x="5"/>
        <item x="6"/>
        <item x="7"/>
        <item x="8"/>
        <item x="9"/>
        <item x="10"/>
        <item x="11"/>
        <item sd="0" x="12"/>
        <item t="default"/>
      </items>
    </pivotField>
  </pivotFields>
  <rowFields count="2">
    <field x="34"/>
    <field x="32"/>
  </rowFields>
  <rowItems count="130">
    <i>
      <x v="1"/>
    </i>
    <i r="1">
      <x v="4"/>
    </i>
    <i r="1">
      <x v="8"/>
    </i>
    <i r="1">
      <x v="12"/>
    </i>
    <i r="1">
      <x v="17"/>
    </i>
    <i r="1">
      <x v="18"/>
    </i>
    <i r="1">
      <x v="19"/>
    </i>
    <i r="1">
      <x v="28"/>
    </i>
    <i>
      <x v="2"/>
    </i>
    <i r="1">
      <x v="8"/>
    </i>
    <i r="1">
      <x v="10"/>
    </i>
    <i r="1">
      <x v="24"/>
    </i>
    <i r="1">
      <x v="27"/>
    </i>
    <i r="1">
      <x v="29"/>
    </i>
    <i r="1">
      <x v="31"/>
    </i>
    <i r="1">
      <x v="32"/>
    </i>
    <i r="1">
      <x v="34"/>
    </i>
    <i r="1">
      <x v="37"/>
    </i>
    <i r="1">
      <x v="41"/>
    </i>
    <i r="1">
      <x v="44"/>
    </i>
    <i r="1">
      <x v="56"/>
    </i>
    <i>
      <x v="3"/>
    </i>
    <i r="1">
      <x v="1"/>
    </i>
    <i r="1">
      <x v="3"/>
    </i>
    <i r="1">
      <x v="17"/>
    </i>
    <i r="1">
      <x v="19"/>
    </i>
    <i r="1">
      <x v="21"/>
    </i>
    <i r="1">
      <x v="37"/>
    </i>
    <i>
      <x v="4"/>
    </i>
    <i r="1">
      <x v="31"/>
    </i>
    <i r="1">
      <x v="32"/>
    </i>
    <i r="1">
      <x v="37"/>
    </i>
    <i r="1">
      <x v="38"/>
    </i>
    <i r="1">
      <x v="39"/>
    </i>
    <i r="1">
      <x v="41"/>
    </i>
    <i r="1">
      <x v="42"/>
    </i>
    <i r="1">
      <x v="44"/>
    </i>
    <i r="1">
      <x v="63"/>
    </i>
    <i r="1">
      <x v="96"/>
    </i>
    <i>
      <x v="6"/>
    </i>
    <i r="1">
      <x v="120"/>
    </i>
    <i r="1">
      <x v="121"/>
    </i>
    <i r="1">
      <x v="122"/>
    </i>
    <i r="1">
      <x v="129"/>
    </i>
    <i r="1">
      <x v="132"/>
    </i>
    <i r="1">
      <x v="133"/>
    </i>
    <i r="1">
      <x v="146"/>
    </i>
    <i r="1">
      <x v="149"/>
    </i>
    <i r="1">
      <x v="151"/>
    </i>
    <i r="1">
      <x v="156"/>
    </i>
    <i r="1">
      <x v="157"/>
    </i>
    <i>
      <x v="7"/>
    </i>
    <i r="1">
      <x v="57"/>
    </i>
    <i r="1">
      <x v="59"/>
    </i>
    <i r="1">
      <x v="62"/>
    </i>
    <i r="1">
      <x v="65"/>
    </i>
    <i r="1">
      <x v="70"/>
    </i>
    <i r="1">
      <x v="74"/>
    </i>
    <i r="1">
      <x v="75"/>
    </i>
    <i r="1">
      <x v="76"/>
    </i>
    <i r="1">
      <x v="77"/>
    </i>
    <i r="1">
      <x v="80"/>
    </i>
    <i r="1">
      <x v="87"/>
    </i>
    <i r="1">
      <x v="92"/>
    </i>
    <i r="1">
      <x v="98"/>
    </i>
    <i r="1">
      <x v="101"/>
    </i>
    <i r="1">
      <x v="109"/>
    </i>
    <i>
      <x v="8"/>
    </i>
    <i r="1">
      <x v="49"/>
    </i>
    <i r="1">
      <x v="50"/>
    </i>
    <i r="1">
      <x v="51"/>
    </i>
    <i r="1">
      <x v="52"/>
    </i>
    <i r="1">
      <x v="54"/>
    </i>
    <i r="1">
      <x v="75"/>
    </i>
    <i r="1">
      <x v="77"/>
    </i>
    <i r="1">
      <x v="83"/>
    </i>
    <i r="1">
      <x v="107"/>
    </i>
    <i r="1">
      <x v="115"/>
    </i>
    <i>
      <x v="9"/>
    </i>
    <i r="1">
      <x v="36"/>
    </i>
    <i r="1">
      <x v="41"/>
    </i>
    <i r="1">
      <x v="45"/>
    </i>
    <i r="1">
      <x v="48"/>
    </i>
    <i r="1">
      <x v="54"/>
    </i>
    <i r="1">
      <x v="55"/>
    </i>
    <i r="1">
      <x v="56"/>
    </i>
    <i r="1">
      <x v="61"/>
    </i>
    <i r="1">
      <x v="63"/>
    </i>
    <i r="1">
      <x v="66"/>
    </i>
    <i r="1">
      <x v="67"/>
    </i>
    <i r="1">
      <x v="68"/>
    </i>
    <i r="1">
      <x v="71"/>
    </i>
    <i r="1">
      <x v="76"/>
    </i>
    <i r="1">
      <x v="77"/>
    </i>
    <i r="1">
      <x v="87"/>
    </i>
    <i>
      <x v="10"/>
    </i>
    <i r="1">
      <x v="30"/>
    </i>
    <i r="1">
      <x v="38"/>
    </i>
    <i r="1">
      <x v="40"/>
    </i>
    <i r="1">
      <x v="42"/>
    </i>
    <i r="1">
      <x v="50"/>
    </i>
    <i r="1">
      <x v="79"/>
    </i>
    <i r="1">
      <x v="90"/>
    </i>
    <i r="1">
      <x v="94"/>
    </i>
    <i r="1">
      <x v="116"/>
    </i>
    <i r="1">
      <x v="121"/>
    </i>
    <i r="1">
      <x v="128"/>
    </i>
    <i r="1">
      <x v="129"/>
    </i>
    <i r="1">
      <x v="143"/>
    </i>
    <i r="1">
      <x v="144"/>
    </i>
    <i r="1">
      <x v="147"/>
    </i>
    <i r="1">
      <x v="148"/>
    </i>
    <i r="1">
      <x v="150"/>
    </i>
    <i>
      <x v="11"/>
    </i>
    <i r="1">
      <x v="77"/>
    </i>
    <i r="1">
      <x v="81"/>
    </i>
    <i r="1">
      <x v="84"/>
    </i>
    <i r="1">
      <x v="85"/>
    </i>
    <i r="1">
      <x v="86"/>
    </i>
    <i r="1">
      <x v="91"/>
    </i>
    <i r="1">
      <x v="94"/>
    </i>
    <i r="1">
      <x v="95"/>
    </i>
    <i r="1">
      <x v="99"/>
    </i>
    <i r="1">
      <x v="100"/>
    </i>
    <i r="1">
      <x v="103"/>
    </i>
    <i r="1">
      <x v="104"/>
    </i>
    <i r="1">
      <x v="119"/>
    </i>
    <i r="1">
      <x v="122"/>
    </i>
    <i r="1">
      <x v="127"/>
    </i>
    <i t="grand">
      <x/>
    </i>
  </rowItems>
  <colFields count="1">
    <field x="-2"/>
  </colFields>
  <colItems count="2">
    <i>
      <x/>
    </i>
    <i i="1">
      <x v="1"/>
    </i>
  </colItems>
  <pageFields count="1">
    <pageField fld="5" item="0" hier="-1"/>
  </pageFields>
  <dataFields count="2">
    <dataField name="Média de Spread DI+" fld="23" subtotal="average" baseField="34" baseItem="1" numFmtId="10"/>
    <dataField name="Contagem de RiscoPaís (%)" fld="32" subtotal="count" baseField="34" baseItem="1" numFmtId="3"/>
  </dataFields>
  <formats count="2">
    <format dxfId="48">
      <pivotArea outline="0" collapsedLevelsAreSubtotals="1" fieldPosition="0"/>
    </format>
    <format dxfId="4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E1AD73-AB09-4F6E-AF1D-5359BF230FF7}" name="Tabela dinâmica10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V5:V284" firstHeaderRow="1" firstDataRow="1" firstDataCol="1" rowPageCount="2" colPageCount="1"/>
  <pivotFields count="35"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4" showAll="0"/>
    <pivotField numFmtId="3" showAll="0"/>
    <pivotField showAll="0"/>
    <pivotField showAll="0"/>
    <pivotField showAll="0"/>
    <pivotField showAll="0"/>
    <pivotField showAll="0"/>
    <pivotField numFmtId="3" showAll="0"/>
    <pivotField numFmtId="4" showAll="0"/>
    <pivotField showAll="0"/>
    <pivotField showAll="0"/>
    <pivotField showAll="0"/>
    <pivotField axis="axisRow" numFmtId="10" showAll="0">
      <items count="383">
        <item x="254"/>
        <item x="262"/>
        <item x="259"/>
        <item x="287"/>
        <item x="174"/>
        <item x="258"/>
        <item x="284"/>
        <item x="73"/>
        <item x="359"/>
        <item x="361"/>
        <item x="77"/>
        <item x="260"/>
        <item x="263"/>
        <item x="69"/>
        <item x="315"/>
        <item x="368"/>
        <item x="363"/>
        <item x="261"/>
        <item x="338"/>
        <item x="364"/>
        <item x="102"/>
        <item x="301"/>
        <item x="100"/>
        <item x="320"/>
        <item x="76"/>
        <item x="286"/>
        <item x="203"/>
        <item x="298"/>
        <item x="136"/>
        <item x="87"/>
        <item x="318"/>
        <item x="106"/>
        <item x="86"/>
        <item x="141"/>
        <item x="66"/>
        <item x="354"/>
        <item x="35"/>
        <item x="257"/>
        <item x="265"/>
        <item x="140"/>
        <item x="138"/>
        <item x="306"/>
        <item x="280"/>
        <item x="142"/>
        <item x="63"/>
        <item x="344"/>
        <item x="264"/>
        <item x="316"/>
        <item x="321"/>
        <item x="81"/>
        <item x="128"/>
        <item x="300"/>
        <item x="242"/>
        <item x="101"/>
        <item x="51"/>
        <item x="319"/>
        <item x="360"/>
        <item x="32"/>
        <item x="362"/>
        <item x="343"/>
        <item x="308"/>
        <item x="181"/>
        <item x="70"/>
        <item x="82"/>
        <item x="356"/>
        <item x="199"/>
        <item x="240"/>
        <item x="89"/>
        <item x="352"/>
        <item x="281"/>
        <item x="373"/>
        <item x="285"/>
        <item x="379"/>
        <item x="243"/>
        <item x="93"/>
        <item x="297"/>
        <item x="88"/>
        <item x="303"/>
        <item x="296"/>
        <item x="244"/>
        <item x="252"/>
        <item x="143"/>
        <item x="332"/>
        <item x="175"/>
        <item x="241"/>
        <item x="95"/>
        <item x="135"/>
        <item x="370"/>
        <item x="36"/>
        <item x="247"/>
        <item x="130"/>
        <item x="129"/>
        <item x="29"/>
        <item x="293"/>
        <item x="116"/>
        <item x="305"/>
        <item x="15"/>
        <item x="117"/>
        <item x="246"/>
        <item x="83"/>
        <item x="375"/>
        <item x="164"/>
        <item x="245"/>
        <item x="353"/>
        <item x="187"/>
        <item x="202"/>
        <item x="169"/>
        <item x="182"/>
        <item x="188"/>
        <item x="21"/>
        <item x="8"/>
        <item x="0"/>
        <item x="131"/>
        <item x="248"/>
        <item x="132"/>
        <item x="148"/>
        <item x="366"/>
        <item x="378"/>
        <item x="253"/>
        <item x="147"/>
        <item x="341"/>
        <item x="167"/>
        <item x="160"/>
        <item x="166"/>
        <item x="159"/>
        <item x="288"/>
        <item x="52"/>
        <item x="312"/>
        <item x="16"/>
        <item x="249"/>
        <item x="177"/>
        <item x="291"/>
        <item x="165"/>
        <item x="345"/>
        <item x="14"/>
        <item x="134"/>
        <item x="198"/>
        <item x="113"/>
        <item x="18"/>
        <item x="19"/>
        <item x="310"/>
        <item x="62"/>
        <item x="4"/>
        <item x="103"/>
        <item x="12"/>
        <item x="168"/>
        <item x="163"/>
        <item x="172"/>
        <item x="146"/>
        <item x="144"/>
        <item x="94"/>
        <item x="72"/>
        <item x="23"/>
        <item x="337"/>
        <item x="114"/>
        <item x="47"/>
        <item x="22"/>
        <item x="24"/>
        <item x="65"/>
        <item x="191"/>
        <item x="20"/>
        <item x="99"/>
        <item x="61"/>
        <item x="377"/>
        <item x="237"/>
        <item x="279"/>
        <item x="91"/>
        <item x="56"/>
        <item x="180"/>
        <item x="170"/>
        <item x="173"/>
        <item x="271"/>
        <item x="348"/>
        <item x="107"/>
        <item x="64"/>
        <item x="90"/>
        <item x="292"/>
        <item x="346"/>
        <item x="26"/>
        <item x="85"/>
        <item x="309"/>
        <item x="311"/>
        <item x="374"/>
        <item x="376"/>
        <item x="220"/>
        <item x="5"/>
        <item x="272"/>
        <item x="365"/>
        <item x="251"/>
        <item x="1"/>
        <item x="255"/>
        <item x="367"/>
        <item x="112"/>
        <item x="57"/>
        <item x="201"/>
        <item x="109"/>
        <item x="137"/>
        <item x="223"/>
        <item x="371"/>
        <item x="326"/>
        <item x="80"/>
        <item x="7"/>
        <item x="290"/>
        <item x="219"/>
        <item x="313"/>
        <item x="227"/>
        <item x="78"/>
        <item x="55"/>
        <item x="10"/>
        <item x="342"/>
        <item x="13"/>
        <item x="328"/>
        <item x="108"/>
        <item x="327"/>
        <item x="133"/>
        <item x="179"/>
        <item x="325"/>
        <item x="229"/>
        <item x="9"/>
        <item x="355"/>
        <item x="304"/>
        <item x="74"/>
        <item x="17"/>
        <item x="323"/>
        <item x="299"/>
        <item x="218"/>
        <item x="6"/>
        <item x="104"/>
        <item x="282"/>
        <item x="250"/>
        <item x="324"/>
        <item x="196"/>
        <item x="331"/>
        <item x="295"/>
        <item x="351"/>
        <item x="105"/>
        <item x="372"/>
        <item x="111"/>
        <item x="330"/>
        <item x="3"/>
        <item x="329"/>
        <item x="162"/>
        <item x="41"/>
        <item x="200"/>
        <item x="278"/>
        <item x="269"/>
        <item x="124"/>
        <item x="307"/>
        <item x="45"/>
        <item x="208"/>
        <item x="42"/>
        <item x="233"/>
        <item x="192"/>
        <item x="221"/>
        <item x="314"/>
        <item x="276"/>
        <item x="30"/>
        <item x="369"/>
        <item x="189"/>
        <item x="120"/>
        <item x="210"/>
        <item x="71"/>
        <item x="110"/>
        <item x="96"/>
        <item x="235"/>
        <item x="230"/>
        <item x="115"/>
        <item x="27"/>
        <item x="184"/>
        <item x="190"/>
        <item x="46"/>
        <item x="317"/>
        <item x="194"/>
        <item x="31"/>
        <item x="236"/>
        <item x="273"/>
        <item x="40"/>
        <item x="207"/>
        <item x="2"/>
        <item x="205"/>
        <item x="28"/>
        <item x="37"/>
        <item x="204"/>
        <item x="380"/>
        <item x="11"/>
        <item x="176"/>
        <item x="339"/>
        <item x="152"/>
        <item x="44"/>
        <item x="59"/>
        <item x="161"/>
        <item x="234"/>
        <item x="358"/>
        <item x="266"/>
        <item x="211"/>
        <item x="239"/>
        <item x="277"/>
        <item x="209"/>
        <item x="231"/>
        <item x="43"/>
        <item x="216"/>
        <item x="153"/>
        <item x="149"/>
        <item x="67"/>
        <item x="333"/>
        <item x="274"/>
        <item x="238"/>
        <item x="350"/>
        <item x="206"/>
        <item x="322"/>
        <item x="58"/>
        <item x="335"/>
        <item x="357"/>
        <item x="267"/>
        <item x="145"/>
        <item x="126"/>
        <item x="349"/>
        <item x="289"/>
        <item x="302"/>
        <item x="340"/>
        <item x="268"/>
        <item x="197"/>
        <item x="334"/>
        <item x="228"/>
        <item x="212"/>
        <item x="225"/>
        <item x="25"/>
        <item x="171"/>
        <item x="232"/>
        <item x="381"/>
        <item x="122"/>
        <item x="54"/>
        <item x="213"/>
        <item x="270"/>
        <item x="193"/>
        <item x="125"/>
        <item x="121"/>
        <item x="127"/>
        <item x="79"/>
        <item x="185"/>
        <item x="60"/>
        <item x="75"/>
        <item x="178"/>
        <item x="38"/>
        <item x="53"/>
        <item x="186"/>
        <item x="217"/>
        <item x="222"/>
        <item x="118"/>
        <item x="283"/>
        <item x="195"/>
        <item x="347"/>
        <item x="336"/>
        <item x="151"/>
        <item x="98"/>
        <item x="183"/>
        <item x="275"/>
        <item x="92"/>
        <item x="84"/>
        <item x="50"/>
        <item x="157"/>
        <item x="34"/>
        <item x="119"/>
        <item x="48"/>
        <item x="123"/>
        <item x="150"/>
        <item x="294"/>
        <item x="256"/>
        <item x="33"/>
        <item x="97"/>
        <item x="49"/>
        <item x="155"/>
        <item x="156"/>
        <item x="139"/>
        <item x="39"/>
        <item x="154"/>
        <item x="214"/>
        <item x="158"/>
        <item x="68"/>
        <item x="215"/>
        <item x="224"/>
        <item x="22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23"/>
  </rowFields>
  <rowItems count="279">
    <i>
      <x/>
    </i>
    <i>
      <x v="1"/>
    </i>
    <i>
      <x v="2"/>
    </i>
    <i>
      <x v="4"/>
    </i>
    <i>
      <x v="5"/>
    </i>
    <i>
      <x v="11"/>
    </i>
    <i>
      <x v="12"/>
    </i>
    <i>
      <x v="14"/>
    </i>
    <i>
      <x v="17"/>
    </i>
    <i>
      <x v="20"/>
    </i>
    <i>
      <x v="23"/>
    </i>
    <i>
      <x v="26"/>
    </i>
    <i>
      <x v="28"/>
    </i>
    <i>
      <x v="29"/>
    </i>
    <i>
      <x v="30"/>
    </i>
    <i>
      <x v="31"/>
    </i>
    <i>
      <x v="32"/>
    </i>
    <i>
      <x v="35"/>
    </i>
    <i>
      <x v="38"/>
    </i>
    <i>
      <x v="40"/>
    </i>
    <i>
      <x v="44"/>
    </i>
    <i>
      <x v="45"/>
    </i>
    <i>
      <x v="46"/>
    </i>
    <i>
      <x v="47"/>
    </i>
    <i>
      <x v="48"/>
    </i>
    <i>
      <x v="49"/>
    </i>
    <i>
      <x v="50"/>
    </i>
    <i>
      <x v="52"/>
    </i>
    <i>
      <x v="54"/>
    </i>
    <i>
      <x v="55"/>
    </i>
    <i>
      <x v="61"/>
    </i>
    <i>
      <x v="62"/>
    </i>
    <i>
      <x v="63"/>
    </i>
    <i>
      <x v="64"/>
    </i>
    <i>
      <x v="65"/>
    </i>
    <i>
      <x v="67"/>
    </i>
    <i>
      <x v="73"/>
    </i>
    <i>
      <x v="74"/>
    </i>
    <i>
      <x v="76"/>
    </i>
    <i>
      <x v="77"/>
    </i>
    <i>
      <x v="78"/>
    </i>
    <i>
      <x v="82"/>
    </i>
    <i>
      <x v="83"/>
    </i>
    <i>
      <x v="85"/>
    </i>
    <i>
      <x v="90"/>
    </i>
    <i>
      <x v="91"/>
    </i>
    <i>
      <x v="93"/>
    </i>
    <i>
      <x v="94"/>
    </i>
    <i>
      <x v="96"/>
    </i>
    <i>
      <x v="97"/>
    </i>
    <i>
      <x v="98"/>
    </i>
    <i>
      <x v="99"/>
    </i>
    <i>
      <x v="101"/>
    </i>
    <i>
      <x v="104"/>
    </i>
    <i>
      <x v="105"/>
    </i>
    <i>
      <x v="106"/>
    </i>
    <i>
      <x v="108"/>
    </i>
    <i>
      <x v="109"/>
    </i>
    <i>
      <x v="110"/>
    </i>
    <i>
      <x v="111"/>
    </i>
    <i>
      <x v="112"/>
    </i>
    <i>
      <x v="114"/>
    </i>
    <i>
      <x v="121"/>
    </i>
    <i>
      <x v="122"/>
    </i>
    <i>
      <x v="123"/>
    </i>
    <i>
      <x v="124"/>
    </i>
    <i>
      <x v="127"/>
    </i>
    <i>
      <x v="128"/>
    </i>
    <i>
      <x v="129"/>
    </i>
    <i>
      <x v="130"/>
    </i>
    <i>
      <x v="131"/>
    </i>
    <i>
      <x v="132"/>
    </i>
    <i>
      <x v="134"/>
    </i>
    <i>
      <x v="135"/>
    </i>
    <i>
      <x v="136"/>
    </i>
    <i>
      <x v="137"/>
    </i>
    <i>
      <x v="138"/>
    </i>
    <i>
      <x v="139"/>
    </i>
    <i>
      <x v="142"/>
    </i>
    <i>
      <x v="144"/>
    </i>
    <i>
      <x v="145"/>
    </i>
    <i>
      <x v="146"/>
    </i>
    <i>
      <x v="147"/>
    </i>
    <i>
      <x v="150"/>
    </i>
    <i>
      <x v="151"/>
    </i>
    <i>
      <x v="152"/>
    </i>
    <i>
      <x v="154"/>
    </i>
    <i>
      <x v="155"/>
    </i>
    <i>
      <x v="156"/>
    </i>
    <i>
      <x v="157"/>
    </i>
    <i>
      <x v="159"/>
    </i>
    <i>
      <x v="160"/>
    </i>
    <i>
      <x v="161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2"/>
    </i>
    <i>
      <x v="173"/>
    </i>
    <i>
      <x v="175"/>
    </i>
    <i>
      <x v="176"/>
    </i>
    <i>
      <x v="178"/>
    </i>
    <i>
      <x v="179"/>
    </i>
    <i>
      <x v="184"/>
    </i>
    <i>
      <x v="185"/>
    </i>
    <i>
      <x v="186"/>
    </i>
    <i>
      <x v="188"/>
    </i>
    <i>
      <x v="189"/>
    </i>
    <i>
      <x v="192"/>
    </i>
    <i>
      <x v="193"/>
    </i>
    <i>
      <x v="194"/>
    </i>
    <i>
      <x v="195"/>
    </i>
    <i>
      <x v="196"/>
    </i>
    <i>
      <x v="197"/>
    </i>
    <i>
      <x v="199"/>
    </i>
    <i>
      <x v="201"/>
    </i>
    <i>
      <x v="202"/>
    </i>
    <i>
      <x v="203"/>
    </i>
    <i>
      <x v="204"/>
    </i>
    <i>
      <x v="205"/>
    </i>
    <i>
      <x v="207"/>
    </i>
    <i>
      <x v="208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5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6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6"/>
    </i>
    <i>
      <x v="277"/>
    </i>
    <i>
      <x v="278"/>
    </i>
    <i>
      <x v="279"/>
    </i>
    <i>
      <x v="280"/>
    </i>
    <i>
      <x v="282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5"/>
    </i>
    <i>
      <x v="317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 t="grand">
      <x/>
    </i>
  </rowItems>
  <colItems count="1">
    <i/>
  </colItems>
  <pageFields count="2">
    <pageField fld="5" hier="-1"/>
    <pageField fld="31" item="0" hier="-1"/>
  </pageFields>
  <formats count="1">
    <format dxfId="3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43E862-10F6-4C55-AA70-F2C5B613EF18}" name="Tabela dinâmica11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Y5:Y122" firstHeaderRow="1" firstDataRow="1" firstDataCol="1" rowPageCount="2" colPageCount="1"/>
  <pivotFields count="35"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4" showAll="0"/>
    <pivotField numFmtId="3" showAll="0"/>
    <pivotField showAll="0"/>
    <pivotField showAll="0"/>
    <pivotField showAll="0"/>
    <pivotField showAll="0"/>
    <pivotField showAll="0"/>
    <pivotField numFmtId="3" showAll="0"/>
    <pivotField numFmtId="4" showAll="0"/>
    <pivotField showAll="0"/>
    <pivotField showAll="0"/>
    <pivotField showAll="0"/>
    <pivotField axis="axisRow" numFmtId="10" showAll="0">
      <items count="383">
        <item x="254"/>
        <item x="262"/>
        <item x="259"/>
        <item x="287"/>
        <item x="174"/>
        <item x="258"/>
        <item x="284"/>
        <item x="73"/>
        <item x="359"/>
        <item x="361"/>
        <item x="77"/>
        <item x="260"/>
        <item x="263"/>
        <item x="69"/>
        <item x="315"/>
        <item x="368"/>
        <item x="363"/>
        <item x="261"/>
        <item x="338"/>
        <item x="364"/>
        <item x="102"/>
        <item x="301"/>
        <item x="100"/>
        <item x="320"/>
        <item x="76"/>
        <item x="286"/>
        <item x="203"/>
        <item x="298"/>
        <item x="136"/>
        <item x="87"/>
        <item x="318"/>
        <item x="106"/>
        <item x="86"/>
        <item x="141"/>
        <item x="66"/>
        <item x="354"/>
        <item x="35"/>
        <item x="257"/>
        <item x="265"/>
        <item x="140"/>
        <item x="138"/>
        <item x="306"/>
        <item x="280"/>
        <item x="142"/>
        <item x="63"/>
        <item x="344"/>
        <item x="264"/>
        <item x="316"/>
        <item x="321"/>
        <item x="81"/>
        <item x="128"/>
        <item x="300"/>
        <item x="242"/>
        <item x="101"/>
        <item x="51"/>
        <item x="319"/>
        <item x="360"/>
        <item x="32"/>
        <item x="362"/>
        <item x="343"/>
        <item x="308"/>
        <item x="181"/>
        <item x="70"/>
        <item x="82"/>
        <item x="356"/>
        <item x="199"/>
        <item x="240"/>
        <item x="89"/>
        <item x="352"/>
        <item x="281"/>
        <item x="373"/>
        <item x="285"/>
        <item x="379"/>
        <item x="243"/>
        <item x="93"/>
        <item x="297"/>
        <item x="88"/>
        <item x="303"/>
        <item x="296"/>
        <item x="244"/>
        <item x="252"/>
        <item x="143"/>
        <item x="332"/>
        <item x="175"/>
        <item x="241"/>
        <item x="95"/>
        <item x="135"/>
        <item x="370"/>
        <item x="36"/>
        <item x="247"/>
        <item x="130"/>
        <item x="129"/>
        <item x="29"/>
        <item x="293"/>
        <item x="116"/>
        <item x="305"/>
        <item x="15"/>
        <item x="117"/>
        <item x="246"/>
        <item x="83"/>
        <item x="375"/>
        <item x="164"/>
        <item x="245"/>
        <item x="353"/>
        <item x="187"/>
        <item x="202"/>
        <item x="169"/>
        <item x="182"/>
        <item x="188"/>
        <item x="21"/>
        <item x="8"/>
        <item x="0"/>
        <item x="131"/>
        <item x="248"/>
        <item x="132"/>
        <item x="148"/>
        <item x="366"/>
        <item x="378"/>
        <item x="253"/>
        <item x="147"/>
        <item x="341"/>
        <item x="167"/>
        <item x="160"/>
        <item x="166"/>
        <item x="159"/>
        <item x="288"/>
        <item x="52"/>
        <item x="312"/>
        <item x="16"/>
        <item x="249"/>
        <item x="177"/>
        <item x="291"/>
        <item x="165"/>
        <item x="345"/>
        <item x="14"/>
        <item x="134"/>
        <item x="198"/>
        <item x="113"/>
        <item x="18"/>
        <item x="19"/>
        <item x="310"/>
        <item x="62"/>
        <item x="4"/>
        <item x="103"/>
        <item x="12"/>
        <item x="168"/>
        <item x="163"/>
        <item x="172"/>
        <item x="146"/>
        <item x="144"/>
        <item x="94"/>
        <item x="72"/>
        <item x="23"/>
        <item x="337"/>
        <item x="114"/>
        <item x="47"/>
        <item x="22"/>
        <item x="24"/>
        <item x="65"/>
        <item x="191"/>
        <item x="20"/>
        <item x="99"/>
        <item x="61"/>
        <item x="377"/>
        <item x="237"/>
        <item x="279"/>
        <item x="91"/>
        <item x="56"/>
        <item x="180"/>
        <item x="170"/>
        <item x="173"/>
        <item x="271"/>
        <item x="348"/>
        <item x="107"/>
        <item x="64"/>
        <item x="90"/>
        <item x="292"/>
        <item x="346"/>
        <item x="26"/>
        <item x="85"/>
        <item x="309"/>
        <item x="311"/>
        <item x="374"/>
        <item x="376"/>
        <item x="220"/>
        <item x="5"/>
        <item x="272"/>
        <item x="365"/>
        <item x="251"/>
        <item x="1"/>
        <item x="255"/>
        <item x="367"/>
        <item x="112"/>
        <item x="57"/>
        <item x="201"/>
        <item x="109"/>
        <item x="137"/>
        <item x="223"/>
        <item x="371"/>
        <item x="326"/>
        <item x="80"/>
        <item x="7"/>
        <item x="290"/>
        <item x="219"/>
        <item x="313"/>
        <item x="227"/>
        <item x="78"/>
        <item x="55"/>
        <item x="10"/>
        <item x="342"/>
        <item x="13"/>
        <item x="328"/>
        <item x="108"/>
        <item x="327"/>
        <item x="133"/>
        <item x="179"/>
        <item x="325"/>
        <item x="229"/>
        <item x="9"/>
        <item x="355"/>
        <item x="304"/>
        <item x="74"/>
        <item x="17"/>
        <item x="323"/>
        <item x="299"/>
        <item x="218"/>
        <item x="6"/>
        <item x="104"/>
        <item x="282"/>
        <item x="250"/>
        <item x="324"/>
        <item x="196"/>
        <item x="331"/>
        <item x="295"/>
        <item x="351"/>
        <item x="105"/>
        <item x="372"/>
        <item x="111"/>
        <item x="330"/>
        <item x="3"/>
        <item x="329"/>
        <item x="162"/>
        <item x="41"/>
        <item x="200"/>
        <item x="278"/>
        <item x="269"/>
        <item x="124"/>
        <item x="307"/>
        <item x="45"/>
        <item x="208"/>
        <item x="42"/>
        <item x="233"/>
        <item x="192"/>
        <item x="221"/>
        <item x="314"/>
        <item x="276"/>
        <item x="30"/>
        <item x="369"/>
        <item x="189"/>
        <item x="120"/>
        <item x="210"/>
        <item x="71"/>
        <item x="110"/>
        <item x="96"/>
        <item x="235"/>
        <item x="230"/>
        <item x="115"/>
        <item x="27"/>
        <item x="184"/>
        <item x="190"/>
        <item x="46"/>
        <item x="317"/>
        <item x="194"/>
        <item x="31"/>
        <item x="236"/>
        <item x="273"/>
        <item x="40"/>
        <item x="207"/>
        <item x="2"/>
        <item x="205"/>
        <item x="28"/>
        <item x="37"/>
        <item x="204"/>
        <item x="380"/>
        <item x="11"/>
        <item x="176"/>
        <item x="339"/>
        <item x="152"/>
        <item x="44"/>
        <item x="59"/>
        <item x="161"/>
        <item x="234"/>
        <item x="358"/>
        <item x="266"/>
        <item x="211"/>
        <item x="239"/>
        <item x="277"/>
        <item x="209"/>
        <item x="231"/>
        <item x="43"/>
        <item x="216"/>
        <item x="153"/>
        <item x="149"/>
        <item x="67"/>
        <item x="333"/>
        <item x="274"/>
        <item x="238"/>
        <item x="350"/>
        <item x="206"/>
        <item x="322"/>
        <item x="58"/>
        <item x="335"/>
        <item x="357"/>
        <item x="267"/>
        <item x="145"/>
        <item x="126"/>
        <item x="349"/>
        <item x="289"/>
        <item x="302"/>
        <item x="340"/>
        <item x="268"/>
        <item x="197"/>
        <item x="334"/>
        <item x="228"/>
        <item x="212"/>
        <item x="225"/>
        <item x="25"/>
        <item x="171"/>
        <item x="232"/>
        <item x="381"/>
        <item x="122"/>
        <item x="54"/>
        <item x="213"/>
        <item x="270"/>
        <item x="193"/>
        <item x="125"/>
        <item x="121"/>
        <item x="127"/>
        <item x="79"/>
        <item x="185"/>
        <item x="60"/>
        <item x="75"/>
        <item x="178"/>
        <item x="38"/>
        <item x="53"/>
        <item x="186"/>
        <item x="217"/>
        <item x="222"/>
        <item x="118"/>
        <item x="283"/>
        <item x="195"/>
        <item x="347"/>
        <item x="336"/>
        <item x="151"/>
        <item x="98"/>
        <item x="183"/>
        <item x="275"/>
        <item x="92"/>
        <item x="84"/>
        <item x="50"/>
        <item x="157"/>
        <item x="34"/>
        <item x="119"/>
        <item x="48"/>
        <item x="123"/>
        <item x="150"/>
        <item x="294"/>
        <item x="256"/>
        <item x="33"/>
        <item x="97"/>
        <item x="49"/>
        <item x="155"/>
        <item x="156"/>
        <item x="139"/>
        <item x="39"/>
        <item x="154"/>
        <item x="214"/>
        <item x="158"/>
        <item x="68"/>
        <item x="215"/>
        <item x="224"/>
        <item x="22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23"/>
  </rowFields>
  <rowItems count="117">
    <i>
      <x v="3"/>
    </i>
    <i>
      <x v="6"/>
    </i>
    <i>
      <x v="7"/>
    </i>
    <i>
      <x v="8"/>
    </i>
    <i>
      <x v="9"/>
    </i>
    <i>
      <x v="10"/>
    </i>
    <i>
      <x v="13"/>
    </i>
    <i>
      <x v="15"/>
    </i>
    <i>
      <x v="16"/>
    </i>
    <i>
      <x v="18"/>
    </i>
    <i>
      <x v="19"/>
    </i>
    <i>
      <x v="21"/>
    </i>
    <i>
      <x v="22"/>
    </i>
    <i>
      <x v="24"/>
    </i>
    <i>
      <x v="25"/>
    </i>
    <i>
      <x v="27"/>
    </i>
    <i>
      <x v="33"/>
    </i>
    <i>
      <x v="34"/>
    </i>
    <i>
      <x v="36"/>
    </i>
    <i>
      <x v="37"/>
    </i>
    <i>
      <x v="39"/>
    </i>
    <i>
      <x v="41"/>
    </i>
    <i>
      <x v="42"/>
    </i>
    <i>
      <x v="43"/>
    </i>
    <i>
      <x v="51"/>
    </i>
    <i>
      <x v="53"/>
    </i>
    <i>
      <x v="54"/>
    </i>
    <i>
      <x v="56"/>
    </i>
    <i>
      <x v="57"/>
    </i>
    <i>
      <x v="58"/>
    </i>
    <i>
      <x v="59"/>
    </i>
    <i>
      <x v="60"/>
    </i>
    <i>
      <x v="66"/>
    </i>
    <i>
      <x v="68"/>
    </i>
    <i>
      <x v="69"/>
    </i>
    <i>
      <x v="70"/>
    </i>
    <i>
      <x v="71"/>
    </i>
    <i>
      <x v="72"/>
    </i>
    <i>
      <x v="75"/>
    </i>
    <i>
      <x v="79"/>
    </i>
    <i>
      <x v="80"/>
    </i>
    <i>
      <x v="81"/>
    </i>
    <i>
      <x v="84"/>
    </i>
    <i>
      <x v="86"/>
    </i>
    <i>
      <x v="87"/>
    </i>
    <i>
      <x v="88"/>
    </i>
    <i>
      <x v="89"/>
    </i>
    <i>
      <x v="91"/>
    </i>
    <i>
      <x v="92"/>
    </i>
    <i>
      <x v="95"/>
    </i>
    <i>
      <x v="100"/>
    </i>
    <i>
      <x v="102"/>
    </i>
    <i>
      <x v="103"/>
    </i>
    <i>
      <x v="105"/>
    </i>
    <i>
      <x v="107"/>
    </i>
    <i>
      <x v="112"/>
    </i>
    <i>
      <x v="113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5"/>
    </i>
    <i>
      <x v="126"/>
    </i>
    <i>
      <x v="133"/>
    </i>
    <i>
      <x v="140"/>
    </i>
    <i>
      <x v="141"/>
    </i>
    <i>
      <x v="143"/>
    </i>
    <i>
      <x v="148"/>
    </i>
    <i>
      <x v="149"/>
    </i>
    <i>
      <x v="151"/>
    </i>
    <i>
      <x v="153"/>
    </i>
    <i>
      <x v="158"/>
    </i>
    <i>
      <x v="161"/>
    </i>
    <i>
      <x v="162"/>
    </i>
    <i>
      <x v="163"/>
    </i>
    <i>
      <x v="171"/>
    </i>
    <i>
      <x v="174"/>
    </i>
    <i>
      <x v="177"/>
    </i>
    <i>
      <x v="180"/>
    </i>
    <i>
      <x v="181"/>
    </i>
    <i>
      <x v="182"/>
    </i>
    <i>
      <x v="183"/>
    </i>
    <i>
      <x v="187"/>
    </i>
    <i>
      <x v="190"/>
    </i>
    <i>
      <x v="191"/>
    </i>
    <i>
      <x v="193"/>
    </i>
    <i>
      <x v="198"/>
    </i>
    <i>
      <x v="200"/>
    </i>
    <i>
      <x v="201"/>
    </i>
    <i>
      <x v="206"/>
    </i>
    <i>
      <x v="209"/>
    </i>
    <i>
      <x v="224"/>
    </i>
    <i>
      <x v="234"/>
    </i>
    <i>
      <x v="236"/>
    </i>
    <i>
      <x v="246"/>
    </i>
    <i>
      <x v="255"/>
    </i>
    <i>
      <x v="257"/>
    </i>
    <i>
      <x v="273"/>
    </i>
    <i>
      <x v="275"/>
    </i>
    <i>
      <x v="278"/>
    </i>
    <i>
      <x v="281"/>
    </i>
    <i>
      <x v="283"/>
    </i>
    <i>
      <x v="303"/>
    </i>
    <i>
      <x v="310"/>
    </i>
    <i>
      <x v="313"/>
    </i>
    <i>
      <x v="314"/>
    </i>
    <i>
      <x v="316"/>
    </i>
    <i>
      <x v="318"/>
    </i>
    <i>
      <x v="319"/>
    </i>
    <i>
      <x v="329"/>
    </i>
    <i>
      <x v="340"/>
    </i>
    <i>
      <x v="351"/>
    </i>
    <i>
      <x v="361"/>
    </i>
    <i t="grand">
      <x/>
    </i>
  </rowItems>
  <colItems count="1">
    <i/>
  </colItems>
  <pageFields count="2">
    <pageField fld="5" hier="-1"/>
    <pageField fld="31" item="1" hier="-1"/>
  </pageFields>
  <formats count="1">
    <format dxfId="3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5751E4-C8C2-4ADF-89CF-1F8EA3ED3E90}" name="Tabela dinâmica9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P5:P183" firstHeaderRow="1" firstDataRow="1" firstDataCol="1" rowPageCount="2" colPageCount="1"/>
  <pivotFields count="35"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4" showAll="0"/>
    <pivotField numFmtId="3" showAll="0"/>
    <pivotField showAll="0"/>
    <pivotField showAll="0"/>
    <pivotField showAll="0"/>
    <pivotField showAll="0"/>
    <pivotField showAll="0"/>
    <pivotField numFmtId="3" showAll="0"/>
    <pivotField numFmtId="4" showAll="0"/>
    <pivotField showAll="0"/>
    <pivotField showAll="0"/>
    <pivotField showAll="0"/>
    <pivotField axis="axisRow" numFmtId="10" showAll="0">
      <items count="383">
        <item x="254"/>
        <item x="262"/>
        <item x="259"/>
        <item x="287"/>
        <item x="174"/>
        <item x="258"/>
        <item x="284"/>
        <item x="73"/>
        <item x="359"/>
        <item x="361"/>
        <item x="77"/>
        <item x="260"/>
        <item x="263"/>
        <item x="69"/>
        <item x="315"/>
        <item x="368"/>
        <item x="363"/>
        <item x="261"/>
        <item x="338"/>
        <item x="364"/>
        <item x="102"/>
        <item x="301"/>
        <item x="100"/>
        <item x="320"/>
        <item x="76"/>
        <item x="286"/>
        <item x="203"/>
        <item x="298"/>
        <item x="136"/>
        <item x="87"/>
        <item x="318"/>
        <item x="106"/>
        <item x="86"/>
        <item x="141"/>
        <item x="66"/>
        <item x="354"/>
        <item x="35"/>
        <item x="257"/>
        <item x="265"/>
        <item x="140"/>
        <item x="138"/>
        <item x="306"/>
        <item x="280"/>
        <item x="142"/>
        <item x="63"/>
        <item x="344"/>
        <item x="264"/>
        <item x="316"/>
        <item x="321"/>
        <item x="81"/>
        <item x="128"/>
        <item x="300"/>
        <item x="242"/>
        <item x="101"/>
        <item x="51"/>
        <item x="319"/>
        <item x="360"/>
        <item x="32"/>
        <item x="362"/>
        <item x="343"/>
        <item x="308"/>
        <item x="181"/>
        <item x="70"/>
        <item x="82"/>
        <item x="356"/>
        <item x="199"/>
        <item x="240"/>
        <item x="89"/>
        <item x="352"/>
        <item x="281"/>
        <item x="373"/>
        <item x="285"/>
        <item x="379"/>
        <item x="243"/>
        <item x="93"/>
        <item x="297"/>
        <item x="88"/>
        <item x="303"/>
        <item x="296"/>
        <item x="244"/>
        <item x="252"/>
        <item x="143"/>
        <item x="332"/>
        <item x="175"/>
        <item x="241"/>
        <item x="95"/>
        <item x="135"/>
        <item x="370"/>
        <item x="36"/>
        <item x="247"/>
        <item x="130"/>
        <item x="129"/>
        <item x="29"/>
        <item x="293"/>
        <item x="116"/>
        <item x="305"/>
        <item x="15"/>
        <item x="117"/>
        <item x="246"/>
        <item x="83"/>
        <item x="375"/>
        <item x="164"/>
        <item x="245"/>
        <item x="353"/>
        <item x="187"/>
        <item x="202"/>
        <item x="169"/>
        <item x="182"/>
        <item x="188"/>
        <item x="21"/>
        <item x="8"/>
        <item x="0"/>
        <item x="131"/>
        <item x="248"/>
        <item x="132"/>
        <item x="148"/>
        <item x="366"/>
        <item x="378"/>
        <item x="253"/>
        <item x="147"/>
        <item x="341"/>
        <item x="167"/>
        <item x="160"/>
        <item x="166"/>
        <item x="159"/>
        <item x="288"/>
        <item x="52"/>
        <item x="312"/>
        <item x="16"/>
        <item x="249"/>
        <item x="177"/>
        <item x="291"/>
        <item x="165"/>
        <item x="345"/>
        <item x="14"/>
        <item x="134"/>
        <item x="198"/>
        <item x="113"/>
        <item x="18"/>
        <item x="19"/>
        <item x="310"/>
        <item x="62"/>
        <item x="4"/>
        <item x="103"/>
        <item x="12"/>
        <item x="168"/>
        <item x="163"/>
        <item x="172"/>
        <item x="146"/>
        <item x="144"/>
        <item x="94"/>
        <item x="72"/>
        <item x="23"/>
        <item x="337"/>
        <item x="114"/>
        <item x="47"/>
        <item x="22"/>
        <item x="24"/>
        <item x="65"/>
        <item x="191"/>
        <item x="20"/>
        <item x="99"/>
        <item x="61"/>
        <item x="377"/>
        <item x="237"/>
        <item x="279"/>
        <item x="91"/>
        <item x="56"/>
        <item x="180"/>
        <item x="170"/>
        <item x="173"/>
        <item x="271"/>
        <item x="348"/>
        <item x="107"/>
        <item x="64"/>
        <item x="90"/>
        <item x="292"/>
        <item x="346"/>
        <item x="26"/>
        <item x="85"/>
        <item x="309"/>
        <item x="311"/>
        <item x="374"/>
        <item x="376"/>
        <item x="220"/>
        <item x="5"/>
        <item x="272"/>
        <item x="365"/>
        <item x="251"/>
        <item x="1"/>
        <item x="255"/>
        <item x="367"/>
        <item x="112"/>
        <item x="57"/>
        <item x="201"/>
        <item x="109"/>
        <item x="137"/>
        <item x="223"/>
        <item x="371"/>
        <item x="326"/>
        <item x="80"/>
        <item x="7"/>
        <item x="290"/>
        <item x="219"/>
        <item x="313"/>
        <item x="227"/>
        <item x="78"/>
        <item x="55"/>
        <item x="10"/>
        <item x="342"/>
        <item x="13"/>
        <item x="328"/>
        <item x="108"/>
        <item x="327"/>
        <item x="133"/>
        <item x="179"/>
        <item x="325"/>
        <item x="229"/>
        <item x="9"/>
        <item x="355"/>
        <item x="304"/>
        <item x="74"/>
        <item x="17"/>
        <item x="323"/>
        <item x="299"/>
        <item x="218"/>
        <item x="6"/>
        <item x="104"/>
        <item x="282"/>
        <item x="250"/>
        <item x="324"/>
        <item x="196"/>
        <item x="331"/>
        <item x="295"/>
        <item x="351"/>
        <item x="105"/>
        <item x="372"/>
        <item x="111"/>
        <item x="330"/>
        <item x="3"/>
        <item x="329"/>
        <item x="162"/>
        <item x="41"/>
        <item x="200"/>
        <item x="278"/>
        <item x="269"/>
        <item x="124"/>
        <item x="307"/>
        <item x="45"/>
        <item x="208"/>
        <item x="42"/>
        <item x="233"/>
        <item x="192"/>
        <item x="221"/>
        <item x="314"/>
        <item x="276"/>
        <item x="30"/>
        <item x="369"/>
        <item x="189"/>
        <item x="120"/>
        <item x="210"/>
        <item x="71"/>
        <item x="110"/>
        <item x="96"/>
        <item x="235"/>
        <item x="230"/>
        <item x="115"/>
        <item x="27"/>
        <item x="184"/>
        <item x="190"/>
        <item x="46"/>
        <item x="317"/>
        <item x="194"/>
        <item x="31"/>
        <item x="236"/>
        <item x="273"/>
        <item x="40"/>
        <item x="207"/>
        <item x="2"/>
        <item x="205"/>
        <item x="28"/>
        <item x="37"/>
        <item x="204"/>
        <item x="380"/>
        <item x="11"/>
        <item x="176"/>
        <item x="339"/>
        <item x="152"/>
        <item x="44"/>
        <item x="59"/>
        <item x="161"/>
        <item x="234"/>
        <item x="358"/>
        <item x="266"/>
        <item x="211"/>
        <item x="239"/>
        <item x="277"/>
        <item x="209"/>
        <item x="231"/>
        <item x="43"/>
        <item x="216"/>
        <item x="153"/>
        <item x="149"/>
        <item x="67"/>
        <item x="333"/>
        <item x="274"/>
        <item x="238"/>
        <item x="350"/>
        <item x="206"/>
        <item x="322"/>
        <item x="58"/>
        <item x="335"/>
        <item x="357"/>
        <item x="267"/>
        <item x="145"/>
        <item x="126"/>
        <item x="349"/>
        <item x="289"/>
        <item x="302"/>
        <item x="340"/>
        <item x="268"/>
        <item x="197"/>
        <item x="334"/>
        <item x="228"/>
        <item x="212"/>
        <item x="225"/>
        <item x="25"/>
        <item x="171"/>
        <item x="232"/>
        <item x="381"/>
        <item x="122"/>
        <item x="54"/>
        <item x="213"/>
        <item x="270"/>
        <item x="193"/>
        <item x="125"/>
        <item x="121"/>
        <item x="127"/>
        <item x="79"/>
        <item x="185"/>
        <item x="60"/>
        <item x="75"/>
        <item x="178"/>
        <item x="38"/>
        <item x="53"/>
        <item x="186"/>
        <item x="217"/>
        <item x="222"/>
        <item x="118"/>
        <item x="283"/>
        <item x="195"/>
        <item x="347"/>
        <item x="336"/>
        <item x="151"/>
        <item x="98"/>
        <item x="183"/>
        <item x="275"/>
        <item x="92"/>
        <item x="84"/>
        <item x="50"/>
        <item x="157"/>
        <item x="34"/>
        <item x="119"/>
        <item x="48"/>
        <item x="123"/>
        <item x="150"/>
        <item x="294"/>
        <item x="256"/>
        <item x="33"/>
        <item x="97"/>
        <item x="49"/>
        <item x="155"/>
        <item x="156"/>
        <item x="139"/>
        <item x="39"/>
        <item x="154"/>
        <item x="214"/>
        <item x="158"/>
        <item x="68"/>
        <item x="215"/>
        <item x="224"/>
        <item x="22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23"/>
  </rowFields>
  <rowItems count="178">
    <i>
      <x/>
    </i>
    <i>
      <x v="1"/>
    </i>
    <i>
      <x v="2"/>
    </i>
    <i>
      <x v="4"/>
    </i>
    <i>
      <x v="5"/>
    </i>
    <i>
      <x v="11"/>
    </i>
    <i>
      <x v="12"/>
    </i>
    <i>
      <x v="14"/>
    </i>
    <i>
      <x v="17"/>
    </i>
    <i>
      <x v="20"/>
    </i>
    <i>
      <x v="23"/>
    </i>
    <i>
      <x v="26"/>
    </i>
    <i>
      <x v="28"/>
    </i>
    <i>
      <x v="29"/>
    </i>
    <i>
      <x v="30"/>
    </i>
    <i>
      <x v="31"/>
    </i>
    <i>
      <x v="32"/>
    </i>
    <i>
      <x v="35"/>
    </i>
    <i>
      <x v="38"/>
    </i>
    <i>
      <x v="40"/>
    </i>
    <i>
      <x v="46"/>
    </i>
    <i>
      <x v="47"/>
    </i>
    <i>
      <x v="48"/>
    </i>
    <i>
      <x v="49"/>
    </i>
    <i>
      <x v="50"/>
    </i>
    <i>
      <x v="52"/>
    </i>
    <i>
      <x v="54"/>
    </i>
    <i>
      <x v="55"/>
    </i>
    <i>
      <x v="62"/>
    </i>
    <i>
      <x v="63"/>
    </i>
    <i>
      <x v="65"/>
    </i>
    <i>
      <x v="67"/>
    </i>
    <i>
      <x v="73"/>
    </i>
    <i>
      <x v="74"/>
    </i>
    <i>
      <x v="76"/>
    </i>
    <i>
      <x v="77"/>
    </i>
    <i>
      <x v="82"/>
    </i>
    <i>
      <x v="83"/>
    </i>
    <i>
      <x v="85"/>
    </i>
    <i>
      <x v="90"/>
    </i>
    <i>
      <x v="91"/>
    </i>
    <i>
      <x v="93"/>
    </i>
    <i>
      <x v="94"/>
    </i>
    <i>
      <x v="96"/>
    </i>
    <i>
      <x v="97"/>
    </i>
    <i>
      <x v="98"/>
    </i>
    <i>
      <x v="99"/>
    </i>
    <i>
      <x v="101"/>
    </i>
    <i>
      <x v="104"/>
    </i>
    <i>
      <x v="105"/>
    </i>
    <i>
      <x v="108"/>
    </i>
    <i>
      <x v="109"/>
    </i>
    <i>
      <x v="110"/>
    </i>
    <i>
      <x v="111"/>
    </i>
    <i>
      <x v="112"/>
    </i>
    <i>
      <x v="114"/>
    </i>
    <i>
      <x v="121"/>
    </i>
    <i>
      <x v="122"/>
    </i>
    <i>
      <x v="123"/>
    </i>
    <i>
      <x v="124"/>
    </i>
    <i>
      <x v="127"/>
    </i>
    <i>
      <x v="128"/>
    </i>
    <i>
      <x v="129"/>
    </i>
    <i>
      <x v="130"/>
    </i>
    <i>
      <x v="131"/>
    </i>
    <i>
      <x v="132"/>
    </i>
    <i>
      <x v="134"/>
    </i>
    <i>
      <x v="136"/>
    </i>
    <i>
      <x v="138"/>
    </i>
    <i>
      <x v="139"/>
    </i>
    <i>
      <x v="142"/>
    </i>
    <i>
      <x v="144"/>
    </i>
    <i>
      <x v="145"/>
    </i>
    <i>
      <x v="146"/>
    </i>
    <i>
      <x v="147"/>
    </i>
    <i>
      <x v="150"/>
    </i>
    <i>
      <x v="151"/>
    </i>
    <i>
      <x v="152"/>
    </i>
    <i>
      <x v="155"/>
    </i>
    <i>
      <x v="156"/>
    </i>
    <i>
      <x v="157"/>
    </i>
    <i>
      <x v="159"/>
    </i>
    <i>
      <x v="160"/>
    </i>
    <i>
      <x v="161"/>
    </i>
    <i>
      <x v="164"/>
    </i>
    <i>
      <x v="166"/>
    </i>
    <i>
      <x v="167"/>
    </i>
    <i>
      <x v="169"/>
    </i>
    <i>
      <x v="173"/>
    </i>
    <i>
      <x v="175"/>
    </i>
    <i>
      <x v="176"/>
    </i>
    <i>
      <x v="178"/>
    </i>
    <i>
      <x v="179"/>
    </i>
    <i>
      <x v="185"/>
    </i>
    <i>
      <x v="193"/>
    </i>
    <i>
      <x v="194"/>
    </i>
    <i>
      <x v="195"/>
    </i>
    <i>
      <x v="196"/>
    </i>
    <i>
      <x v="199"/>
    </i>
    <i>
      <x v="201"/>
    </i>
    <i>
      <x v="202"/>
    </i>
    <i>
      <x v="204"/>
    </i>
    <i>
      <x v="205"/>
    </i>
    <i>
      <x v="207"/>
    </i>
    <i>
      <x v="208"/>
    </i>
    <i>
      <x v="210"/>
    </i>
    <i>
      <x v="211"/>
    </i>
    <i>
      <x v="212"/>
    </i>
    <i>
      <x v="213"/>
    </i>
    <i>
      <x v="216"/>
    </i>
    <i>
      <x v="217"/>
    </i>
    <i>
      <x v="220"/>
    </i>
    <i>
      <x v="222"/>
    </i>
    <i>
      <x v="226"/>
    </i>
    <i>
      <x v="227"/>
    </i>
    <i>
      <x v="230"/>
    </i>
    <i>
      <x v="231"/>
    </i>
    <i>
      <x v="232"/>
    </i>
    <i>
      <x v="233"/>
    </i>
    <i>
      <x v="235"/>
    </i>
    <i>
      <x v="238"/>
    </i>
    <i>
      <x v="239"/>
    </i>
    <i>
      <x v="240"/>
    </i>
    <i>
      <x v="242"/>
    </i>
    <i>
      <x v="243"/>
    </i>
    <i>
      <x v="247"/>
    </i>
    <i>
      <x v="248"/>
    </i>
    <i>
      <x v="250"/>
    </i>
    <i>
      <x v="251"/>
    </i>
    <i>
      <x v="252"/>
    </i>
    <i>
      <x v="254"/>
    </i>
    <i>
      <x v="256"/>
    </i>
    <i>
      <x v="258"/>
    </i>
    <i>
      <x v="261"/>
    </i>
    <i>
      <x v="262"/>
    </i>
    <i>
      <x v="263"/>
    </i>
    <i>
      <x v="264"/>
    </i>
    <i>
      <x v="265"/>
    </i>
    <i>
      <x v="269"/>
    </i>
    <i>
      <x v="270"/>
    </i>
    <i>
      <x v="271"/>
    </i>
    <i>
      <x v="272"/>
    </i>
    <i>
      <x v="273"/>
    </i>
    <i>
      <x v="274"/>
    </i>
    <i>
      <x v="276"/>
    </i>
    <i>
      <x v="277"/>
    </i>
    <i>
      <x v="278"/>
    </i>
    <i>
      <x v="284"/>
    </i>
    <i>
      <x v="288"/>
    </i>
    <i>
      <x v="291"/>
    </i>
    <i>
      <x v="298"/>
    </i>
    <i>
      <x v="299"/>
    </i>
    <i>
      <x v="302"/>
    </i>
    <i>
      <x v="304"/>
    </i>
    <i>
      <x v="308"/>
    </i>
    <i>
      <x v="310"/>
    </i>
    <i>
      <x v="315"/>
    </i>
    <i>
      <x v="317"/>
    </i>
    <i>
      <x v="321"/>
    </i>
    <i>
      <x v="323"/>
    </i>
    <i>
      <x v="326"/>
    </i>
    <i>
      <x v="327"/>
    </i>
    <i>
      <x v="328"/>
    </i>
    <i>
      <x v="331"/>
    </i>
    <i>
      <x v="334"/>
    </i>
    <i>
      <x v="339"/>
    </i>
    <i>
      <x v="343"/>
    </i>
    <i>
      <x v="344"/>
    </i>
    <i>
      <x v="345"/>
    </i>
    <i>
      <x v="350"/>
    </i>
    <i>
      <x v="353"/>
    </i>
    <i>
      <x v="357"/>
    </i>
    <i>
      <x v="358"/>
    </i>
    <i>
      <x v="363"/>
    </i>
    <i>
      <x v="365"/>
    </i>
    <i>
      <x v="366"/>
    </i>
    <i>
      <x v="368"/>
    </i>
    <i t="grand">
      <x/>
    </i>
  </rowItems>
  <colItems count="1">
    <i/>
  </colItems>
  <pageFields count="2">
    <pageField fld="5" item="1" hier="-1"/>
    <pageField fld="31" item="0" hier="-1"/>
  </pageFields>
  <formats count="1">
    <format dxfId="3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C0876F-89D5-42B4-B4DB-B1FDEEE2E134}" name="Tabela dinâmica8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S5:S65" firstHeaderRow="1" firstDataRow="1" firstDataCol="1" rowPageCount="2" colPageCount="1"/>
  <pivotFields count="35"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4" showAll="0"/>
    <pivotField numFmtId="3" showAll="0"/>
    <pivotField showAll="0"/>
    <pivotField showAll="0"/>
    <pivotField showAll="0"/>
    <pivotField showAll="0"/>
    <pivotField showAll="0"/>
    <pivotField numFmtId="3" showAll="0"/>
    <pivotField numFmtId="4" showAll="0"/>
    <pivotField showAll="0"/>
    <pivotField showAll="0"/>
    <pivotField showAll="0"/>
    <pivotField axis="axisRow" numFmtId="10" showAll="0">
      <items count="383">
        <item x="254"/>
        <item x="262"/>
        <item x="259"/>
        <item x="287"/>
        <item x="174"/>
        <item x="258"/>
        <item x="284"/>
        <item x="73"/>
        <item x="359"/>
        <item x="361"/>
        <item x="77"/>
        <item x="260"/>
        <item x="263"/>
        <item x="69"/>
        <item x="315"/>
        <item x="368"/>
        <item x="363"/>
        <item x="261"/>
        <item x="338"/>
        <item x="364"/>
        <item x="102"/>
        <item x="301"/>
        <item x="100"/>
        <item x="320"/>
        <item x="76"/>
        <item x="286"/>
        <item x="203"/>
        <item x="298"/>
        <item x="136"/>
        <item x="87"/>
        <item x="318"/>
        <item x="106"/>
        <item x="86"/>
        <item x="141"/>
        <item x="66"/>
        <item x="354"/>
        <item x="35"/>
        <item x="257"/>
        <item x="265"/>
        <item x="140"/>
        <item x="138"/>
        <item x="306"/>
        <item x="280"/>
        <item x="142"/>
        <item x="63"/>
        <item x="344"/>
        <item x="264"/>
        <item x="316"/>
        <item x="321"/>
        <item x="81"/>
        <item x="128"/>
        <item x="300"/>
        <item x="242"/>
        <item x="101"/>
        <item x="51"/>
        <item x="319"/>
        <item x="360"/>
        <item x="32"/>
        <item x="362"/>
        <item x="343"/>
        <item x="308"/>
        <item x="181"/>
        <item x="70"/>
        <item x="82"/>
        <item x="356"/>
        <item x="199"/>
        <item x="240"/>
        <item x="89"/>
        <item x="352"/>
        <item x="281"/>
        <item x="373"/>
        <item x="285"/>
        <item x="379"/>
        <item x="243"/>
        <item x="93"/>
        <item x="297"/>
        <item x="88"/>
        <item x="303"/>
        <item x="296"/>
        <item x="244"/>
        <item x="252"/>
        <item x="143"/>
        <item x="332"/>
        <item x="175"/>
        <item x="241"/>
        <item x="95"/>
        <item x="135"/>
        <item x="370"/>
        <item x="36"/>
        <item x="247"/>
        <item x="130"/>
        <item x="129"/>
        <item x="29"/>
        <item x="293"/>
        <item x="116"/>
        <item x="305"/>
        <item x="15"/>
        <item x="117"/>
        <item x="246"/>
        <item x="83"/>
        <item x="375"/>
        <item x="164"/>
        <item x="245"/>
        <item x="353"/>
        <item x="187"/>
        <item x="202"/>
        <item x="169"/>
        <item x="182"/>
        <item x="188"/>
        <item x="21"/>
        <item x="8"/>
        <item x="0"/>
        <item x="131"/>
        <item x="248"/>
        <item x="132"/>
        <item x="148"/>
        <item x="366"/>
        <item x="378"/>
        <item x="253"/>
        <item x="147"/>
        <item x="341"/>
        <item x="167"/>
        <item x="160"/>
        <item x="166"/>
        <item x="159"/>
        <item x="288"/>
        <item x="52"/>
        <item x="312"/>
        <item x="16"/>
        <item x="249"/>
        <item x="177"/>
        <item x="291"/>
        <item x="165"/>
        <item x="345"/>
        <item x="14"/>
        <item x="134"/>
        <item x="198"/>
        <item x="113"/>
        <item x="18"/>
        <item x="19"/>
        <item x="310"/>
        <item x="62"/>
        <item x="4"/>
        <item x="103"/>
        <item x="12"/>
        <item x="168"/>
        <item x="163"/>
        <item x="172"/>
        <item x="146"/>
        <item x="144"/>
        <item x="94"/>
        <item x="72"/>
        <item x="23"/>
        <item x="337"/>
        <item x="114"/>
        <item x="47"/>
        <item x="22"/>
        <item x="24"/>
        <item x="65"/>
        <item x="191"/>
        <item x="20"/>
        <item x="99"/>
        <item x="61"/>
        <item x="377"/>
        <item x="237"/>
        <item x="279"/>
        <item x="91"/>
        <item x="56"/>
        <item x="180"/>
        <item x="170"/>
        <item x="173"/>
        <item x="271"/>
        <item x="348"/>
        <item x="107"/>
        <item x="64"/>
        <item x="90"/>
        <item x="292"/>
        <item x="346"/>
        <item x="26"/>
        <item x="85"/>
        <item x="309"/>
        <item x="311"/>
        <item x="374"/>
        <item x="376"/>
        <item x="220"/>
        <item x="5"/>
        <item x="272"/>
        <item x="365"/>
        <item x="251"/>
        <item x="1"/>
        <item x="255"/>
        <item x="367"/>
        <item x="112"/>
        <item x="57"/>
        <item x="201"/>
        <item x="109"/>
        <item x="137"/>
        <item x="223"/>
        <item x="371"/>
        <item x="326"/>
        <item x="80"/>
        <item x="7"/>
        <item x="290"/>
        <item x="219"/>
        <item x="313"/>
        <item x="227"/>
        <item x="78"/>
        <item x="55"/>
        <item x="10"/>
        <item x="342"/>
        <item x="13"/>
        <item x="328"/>
        <item x="108"/>
        <item x="327"/>
        <item x="133"/>
        <item x="179"/>
        <item x="325"/>
        <item x="229"/>
        <item x="9"/>
        <item x="355"/>
        <item x="304"/>
        <item x="74"/>
        <item x="17"/>
        <item x="323"/>
        <item x="299"/>
        <item x="218"/>
        <item x="6"/>
        <item x="104"/>
        <item x="282"/>
        <item x="250"/>
        <item x="324"/>
        <item x="196"/>
        <item x="331"/>
        <item x="295"/>
        <item x="351"/>
        <item x="105"/>
        <item x="372"/>
        <item x="111"/>
        <item x="330"/>
        <item x="3"/>
        <item x="329"/>
        <item x="162"/>
        <item x="41"/>
        <item x="200"/>
        <item x="278"/>
        <item x="269"/>
        <item x="124"/>
        <item x="307"/>
        <item x="45"/>
        <item x="208"/>
        <item x="42"/>
        <item x="233"/>
        <item x="192"/>
        <item x="221"/>
        <item x="314"/>
        <item x="276"/>
        <item x="30"/>
        <item x="369"/>
        <item x="189"/>
        <item x="120"/>
        <item x="210"/>
        <item x="71"/>
        <item x="110"/>
        <item x="96"/>
        <item x="235"/>
        <item x="230"/>
        <item x="115"/>
        <item x="27"/>
        <item x="184"/>
        <item x="190"/>
        <item x="46"/>
        <item x="317"/>
        <item x="194"/>
        <item x="31"/>
        <item x="236"/>
        <item x="273"/>
        <item x="40"/>
        <item x="207"/>
        <item x="2"/>
        <item x="205"/>
        <item x="28"/>
        <item x="37"/>
        <item x="204"/>
        <item x="380"/>
        <item x="11"/>
        <item x="176"/>
        <item x="339"/>
        <item x="152"/>
        <item x="44"/>
        <item x="59"/>
        <item x="161"/>
        <item x="234"/>
        <item x="358"/>
        <item x="266"/>
        <item x="211"/>
        <item x="239"/>
        <item x="277"/>
        <item x="209"/>
        <item x="231"/>
        <item x="43"/>
        <item x="216"/>
        <item x="153"/>
        <item x="149"/>
        <item x="67"/>
        <item x="333"/>
        <item x="274"/>
        <item x="238"/>
        <item x="350"/>
        <item x="206"/>
        <item x="322"/>
        <item x="58"/>
        <item x="335"/>
        <item x="357"/>
        <item x="267"/>
        <item x="145"/>
        <item x="126"/>
        <item x="349"/>
        <item x="289"/>
        <item x="302"/>
        <item x="340"/>
        <item x="268"/>
        <item x="197"/>
        <item x="334"/>
        <item x="228"/>
        <item x="212"/>
        <item x="225"/>
        <item x="25"/>
        <item x="171"/>
        <item x="232"/>
        <item x="381"/>
        <item x="122"/>
        <item x="54"/>
        <item x="213"/>
        <item x="270"/>
        <item x="193"/>
        <item x="125"/>
        <item x="121"/>
        <item x="127"/>
        <item x="79"/>
        <item x="185"/>
        <item x="60"/>
        <item x="75"/>
        <item x="178"/>
        <item x="38"/>
        <item x="53"/>
        <item x="186"/>
        <item x="217"/>
        <item x="222"/>
        <item x="118"/>
        <item x="283"/>
        <item x="195"/>
        <item x="347"/>
        <item x="336"/>
        <item x="151"/>
        <item x="98"/>
        <item x="183"/>
        <item x="275"/>
        <item x="92"/>
        <item x="84"/>
        <item x="50"/>
        <item x="157"/>
        <item x="34"/>
        <item x="119"/>
        <item x="48"/>
        <item x="123"/>
        <item x="150"/>
        <item x="294"/>
        <item x="256"/>
        <item x="33"/>
        <item x="97"/>
        <item x="49"/>
        <item x="155"/>
        <item x="156"/>
        <item x="139"/>
        <item x="39"/>
        <item x="154"/>
        <item x="214"/>
        <item x="158"/>
        <item x="68"/>
        <item x="215"/>
        <item x="224"/>
        <item x="22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23"/>
  </rowFields>
  <rowItems count="60">
    <i>
      <x v="8"/>
    </i>
    <i>
      <x v="9"/>
    </i>
    <i>
      <x v="16"/>
    </i>
    <i>
      <x v="18"/>
    </i>
    <i>
      <x v="19"/>
    </i>
    <i>
      <x v="27"/>
    </i>
    <i>
      <x v="33"/>
    </i>
    <i>
      <x v="36"/>
    </i>
    <i>
      <x v="37"/>
    </i>
    <i>
      <x v="39"/>
    </i>
    <i>
      <x v="41"/>
    </i>
    <i>
      <x v="43"/>
    </i>
    <i>
      <x v="51"/>
    </i>
    <i>
      <x v="53"/>
    </i>
    <i>
      <x v="54"/>
    </i>
    <i>
      <x v="56"/>
    </i>
    <i>
      <x v="57"/>
    </i>
    <i>
      <x v="58"/>
    </i>
    <i>
      <x v="60"/>
    </i>
    <i>
      <x v="66"/>
    </i>
    <i>
      <x v="68"/>
    </i>
    <i>
      <x v="70"/>
    </i>
    <i>
      <x v="72"/>
    </i>
    <i>
      <x v="75"/>
    </i>
    <i>
      <x v="79"/>
    </i>
    <i>
      <x v="80"/>
    </i>
    <i>
      <x v="84"/>
    </i>
    <i>
      <x v="87"/>
    </i>
    <i>
      <x v="88"/>
    </i>
    <i>
      <x v="89"/>
    </i>
    <i>
      <x v="91"/>
    </i>
    <i>
      <x v="92"/>
    </i>
    <i>
      <x v="95"/>
    </i>
    <i>
      <x v="100"/>
    </i>
    <i>
      <x v="102"/>
    </i>
    <i>
      <x v="103"/>
    </i>
    <i>
      <x v="105"/>
    </i>
    <i>
      <x v="112"/>
    </i>
    <i>
      <x v="113"/>
    </i>
    <i>
      <x v="117"/>
    </i>
    <i>
      <x v="118"/>
    </i>
    <i>
      <x v="121"/>
    </i>
    <i>
      <x v="126"/>
    </i>
    <i>
      <x v="151"/>
    </i>
    <i>
      <x v="153"/>
    </i>
    <i>
      <x v="161"/>
    </i>
    <i>
      <x v="163"/>
    </i>
    <i>
      <x v="182"/>
    </i>
    <i>
      <x v="183"/>
    </i>
    <i>
      <x v="193"/>
    </i>
    <i>
      <x v="198"/>
    </i>
    <i>
      <x v="201"/>
    </i>
    <i>
      <x v="224"/>
    </i>
    <i>
      <x v="236"/>
    </i>
    <i>
      <x v="273"/>
    </i>
    <i>
      <x v="278"/>
    </i>
    <i>
      <x v="281"/>
    </i>
    <i>
      <x v="310"/>
    </i>
    <i>
      <x v="361"/>
    </i>
    <i t="grand">
      <x/>
    </i>
  </rowItems>
  <colItems count="1">
    <i/>
  </colItems>
  <pageFields count="2">
    <pageField fld="5" item="1" hier="-1"/>
    <pageField fld="31" item="1" hier="-1"/>
  </pageFields>
  <formats count="1">
    <format dxfId="4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B654E5-F24D-438C-BBC9-100D6F0CF0B3}" name="Tabela dinâmica7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M5:M63" firstHeaderRow="1" firstDataRow="1" firstDataCol="1" rowPageCount="2" colPageCount="1"/>
  <pivotFields count="35"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4" showAll="0"/>
    <pivotField numFmtId="3" showAll="0"/>
    <pivotField showAll="0"/>
    <pivotField showAll="0"/>
    <pivotField showAll="0"/>
    <pivotField showAll="0"/>
    <pivotField showAll="0"/>
    <pivotField numFmtId="3" showAll="0"/>
    <pivotField numFmtId="4" showAll="0"/>
    <pivotField showAll="0"/>
    <pivotField showAll="0"/>
    <pivotField showAll="0"/>
    <pivotField axis="axisRow" numFmtId="10" showAll="0">
      <items count="383">
        <item x="254"/>
        <item x="262"/>
        <item x="259"/>
        <item x="287"/>
        <item x="174"/>
        <item x="258"/>
        <item x="284"/>
        <item x="73"/>
        <item x="359"/>
        <item x="361"/>
        <item x="77"/>
        <item x="260"/>
        <item x="263"/>
        <item x="69"/>
        <item x="315"/>
        <item x="368"/>
        <item x="363"/>
        <item x="261"/>
        <item x="338"/>
        <item x="364"/>
        <item x="102"/>
        <item x="301"/>
        <item x="100"/>
        <item x="320"/>
        <item x="76"/>
        <item x="286"/>
        <item x="203"/>
        <item x="298"/>
        <item x="136"/>
        <item x="87"/>
        <item x="318"/>
        <item x="106"/>
        <item x="86"/>
        <item x="141"/>
        <item x="66"/>
        <item x="354"/>
        <item x="35"/>
        <item x="257"/>
        <item x="265"/>
        <item x="140"/>
        <item x="138"/>
        <item x="306"/>
        <item x="280"/>
        <item x="142"/>
        <item x="63"/>
        <item x="344"/>
        <item x="264"/>
        <item x="316"/>
        <item x="321"/>
        <item x="81"/>
        <item x="128"/>
        <item x="300"/>
        <item x="242"/>
        <item x="101"/>
        <item x="51"/>
        <item x="319"/>
        <item x="360"/>
        <item x="32"/>
        <item x="362"/>
        <item x="343"/>
        <item x="308"/>
        <item x="181"/>
        <item x="70"/>
        <item x="82"/>
        <item x="356"/>
        <item x="199"/>
        <item x="240"/>
        <item x="89"/>
        <item x="352"/>
        <item x="281"/>
        <item x="373"/>
        <item x="285"/>
        <item x="379"/>
        <item x="243"/>
        <item x="93"/>
        <item x="297"/>
        <item x="88"/>
        <item x="303"/>
        <item x="296"/>
        <item x="244"/>
        <item x="252"/>
        <item x="143"/>
        <item x="332"/>
        <item x="175"/>
        <item x="241"/>
        <item x="95"/>
        <item x="135"/>
        <item x="370"/>
        <item x="36"/>
        <item x="247"/>
        <item x="130"/>
        <item x="129"/>
        <item x="29"/>
        <item x="293"/>
        <item x="116"/>
        <item x="305"/>
        <item x="15"/>
        <item x="117"/>
        <item x="246"/>
        <item x="83"/>
        <item x="375"/>
        <item x="164"/>
        <item x="245"/>
        <item x="353"/>
        <item x="187"/>
        <item x="202"/>
        <item x="169"/>
        <item x="182"/>
        <item x="188"/>
        <item x="21"/>
        <item x="8"/>
        <item x="0"/>
        <item x="131"/>
        <item x="248"/>
        <item x="132"/>
        <item x="148"/>
        <item x="366"/>
        <item x="378"/>
        <item x="253"/>
        <item x="147"/>
        <item x="341"/>
        <item x="167"/>
        <item x="160"/>
        <item x="166"/>
        <item x="159"/>
        <item x="288"/>
        <item x="52"/>
        <item x="312"/>
        <item x="16"/>
        <item x="249"/>
        <item x="177"/>
        <item x="291"/>
        <item x="165"/>
        <item x="345"/>
        <item x="14"/>
        <item x="134"/>
        <item x="198"/>
        <item x="113"/>
        <item x="18"/>
        <item x="19"/>
        <item x="310"/>
        <item x="62"/>
        <item x="4"/>
        <item x="103"/>
        <item x="12"/>
        <item x="168"/>
        <item x="163"/>
        <item x="172"/>
        <item x="146"/>
        <item x="144"/>
        <item x="94"/>
        <item x="72"/>
        <item x="23"/>
        <item x="337"/>
        <item x="114"/>
        <item x="47"/>
        <item x="22"/>
        <item x="24"/>
        <item x="65"/>
        <item x="191"/>
        <item x="20"/>
        <item x="99"/>
        <item x="61"/>
        <item x="377"/>
        <item x="237"/>
        <item x="279"/>
        <item x="91"/>
        <item x="56"/>
        <item x="180"/>
        <item x="170"/>
        <item x="173"/>
        <item x="271"/>
        <item x="348"/>
        <item x="107"/>
        <item x="64"/>
        <item x="90"/>
        <item x="292"/>
        <item x="346"/>
        <item x="26"/>
        <item x="85"/>
        <item x="309"/>
        <item x="311"/>
        <item x="374"/>
        <item x="376"/>
        <item x="220"/>
        <item x="5"/>
        <item x="272"/>
        <item x="365"/>
        <item x="251"/>
        <item x="1"/>
        <item x="255"/>
        <item x="367"/>
        <item x="112"/>
        <item x="57"/>
        <item x="201"/>
        <item x="109"/>
        <item x="137"/>
        <item x="223"/>
        <item x="371"/>
        <item x="326"/>
        <item x="80"/>
        <item x="7"/>
        <item x="290"/>
        <item x="219"/>
        <item x="313"/>
        <item x="227"/>
        <item x="78"/>
        <item x="55"/>
        <item x="10"/>
        <item x="342"/>
        <item x="13"/>
        <item x="328"/>
        <item x="108"/>
        <item x="327"/>
        <item x="133"/>
        <item x="179"/>
        <item x="325"/>
        <item x="229"/>
        <item x="9"/>
        <item x="355"/>
        <item x="304"/>
        <item x="74"/>
        <item x="17"/>
        <item x="323"/>
        <item x="299"/>
        <item x="218"/>
        <item x="6"/>
        <item x="104"/>
        <item x="282"/>
        <item x="250"/>
        <item x="324"/>
        <item x="196"/>
        <item x="331"/>
        <item x="295"/>
        <item x="351"/>
        <item x="105"/>
        <item x="372"/>
        <item x="111"/>
        <item x="330"/>
        <item x="3"/>
        <item x="329"/>
        <item x="162"/>
        <item x="41"/>
        <item x="200"/>
        <item x="278"/>
        <item x="269"/>
        <item x="124"/>
        <item x="307"/>
        <item x="45"/>
        <item x="208"/>
        <item x="42"/>
        <item x="233"/>
        <item x="192"/>
        <item x="221"/>
        <item x="314"/>
        <item x="276"/>
        <item x="30"/>
        <item x="369"/>
        <item x="189"/>
        <item x="120"/>
        <item x="210"/>
        <item x="71"/>
        <item x="110"/>
        <item x="96"/>
        <item x="235"/>
        <item x="230"/>
        <item x="115"/>
        <item x="27"/>
        <item x="184"/>
        <item x="190"/>
        <item x="46"/>
        <item x="317"/>
        <item x="194"/>
        <item x="31"/>
        <item x="236"/>
        <item x="273"/>
        <item x="40"/>
        <item x="207"/>
        <item x="2"/>
        <item x="205"/>
        <item x="28"/>
        <item x="37"/>
        <item x="204"/>
        <item x="380"/>
        <item x="11"/>
        <item x="176"/>
        <item x="339"/>
        <item x="152"/>
        <item x="44"/>
        <item x="59"/>
        <item x="161"/>
        <item x="234"/>
        <item x="358"/>
        <item x="266"/>
        <item x="211"/>
        <item x="239"/>
        <item x="277"/>
        <item x="209"/>
        <item x="231"/>
        <item x="43"/>
        <item x="216"/>
        <item x="153"/>
        <item x="149"/>
        <item x="67"/>
        <item x="333"/>
        <item x="274"/>
        <item x="238"/>
        <item x="350"/>
        <item x="206"/>
        <item x="322"/>
        <item x="58"/>
        <item x="335"/>
        <item x="357"/>
        <item x="267"/>
        <item x="145"/>
        <item x="126"/>
        <item x="349"/>
        <item x="289"/>
        <item x="302"/>
        <item x="340"/>
        <item x="268"/>
        <item x="197"/>
        <item x="334"/>
        <item x="228"/>
        <item x="212"/>
        <item x="225"/>
        <item x="25"/>
        <item x="171"/>
        <item x="232"/>
        <item x="381"/>
        <item x="122"/>
        <item x="54"/>
        <item x="213"/>
        <item x="270"/>
        <item x="193"/>
        <item x="125"/>
        <item x="121"/>
        <item x="127"/>
        <item x="79"/>
        <item x="185"/>
        <item x="60"/>
        <item x="75"/>
        <item x="178"/>
        <item x="38"/>
        <item x="53"/>
        <item x="186"/>
        <item x="217"/>
        <item x="222"/>
        <item x="118"/>
        <item x="283"/>
        <item x="195"/>
        <item x="347"/>
        <item x="336"/>
        <item x="151"/>
        <item x="98"/>
        <item x="183"/>
        <item x="275"/>
        <item x="92"/>
        <item x="84"/>
        <item x="50"/>
        <item x="157"/>
        <item x="34"/>
        <item x="119"/>
        <item x="48"/>
        <item x="123"/>
        <item x="150"/>
        <item x="294"/>
        <item x="256"/>
        <item x="33"/>
        <item x="97"/>
        <item x="49"/>
        <item x="155"/>
        <item x="156"/>
        <item x="139"/>
        <item x="39"/>
        <item x="154"/>
        <item x="214"/>
        <item x="158"/>
        <item x="68"/>
        <item x="215"/>
        <item x="224"/>
        <item x="22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23"/>
  </rowFields>
  <rowItems count="58">
    <i>
      <x v="3"/>
    </i>
    <i>
      <x v="6"/>
    </i>
    <i>
      <x v="7"/>
    </i>
    <i>
      <x v="10"/>
    </i>
    <i>
      <x v="13"/>
    </i>
    <i>
      <x v="15"/>
    </i>
    <i>
      <x v="21"/>
    </i>
    <i>
      <x v="22"/>
    </i>
    <i>
      <x v="24"/>
    </i>
    <i>
      <x v="25"/>
    </i>
    <i>
      <x v="34"/>
    </i>
    <i>
      <x v="42"/>
    </i>
    <i>
      <x v="59"/>
    </i>
    <i>
      <x v="69"/>
    </i>
    <i>
      <x v="71"/>
    </i>
    <i>
      <x v="81"/>
    </i>
    <i>
      <x v="86"/>
    </i>
    <i>
      <x v="107"/>
    </i>
    <i>
      <x v="115"/>
    </i>
    <i>
      <x v="116"/>
    </i>
    <i>
      <x v="119"/>
    </i>
    <i>
      <x v="120"/>
    </i>
    <i>
      <x v="125"/>
    </i>
    <i>
      <x v="133"/>
    </i>
    <i>
      <x v="140"/>
    </i>
    <i>
      <x v="141"/>
    </i>
    <i>
      <x v="143"/>
    </i>
    <i>
      <x v="148"/>
    </i>
    <i>
      <x v="149"/>
    </i>
    <i>
      <x v="158"/>
    </i>
    <i>
      <x v="162"/>
    </i>
    <i>
      <x v="171"/>
    </i>
    <i>
      <x v="174"/>
    </i>
    <i>
      <x v="177"/>
    </i>
    <i>
      <x v="180"/>
    </i>
    <i>
      <x v="181"/>
    </i>
    <i>
      <x v="187"/>
    </i>
    <i>
      <x v="190"/>
    </i>
    <i>
      <x v="191"/>
    </i>
    <i>
      <x v="200"/>
    </i>
    <i>
      <x v="206"/>
    </i>
    <i>
      <x v="209"/>
    </i>
    <i>
      <x v="234"/>
    </i>
    <i>
      <x v="246"/>
    </i>
    <i>
      <x v="255"/>
    </i>
    <i>
      <x v="257"/>
    </i>
    <i>
      <x v="275"/>
    </i>
    <i>
      <x v="283"/>
    </i>
    <i>
      <x v="303"/>
    </i>
    <i>
      <x v="313"/>
    </i>
    <i>
      <x v="314"/>
    </i>
    <i>
      <x v="316"/>
    </i>
    <i>
      <x v="318"/>
    </i>
    <i>
      <x v="319"/>
    </i>
    <i>
      <x v="329"/>
    </i>
    <i>
      <x v="340"/>
    </i>
    <i>
      <x v="351"/>
    </i>
    <i t="grand">
      <x/>
    </i>
  </rowItems>
  <colItems count="1">
    <i/>
  </colItems>
  <pageFields count="2">
    <pageField fld="5" item="0" hier="-1"/>
    <pageField fld="31" item="1" hier="-1"/>
  </pageFields>
  <formats count="1">
    <format dxfId="4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874905-D294-4D11-9EA7-2F67B5AA7BDB}" name="Tabela dinâmica3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J5:J107" firstHeaderRow="1" firstDataRow="1" firstDataCol="1" rowPageCount="2" colPageCount="1"/>
  <pivotFields count="35"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4" showAll="0"/>
    <pivotField numFmtId="3" showAll="0"/>
    <pivotField showAll="0"/>
    <pivotField showAll="0"/>
    <pivotField showAll="0"/>
    <pivotField showAll="0"/>
    <pivotField showAll="0"/>
    <pivotField numFmtId="3" showAll="0"/>
    <pivotField numFmtId="4" showAll="0"/>
    <pivotField showAll="0"/>
    <pivotField showAll="0"/>
    <pivotField showAll="0"/>
    <pivotField axis="axisRow" numFmtId="10" showAll="0">
      <items count="383">
        <item x="254"/>
        <item x="262"/>
        <item x="259"/>
        <item x="287"/>
        <item x="174"/>
        <item x="258"/>
        <item x="284"/>
        <item x="73"/>
        <item x="359"/>
        <item x="361"/>
        <item x="77"/>
        <item x="260"/>
        <item x="263"/>
        <item x="69"/>
        <item x="315"/>
        <item x="368"/>
        <item x="363"/>
        <item x="261"/>
        <item x="338"/>
        <item x="364"/>
        <item x="102"/>
        <item x="301"/>
        <item x="100"/>
        <item x="320"/>
        <item x="76"/>
        <item x="286"/>
        <item x="203"/>
        <item x="298"/>
        <item x="136"/>
        <item x="87"/>
        <item x="318"/>
        <item x="106"/>
        <item x="86"/>
        <item x="141"/>
        <item x="66"/>
        <item x="354"/>
        <item x="35"/>
        <item x="257"/>
        <item x="265"/>
        <item x="140"/>
        <item x="138"/>
        <item x="306"/>
        <item x="280"/>
        <item x="142"/>
        <item x="63"/>
        <item x="344"/>
        <item x="264"/>
        <item x="316"/>
        <item x="321"/>
        <item x="81"/>
        <item x="128"/>
        <item x="300"/>
        <item x="242"/>
        <item x="101"/>
        <item x="51"/>
        <item x="319"/>
        <item x="360"/>
        <item x="32"/>
        <item x="362"/>
        <item x="343"/>
        <item x="308"/>
        <item x="181"/>
        <item x="70"/>
        <item x="82"/>
        <item x="356"/>
        <item x="199"/>
        <item x="240"/>
        <item x="89"/>
        <item x="352"/>
        <item x="281"/>
        <item x="373"/>
        <item x="285"/>
        <item x="379"/>
        <item x="243"/>
        <item x="93"/>
        <item x="297"/>
        <item x="88"/>
        <item x="303"/>
        <item x="296"/>
        <item x="244"/>
        <item x="252"/>
        <item x="143"/>
        <item x="332"/>
        <item x="175"/>
        <item x="241"/>
        <item x="95"/>
        <item x="135"/>
        <item x="370"/>
        <item x="36"/>
        <item x="247"/>
        <item x="130"/>
        <item x="129"/>
        <item x="29"/>
        <item x="293"/>
        <item x="116"/>
        <item x="305"/>
        <item x="15"/>
        <item x="117"/>
        <item x="246"/>
        <item x="83"/>
        <item x="375"/>
        <item x="164"/>
        <item x="245"/>
        <item x="353"/>
        <item x="187"/>
        <item x="202"/>
        <item x="169"/>
        <item x="182"/>
        <item x="188"/>
        <item x="21"/>
        <item x="8"/>
        <item x="0"/>
        <item x="131"/>
        <item x="248"/>
        <item x="132"/>
        <item x="148"/>
        <item x="366"/>
        <item x="378"/>
        <item x="253"/>
        <item x="147"/>
        <item x="341"/>
        <item x="167"/>
        <item x="160"/>
        <item x="166"/>
        <item x="159"/>
        <item x="288"/>
        <item x="52"/>
        <item x="312"/>
        <item x="16"/>
        <item x="249"/>
        <item x="177"/>
        <item x="291"/>
        <item x="165"/>
        <item x="345"/>
        <item x="14"/>
        <item x="134"/>
        <item x="198"/>
        <item x="113"/>
        <item x="18"/>
        <item x="19"/>
        <item x="310"/>
        <item x="62"/>
        <item x="4"/>
        <item x="103"/>
        <item x="12"/>
        <item x="168"/>
        <item x="163"/>
        <item x="172"/>
        <item x="146"/>
        <item x="144"/>
        <item x="94"/>
        <item x="72"/>
        <item x="23"/>
        <item x="337"/>
        <item x="114"/>
        <item x="47"/>
        <item x="22"/>
        <item x="24"/>
        <item x="65"/>
        <item x="191"/>
        <item x="20"/>
        <item x="99"/>
        <item x="61"/>
        <item x="377"/>
        <item x="237"/>
        <item x="279"/>
        <item x="91"/>
        <item x="56"/>
        <item x="180"/>
        <item x="170"/>
        <item x="173"/>
        <item x="271"/>
        <item x="348"/>
        <item x="107"/>
        <item x="64"/>
        <item x="90"/>
        <item x="292"/>
        <item x="346"/>
        <item x="26"/>
        <item x="85"/>
        <item x="309"/>
        <item x="311"/>
        <item x="374"/>
        <item x="376"/>
        <item x="220"/>
        <item x="5"/>
        <item x="272"/>
        <item x="365"/>
        <item x="251"/>
        <item x="1"/>
        <item x="255"/>
        <item x="367"/>
        <item x="112"/>
        <item x="57"/>
        <item x="201"/>
        <item x="109"/>
        <item x="137"/>
        <item x="223"/>
        <item x="371"/>
        <item x="326"/>
        <item x="80"/>
        <item x="7"/>
        <item x="290"/>
        <item x="219"/>
        <item x="313"/>
        <item x="227"/>
        <item x="78"/>
        <item x="55"/>
        <item x="10"/>
        <item x="342"/>
        <item x="13"/>
        <item x="328"/>
        <item x="108"/>
        <item x="327"/>
        <item x="133"/>
        <item x="179"/>
        <item x="325"/>
        <item x="229"/>
        <item x="9"/>
        <item x="355"/>
        <item x="304"/>
        <item x="74"/>
        <item x="17"/>
        <item x="323"/>
        <item x="299"/>
        <item x="218"/>
        <item x="6"/>
        <item x="104"/>
        <item x="282"/>
        <item x="250"/>
        <item x="324"/>
        <item x="196"/>
        <item x="331"/>
        <item x="295"/>
        <item x="351"/>
        <item x="105"/>
        <item x="372"/>
        <item x="111"/>
        <item x="330"/>
        <item x="3"/>
        <item x="329"/>
        <item x="162"/>
        <item x="41"/>
        <item x="200"/>
        <item x="278"/>
        <item x="269"/>
        <item x="124"/>
        <item x="307"/>
        <item x="45"/>
        <item x="208"/>
        <item x="42"/>
        <item x="233"/>
        <item x="192"/>
        <item x="221"/>
        <item x="314"/>
        <item x="276"/>
        <item x="30"/>
        <item x="369"/>
        <item x="189"/>
        <item x="120"/>
        <item x="210"/>
        <item x="71"/>
        <item x="110"/>
        <item x="96"/>
        <item x="235"/>
        <item x="230"/>
        <item x="115"/>
        <item x="27"/>
        <item x="184"/>
        <item x="190"/>
        <item x="46"/>
        <item x="317"/>
        <item x="194"/>
        <item x="31"/>
        <item x="236"/>
        <item x="273"/>
        <item x="40"/>
        <item x="207"/>
        <item x="2"/>
        <item x="205"/>
        <item x="28"/>
        <item x="37"/>
        <item x="204"/>
        <item x="380"/>
        <item x="11"/>
        <item x="176"/>
        <item x="339"/>
        <item x="152"/>
        <item x="44"/>
        <item x="59"/>
        <item x="161"/>
        <item x="234"/>
        <item x="358"/>
        <item x="266"/>
        <item x="211"/>
        <item x="239"/>
        <item x="277"/>
        <item x="209"/>
        <item x="231"/>
        <item x="43"/>
        <item x="216"/>
        <item x="153"/>
        <item x="149"/>
        <item x="67"/>
        <item x="333"/>
        <item x="274"/>
        <item x="238"/>
        <item x="350"/>
        <item x="206"/>
        <item x="322"/>
        <item x="58"/>
        <item x="335"/>
        <item x="357"/>
        <item x="267"/>
        <item x="145"/>
        <item x="126"/>
        <item x="349"/>
        <item x="289"/>
        <item x="302"/>
        <item x="340"/>
        <item x="268"/>
        <item x="197"/>
        <item x="334"/>
        <item x="228"/>
        <item x="212"/>
        <item x="225"/>
        <item x="25"/>
        <item x="171"/>
        <item x="232"/>
        <item x="381"/>
        <item x="122"/>
        <item x="54"/>
        <item x="213"/>
        <item x="270"/>
        <item x="193"/>
        <item x="125"/>
        <item x="121"/>
        <item x="127"/>
        <item x="79"/>
        <item x="185"/>
        <item x="60"/>
        <item x="75"/>
        <item x="178"/>
        <item x="38"/>
        <item x="53"/>
        <item x="186"/>
        <item x="217"/>
        <item x="222"/>
        <item x="118"/>
        <item x="283"/>
        <item x="195"/>
        <item x="347"/>
        <item x="336"/>
        <item x="151"/>
        <item x="98"/>
        <item x="183"/>
        <item x="275"/>
        <item x="92"/>
        <item x="84"/>
        <item x="50"/>
        <item x="157"/>
        <item x="34"/>
        <item x="119"/>
        <item x="48"/>
        <item x="123"/>
        <item x="150"/>
        <item x="294"/>
        <item x="256"/>
        <item x="33"/>
        <item x="97"/>
        <item x="49"/>
        <item x="155"/>
        <item x="156"/>
        <item x="139"/>
        <item x="39"/>
        <item x="154"/>
        <item x="214"/>
        <item x="158"/>
        <item x="68"/>
        <item x="215"/>
        <item x="224"/>
        <item x="22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23"/>
  </rowFields>
  <rowItems count="102">
    <i>
      <x v="44"/>
    </i>
    <i>
      <x v="45"/>
    </i>
    <i>
      <x v="61"/>
    </i>
    <i>
      <x v="64"/>
    </i>
    <i>
      <x v="78"/>
    </i>
    <i>
      <x v="106"/>
    </i>
    <i>
      <x v="135"/>
    </i>
    <i>
      <x v="137"/>
    </i>
    <i>
      <x v="154"/>
    </i>
    <i>
      <x v="165"/>
    </i>
    <i>
      <x v="168"/>
    </i>
    <i>
      <x v="170"/>
    </i>
    <i>
      <x v="172"/>
    </i>
    <i>
      <x v="184"/>
    </i>
    <i>
      <x v="186"/>
    </i>
    <i>
      <x v="188"/>
    </i>
    <i>
      <x v="189"/>
    </i>
    <i>
      <x v="192"/>
    </i>
    <i>
      <x v="197"/>
    </i>
    <i>
      <x v="203"/>
    </i>
    <i>
      <x v="214"/>
    </i>
    <i>
      <x v="215"/>
    </i>
    <i>
      <x v="218"/>
    </i>
    <i>
      <x v="219"/>
    </i>
    <i>
      <x v="221"/>
    </i>
    <i>
      <x v="223"/>
    </i>
    <i>
      <x v="225"/>
    </i>
    <i>
      <x v="228"/>
    </i>
    <i>
      <x v="229"/>
    </i>
    <i>
      <x v="237"/>
    </i>
    <i>
      <x v="241"/>
    </i>
    <i>
      <x v="244"/>
    </i>
    <i>
      <x v="245"/>
    </i>
    <i>
      <x v="249"/>
    </i>
    <i>
      <x v="253"/>
    </i>
    <i>
      <x v="259"/>
    </i>
    <i>
      <x v="260"/>
    </i>
    <i>
      <x v="266"/>
    </i>
    <i>
      <x v="267"/>
    </i>
    <i>
      <x v="268"/>
    </i>
    <i>
      <x v="279"/>
    </i>
    <i>
      <x v="280"/>
    </i>
    <i>
      <x v="282"/>
    </i>
    <i>
      <x v="285"/>
    </i>
    <i>
      <x v="286"/>
    </i>
    <i>
      <x v="287"/>
    </i>
    <i>
      <x v="289"/>
    </i>
    <i>
      <x v="290"/>
    </i>
    <i>
      <x v="292"/>
    </i>
    <i>
      <x v="293"/>
    </i>
    <i>
      <x v="294"/>
    </i>
    <i>
      <x v="295"/>
    </i>
    <i>
      <x v="296"/>
    </i>
    <i>
      <x v="297"/>
    </i>
    <i>
      <x v="300"/>
    </i>
    <i>
      <x v="301"/>
    </i>
    <i>
      <x v="305"/>
    </i>
    <i>
      <x v="306"/>
    </i>
    <i>
      <x v="307"/>
    </i>
    <i>
      <x v="309"/>
    </i>
    <i>
      <x v="311"/>
    </i>
    <i>
      <x v="312"/>
    </i>
    <i>
      <x v="320"/>
    </i>
    <i>
      <x v="322"/>
    </i>
    <i>
      <x v="324"/>
    </i>
    <i>
      <x v="325"/>
    </i>
    <i>
      <x v="330"/>
    </i>
    <i>
      <x v="332"/>
    </i>
    <i>
      <x v="333"/>
    </i>
    <i>
      <x v="335"/>
    </i>
    <i>
      <x v="336"/>
    </i>
    <i>
      <x v="337"/>
    </i>
    <i>
      <x v="338"/>
    </i>
    <i>
      <x v="341"/>
    </i>
    <i>
      <x v="342"/>
    </i>
    <i>
      <x v="346"/>
    </i>
    <i>
      <x v="347"/>
    </i>
    <i>
      <x v="348"/>
    </i>
    <i>
      <x v="349"/>
    </i>
    <i>
      <x v="352"/>
    </i>
    <i>
      <x v="354"/>
    </i>
    <i>
      <x v="355"/>
    </i>
    <i>
      <x v="356"/>
    </i>
    <i>
      <x v="359"/>
    </i>
    <i>
      <x v="360"/>
    </i>
    <i>
      <x v="362"/>
    </i>
    <i>
      <x v="364"/>
    </i>
    <i>
      <x v="367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 t="grand">
      <x/>
    </i>
  </rowItems>
  <colItems count="1">
    <i/>
  </colItems>
  <pageFields count="2">
    <pageField fld="5" item="0" hier="-1"/>
    <pageField fld="31" item="0" hier="-1"/>
  </pageFields>
  <formats count="1">
    <format dxfId="4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6C3AF2-6923-45B8-A96E-B30A4F48A4DF}" name="Tabela dinâmica6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O5:Q20" firstHeaderRow="0" firstDataRow="1" firstDataCol="1" rowPageCount="1" colPageCount="1"/>
  <pivotFields count="35"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4" showAll="0"/>
    <pivotField numFmtId="3" showAll="0"/>
    <pivotField showAll="0"/>
    <pivotField showAll="0"/>
    <pivotField showAll="0"/>
    <pivotField showAll="0"/>
    <pivotField showAll="0"/>
    <pivotField numFmtId="3" showAll="0"/>
    <pivotField dataField="1" numFmtId="4" showAll="0"/>
    <pivotField showAll="0"/>
    <pivotField showAll="0"/>
    <pivotField showAll="0"/>
    <pivotField numFmtId="10" showAll="0">
      <items count="383">
        <item x="254"/>
        <item x="262"/>
        <item x="259"/>
        <item x="287"/>
        <item x="174"/>
        <item x="258"/>
        <item x="284"/>
        <item x="73"/>
        <item x="359"/>
        <item x="361"/>
        <item x="77"/>
        <item x="260"/>
        <item x="263"/>
        <item x="69"/>
        <item x="315"/>
        <item x="368"/>
        <item x="363"/>
        <item x="261"/>
        <item x="338"/>
        <item x="364"/>
        <item x="102"/>
        <item x="301"/>
        <item x="100"/>
        <item x="320"/>
        <item x="76"/>
        <item x="286"/>
        <item x="203"/>
        <item x="298"/>
        <item x="136"/>
        <item x="87"/>
        <item x="318"/>
        <item x="106"/>
        <item x="86"/>
        <item x="141"/>
        <item x="66"/>
        <item x="354"/>
        <item x="35"/>
        <item x="257"/>
        <item x="265"/>
        <item x="140"/>
        <item x="138"/>
        <item x="306"/>
        <item x="280"/>
        <item x="142"/>
        <item x="63"/>
        <item x="344"/>
        <item x="264"/>
        <item x="316"/>
        <item x="321"/>
        <item x="81"/>
        <item x="128"/>
        <item x="300"/>
        <item x="242"/>
        <item x="101"/>
        <item x="51"/>
        <item x="319"/>
        <item x="360"/>
        <item x="32"/>
        <item x="362"/>
        <item x="343"/>
        <item x="308"/>
        <item x="181"/>
        <item x="70"/>
        <item x="82"/>
        <item x="356"/>
        <item x="199"/>
        <item x="240"/>
        <item x="89"/>
        <item x="352"/>
        <item x="281"/>
        <item x="373"/>
        <item x="285"/>
        <item x="379"/>
        <item x="243"/>
        <item x="93"/>
        <item x="297"/>
        <item x="88"/>
        <item x="303"/>
        <item x="296"/>
        <item x="244"/>
        <item x="252"/>
        <item x="143"/>
        <item x="332"/>
        <item x="175"/>
        <item x="241"/>
        <item x="95"/>
        <item x="135"/>
        <item x="370"/>
        <item x="36"/>
        <item x="247"/>
        <item x="130"/>
        <item x="129"/>
        <item x="29"/>
        <item x="293"/>
        <item x="116"/>
        <item x="305"/>
        <item x="15"/>
        <item x="117"/>
        <item x="246"/>
        <item x="83"/>
        <item x="375"/>
        <item x="164"/>
        <item x="245"/>
        <item x="353"/>
        <item x="187"/>
        <item x="202"/>
        <item x="169"/>
        <item x="182"/>
        <item x="188"/>
        <item x="21"/>
        <item x="8"/>
        <item x="0"/>
        <item x="131"/>
        <item x="248"/>
        <item x="132"/>
        <item x="148"/>
        <item x="366"/>
        <item x="378"/>
        <item x="253"/>
        <item x="147"/>
        <item x="341"/>
        <item x="167"/>
        <item x="160"/>
        <item x="166"/>
        <item x="159"/>
        <item x="288"/>
        <item x="52"/>
        <item x="312"/>
        <item x="16"/>
        <item x="249"/>
        <item x="177"/>
        <item x="291"/>
        <item x="165"/>
        <item x="345"/>
        <item x="14"/>
        <item x="134"/>
        <item x="198"/>
        <item x="113"/>
        <item x="18"/>
        <item x="19"/>
        <item x="310"/>
        <item x="62"/>
        <item x="4"/>
        <item x="103"/>
        <item x="12"/>
        <item x="168"/>
        <item x="163"/>
        <item x="172"/>
        <item x="146"/>
        <item x="144"/>
        <item x="94"/>
        <item x="72"/>
        <item x="23"/>
        <item x="337"/>
        <item x="114"/>
        <item x="47"/>
        <item x="22"/>
        <item x="24"/>
        <item x="65"/>
        <item x="191"/>
        <item x="20"/>
        <item x="99"/>
        <item x="61"/>
        <item x="377"/>
        <item x="237"/>
        <item x="279"/>
        <item x="91"/>
        <item x="56"/>
        <item x="180"/>
        <item x="170"/>
        <item x="173"/>
        <item x="271"/>
        <item x="348"/>
        <item x="107"/>
        <item x="64"/>
        <item x="90"/>
        <item x="292"/>
        <item x="346"/>
        <item x="26"/>
        <item x="85"/>
        <item x="309"/>
        <item x="311"/>
        <item x="374"/>
        <item x="376"/>
        <item x="220"/>
        <item x="5"/>
        <item x="272"/>
        <item x="365"/>
        <item x="251"/>
        <item x="1"/>
        <item x="255"/>
        <item x="367"/>
        <item x="112"/>
        <item x="57"/>
        <item x="201"/>
        <item x="109"/>
        <item x="137"/>
        <item x="223"/>
        <item x="371"/>
        <item x="326"/>
        <item x="80"/>
        <item x="7"/>
        <item x="290"/>
        <item x="219"/>
        <item x="313"/>
        <item x="227"/>
        <item x="78"/>
        <item x="55"/>
        <item x="10"/>
        <item x="342"/>
        <item x="13"/>
        <item x="328"/>
        <item x="108"/>
        <item x="327"/>
        <item x="133"/>
        <item x="179"/>
        <item x="325"/>
        <item x="229"/>
        <item x="9"/>
        <item x="355"/>
        <item x="304"/>
        <item x="74"/>
        <item x="17"/>
        <item x="323"/>
        <item x="299"/>
        <item x="218"/>
        <item x="6"/>
        <item x="104"/>
        <item x="282"/>
        <item x="250"/>
        <item x="324"/>
        <item x="196"/>
        <item x="331"/>
        <item x="295"/>
        <item x="351"/>
        <item x="105"/>
        <item x="372"/>
        <item x="111"/>
        <item x="330"/>
        <item x="3"/>
        <item x="329"/>
        <item x="162"/>
        <item x="41"/>
        <item x="200"/>
        <item x="278"/>
        <item x="269"/>
        <item x="124"/>
        <item x="307"/>
        <item x="45"/>
        <item x="208"/>
        <item x="42"/>
        <item x="233"/>
        <item x="192"/>
        <item x="221"/>
        <item x="314"/>
        <item x="276"/>
        <item x="30"/>
        <item x="369"/>
        <item x="189"/>
        <item x="120"/>
        <item x="210"/>
        <item x="71"/>
        <item x="110"/>
        <item x="96"/>
        <item x="235"/>
        <item x="230"/>
        <item x="115"/>
        <item x="27"/>
        <item x="184"/>
        <item x="190"/>
        <item x="46"/>
        <item x="317"/>
        <item x="194"/>
        <item x="31"/>
        <item x="236"/>
        <item x="273"/>
        <item x="40"/>
        <item x="207"/>
        <item x="2"/>
        <item x="205"/>
        <item x="28"/>
        <item x="37"/>
        <item x="204"/>
        <item x="380"/>
        <item x="11"/>
        <item x="176"/>
        <item x="339"/>
        <item x="152"/>
        <item x="44"/>
        <item x="59"/>
        <item x="161"/>
        <item x="234"/>
        <item x="358"/>
        <item x="266"/>
        <item x="211"/>
        <item x="239"/>
        <item x="277"/>
        <item x="209"/>
        <item x="231"/>
        <item x="43"/>
        <item x="216"/>
        <item x="153"/>
        <item x="149"/>
        <item x="67"/>
        <item x="333"/>
        <item x="274"/>
        <item x="238"/>
        <item x="350"/>
        <item x="206"/>
        <item x="322"/>
        <item x="58"/>
        <item x="335"/>
        <item x="357"/>
        <item x="267"/>
        <item x="145"/>
        <item x="126"/>
        <item x="349"/>
        <item x="289"/>
        <item x="302"/>
        <item x="340"/>
        <item x="268"/>
        <item x="197"/>
        <item x="334"/>
        <item x="228"/>
        <item x="212"/>
        <item x="225"/>
        <item x="25"/>
        <item x="171"/>
        <item x="232"/>
        <item x="381"/>
        <item x="122"/>
        <item x="54"/>
        <item x="213"/>
        <item x="270"/>
        <item x="193"/>
        <item x="125"/>
        <item x="121"/>
        <item x="127"/>
        <item x="79"/>
        <item x="185"/>
        <item x="60"/>
        <item x="75"/>
        <item x="178"/>
        <item x="38"/>
        <item x="53"/>
        <item x="186"/>
        <item x="217"/>
        <item x="222"/>
        <item x="118"/>
        <item x="283"/>
        <item x="195"/>
        <item x="347"/>
        <item x="336"/>
        <item x="151"/>
        <item x="98"/>
        <item x="183"/>
        <item x="275"/>
        <item x="92"/>
        <item x="84"/>
        <item x="50"/>
        <item x="157"/>
        <item x="34"/>
        <item x="119"/>
        <item x="48"/>
        <item x="123"/>
        <item x="150"/>
        <item x="294"/>
        <item x="256"/>
        <item x="33"/>
        <item x="97"/>
        <item x="49"/>
        <item x="155"/>
        <item x="156"/>
        <item x="139"/>
        <item x="39"/>
        <item x="154"/>
        <item x="214"/>
        <item x="158"/>
        <item x="68"/>
        <item x="215"/>
        <item x="224"/>
        <item x="226"/>
        <item t="default"/>
      </items>
    </pivotField>
    <pivotField showAll="0"/>
    <pivotField showAll="0"/>
    <pivotField showAll="0"/>
    <pivotField showAll="0"/>
    <pivotField showAll="0"/>
    <pivotField showAll="0"/>
    <pivotField axis="axisRow" dataField="1" showAll="0">
      <items count="16">
        <item x="9"/>
        <item x="3"/>
        <item x="8"/>
        <item x="0"/>
        <item x="11"/>
        <item x="6"/>
        <item x="7"/>
        <item x="2"/>
        <item x="10"/>
        <item x="13"/>
        <item x="12"/>
        <item x="4"/>
        <item x="5"/>
        <item x="14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3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0"/>
    </i>
    <i>
      <x v="11"/>
    </i>
    <i>
      <x v="12"/>
    </i>
    <i>
      <x v="13"/>
    </i>
    <i>
      <x v="14"/>
    </i>
    <i t="grand">
      <x/>
    </i>
  </rowItems>
  <colFields count="1">
    <field x="-2"/>
  </colFields>
  <colItems count="2">
    <i>
      <x/>
    </i>
    <i i="1">
      <x v="1"/>
    </i>
  </colItems>
  <pageFields count="1">
    <pageField fld="5" item="0" hier="-1"/>
  </pageFields>
  <dataFields count="2">
    <dataField name="Soma de Volume R$ (100 MM)" fld="19" baseField="0" baseItem="0"/>
    <dataField name="Contagem de Corporate Rating na data da Emissão" fld="30" subtotal="count" baseField="0" baseItem="0"/>
  </dataFields>
  <formats count="1">
    <format dxfId="3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B2FA78-5275-410C-BE4B-F9489C893C76}" name="Tabela dinâmica3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K5:M21" firstHeaderRow="0" firstDataRow="1" firstDataCol="1" rowPageCount="1" colPageCount="1"/>
  <pivotFields count="35"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4" showAll="0"/>
    <pivotField numFmtId="3" showAll="0"/>
    <pivotField showAll="0"/>
    <pivotField showAll="0"/>
    <pivotField showAll="0"/>
    <pivotField showAll="0"/>
    <pivotField showAll="0"/>
    <pivotField numFmtId="3" showAll="0"/>
    <pivotField dataField="1" numFmtId="4" showAll="0"/>
    <pivotField showAll="0"/>
    <pivotField showAll="0"/>
    <pivotField showAll="0"/>
    <pivotField numFmtId="10" showAll="0">
      <items count="383">
        <item x="254"/>
        <item x="262"/>
        <item x="259"/>
        <item x="287"/>
        <item x="174"/>
        <item x="258"/>
        <item x="284"/>
        <item x="73"/>
        <item x="359"/>
        <item x="361"/>
        <item x="77"/>
        <item x="260"/>
        <item x="263"/>
        <item x="69"/>
        <item x="315"/>
        <item x="368"/>
        <item x="363"/>
        <item x="261"/>
        <item x="338"/>
        <item x="364"/>
        <item x="102"/>
        <item x="301"/>
        <item x="100"/>
        <item x="320"/>
        <item x="76"/>
        <item x="286"/>
        <item x="203"/>
        <item x="298"/>
        <item x="136"/>
        <item x="87"/>
        <item x="318"/>
        <item x="106"/>
        <item x="86"/>
        <item x="141"/>
        <item x="66"/>
        <item x="354"/>
        <item x="35"/>
        <item x="257"/>
        <item x="265"/>
        <item x="140"/>
        <item x="138"/>
        <item x="306"/>
        <item x="280"/>
        <item x="142"/>
        <item x="63"/>
        <item x="344"/>
        <item x="264"/>
        <item x="316"/>
        <item x="321"/>
        <item x="81"/>
        <item x="128"/>
        <item x="300"/>
        <item x="242"/>
        <item x="101"/>
        <item x="51"/>
        <item x="319"/>
        <item x="360"/>
        <item x="32"/>
        <item x="362"/>
        <item x="343"/>
        <item x="308"/>
        <item x="181"/>
        <item x="70"/>
        <item x="82"/>
        <item x="356"/>
        <item x="199"/>
        <item x="240"/>
        <item x="89"/>
        <item x="352"/>
        <item x="281"/>
        <item x="373"/>
        <item x="285"/>
        <item x="379"/>
        <item x="243"/>
        <item x="93"/>
        <item x="297"/>
        <item x="88"/>
        <item x="303"/>
        <item x="296"/>
        <item x="244"/>
        <item x="252"/>
        <item x="143"/>
        <item x="332"/>
        <item x="175"/>
        <item x="241"/>
        <item x="95"/>
        <item x="135"/>
        <item x="370"/>
        <item x="36"/>
        <item x="247"/>
        <item x="130"/>
        <item x="129"/>
        <item x="29"/>
        <item x="293"/>
        <item x="116"/>
        <item x="305"/>
        <item x="15"/>
        <item x="117"/>
        <item x="246"/>
        <item x="83"/>
        <item x="375"/>
        <item x="164"/>
        <item x="245"/>
        <item x="353"/>
        <item x="187"/>
        <item x="202"/>
        <item x="169"/>
        <item x="182"/>
        <item x="188"/>
        <item x="21"/>
        <item x="8"/>
        <item x="0"/>
        <item x="131"/>
        <item x="248"/>
        <item x="132"/>
        <item x="148"/>
        <item x="366"/>
        <item x="378"/>
        <item x="253"/>
        <item x="147"/>
        <item x="341"/>
        <item x="167"/>
        <item x="160"/>
        <item x="166"/>
        <item x="159"/>
        <item x="288"/>
        <item x="52"/>
        <item x="312"/>
        <item x="16"/>
        <item x="249"/>
        <item x="177"/>
        <item x="291"/>
        <item x="165"/>
        <item x="345"/>
        <item x="14"/>
        <item x="134"/>
        <item x="198"/>
        <item x="113"/>
        <item x="18"/>
        <item x="19"/>
        <item x="310"/>
        <item x="62"/>
        <item x="4"/>
        <item x="103"/>
        <item x="12"/>
        <item x="168"/>
        <item x="163"/>
        <item x="172"/>
        <item x="146"/>
        <item x="144"/>
        <item x="94"/>
        <item x="72"/>
        <item x="23"/>
        <item x="337"/>
        <item x="114"/>
        <item x="47"/>
        <item x="22"/>
        <item x="24"/>
        <item x="65"/>
        <item x="191"/>
        <item x="20"/>
        <item x="99"/>
        <item x="61"/>
        <item x="377"/>
        <item x="237"/>
        <item x="279"/>
        <item x="91"/>
        <item x="56"/>
        <item x="180"/>
        <item x="170"/>
        <item x="173"/>
        <item x="271"/>
        <item x="348"/>
        <item x="107"/>
        <item x="64"/>
        <item x="90"/>
        <item x="292"/>
        <item x="346"/>
        <item x="26"/>
        <item x="85"/>
        <item x="309"/>
        <item x="311"/>
        <item x="374"/>
        <item x="376"/>
        <item x="220"/>
        <item x="5"/>
        <item x="272"/>
        <item x="365"/>
        <item x="251"/>
        <item x="1"/>
        <item x="255"/>
        <item x="367"/>
        <item x="112"/>
        <item x="57"/>
        <item x="201"/>
        <item x="109"/>
        <item x="137"/>
        <item x="223"/>
        <item x="371"/>
        <item x="326"/>
        <item x="80"/>
        <item x="7"/>
        <item x="290"/>
        <item x="219"/>
        <item x="313"/>
        <item x="227"/>
        <item x="78"/>
        <item x="55"/>
        <item x="10"/>
        <item x="342"/>
        <item x="13"/>
        <item x="328"/>
        <item x="108"/>
        <item x="327"/>
        <item x="133"/>
        <item x="179"/>
        <item x="325"/>
        <item x="229"/>
        <item x="9"/>
        <item x="355"/>
        <item x="304"/>
        <item x="74"/>
        <item x="17"/>
        <item x="323"/>
        <item x="299"/>
        <item x="218"/>
        <item x="6"/>
        <item x="104"/>
        <item x="282"/>
        <item x="250"/>
        <item x="324"/>
        <item x="196"/>
        <item x="331"/>
        <item x="295"/>
        <item x="351"/>
        <item x="105"/>
        <item x="372"/>
        <item x="111"/>
        <item x="330"/>
        <item x="3"/>
        <item x="329"/>
        <item x="162"/>
        <item x="41"/>
        <item x="200"/>
        <item x="278"/>
        <item x="269"/>
        <item x="124"/>
        <item x="307"/>
        <item x="45"/>
        <item x="208"/>
        <item x="42"/>
        <item x="233"/>
        <item x="192"/>
        <item x="221"/>
        <item x="314"/>
        <item x="276"/>
        <item x="30"/>
        <item x="369"/>
        <item x="189"/>
        <item x="120"/>
        <item x="210"/>
        <item x="71"/>
        <item x="110"/>
        <item x="96"/>
        <item x="235"/>
        <item x="230"/>
        <item x="115"/>
        <item x="27"/>
        <item x="184"/>
        <item x="190"/>
        <item x="46"/>
        <item x="317"/>
        <item x="194"/>
        <item x="31"/>
        <item x="236"/>
        <item x="273"/>
        <item x="40"/>
        <item x="207"/>
        <item x="2"/>
        <item x="205"/>
        <item x="28"/>
        <item x="37"/>
        <item x="204"/>
        <item x="380"/>
        <item x="11"/>
        <item x="176"/>
        <item x="339"/>
        <item x="152"/>
        <item x="44"/>
        <item x="59"/>
        <item x="161"/>
        <item x="234"/>
        <item x="358"/>
        <item x="266"/>
        <item x="211"/>
        <item x="239"/>
        <item x="277"/>
        <item x="209"/>
        <item x="231"/>
        <item x="43"/>
        <item x="216"/>
        <item x="153"/>
        <item x="149"/>
        <item x="67"/>
        <item x="333"/>
        <item x="274"/>
        <item x="238"/>
        <item x="350"/>
        <item x="206"/>
        <item x="322"/>
        <item x="58"/>
        <item x="335"/>
        <item x="357"/>
        <item x="267"/>
        <item x="145"/>
        <item x="126"/>
        <item x="349"/>
        <item x="289"/>
        <item x="302"/>
        <item x="340"/>
        <item x="268"/>
        <item x="197"/>
        <item x="334"/>
        <item x="228"/>
        <item x="212"/>
        <item x="225"/>
        <item x="25"/>
        <item x="171"/>
        <item x="232"/>
        <item x="381"/>
        <item x="122"/>
        <item x="54"/>
        <item x="213"/>
        <item x="270"/>
        <item x="193"/>
        <item x="125"/>
        <item x="121"/>
        <item x="127"/>
        <item x="79"/>
        <item x="185"/>
        <item x="60"/>
        <item x="75"/>
        <item x="178"/>
        <item x="38"/>
        <item x="53"/>
        <item x="186"/>
        <item x="217"/>
        <item x="222"/>
        <item x="118"/>
        <item x="283"/>
        <item x="195"/>
        <item x="347"/>
        <item x="336"/>
        <item x="151"/>
        <item x="98"/>
        <item x="183"/>
        <item x="275"/>
        <item x="92"/>
        <item x="84"/>
        <item x="50"/>
        <item x="157"/>
        <item x="34"/>
        <item x="119"/>
        <item x="48"/>
        <item x="123"/>
        <item x="150"/>
        <item x="294"/>
        <item x="256"/>
        <item x="33"/>
        <item x="97"/>
        <item x="49"/>
        <item x="155"/>
        <item x="156"/>
        <item x="139"/>
        <item x="39"/>
        <item x="154"/>
        <item x="214"/>
        <item x="158"/>
        <item x="68"/>
        <item x="215"/>
        <item x="224"/>
        <item x="226"/>
        <item t="default"/>
      </items>
    </pivotField>
    <pivotField showAll="0"/>
    <pivotField showAll="0"/>
    <pivotField showAll="0"/>
    <pivotField showAll="0"/>
    <pivotField showAll="0"/>
    <pivotField showAll="0"/>
    <pivotField axis="axisRow" dataField="1" showAll="0">
      <items count="16">
        <item x="9"/>
        <item x="3"/>
        <item x="8"/>
        <item x="0"/>
        <item x="11"/>
        <item x="6"/>
        <item x="7"/>
        <item x="2"/>
        <item x="10"/>
        <item x="13"/>
        <item x="12"/>
        <item x="4"/>
        <item x="5"/>
        <item x="14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3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-2"/>
  </colFields>
  <colItems count="2">
    <i>
      <x/>
    </i>
    <i i="1">
      <x v="1"/>
    </i>
  </colItems>
  <pageFields count="1">
    <pageField fld="5" item="1" hier="-1"/>
  </pageFields>
  <dataFields count="2">
    <dataField name="Soma de Volume R$ (100 MM)" fld="19" baseField="0" baseItem="0"/>
    <dataField name="Contagem de Corporate Rating na data da Emissão" fld="30" subtotal="count" baseField="0" baseItem="0"/>
  </dataFields>
  <formats count="1">
    <format dxfId="3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E4C172-BCFA-4395-AD99-900212C271A2}" name="Tabela dinâmica7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S5:U21" firstHeaderRow="0" firstDataRow="1" firstDataCol="1" rowPageCount="1" colPageCount="1"/>
  <pivotFields count="35"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4" showAll="0"/>
    <pivotField numFmtId="3" showAll="0"/>
    <pivotField showAll="0"/>
    <pivotField showAll="0"/>
    <pivotField showAll="0"/>
    <pivotField showAll="0"/>
    <pivotField showAll="0"/>
    <pivotField numFmtId="3" showAll="0"/>
    <pivotField dataField="1" numFmtId="4" showAll="0"/>
    <pivotField showAll="0"/>
    <pivotField showAll="0"/>
    <pivotField showAll="0"/>
    <pivotField numFmtId="10" showAll="0">
      <items count="383">
        <item x="254"/>
        <item x="262"/>
        <item x="259"/>
        <item x="287"/>
        <item x="174"/>
        <item x="258"/>
        <item x="284"/>
        <item x="73"/>
        <item x="359"/>
        <item x="361"/>
        <item x="77"/>
        <item x="260"/>
        <item x="263"/>
        <item x="69"/>
        <item x="315"/>
        <item x="368"/>
        <item x="363"/>
        <item x="261"/>
        <item x="338"/>
        <item x="364"/>
        <item x="102"/>
        <item x="301"/>
        <item x="100"/>
        <item x="320"/>
        <item x="76"/>
        <item x="286"/>
        <item x="203"/>
        <item x="298"/>
        <item x="136"/>
        <item x="87"/>
        <item x="318"/>
        <item x="106"/>
        <item x="86"/>
        <item x="141"/>
        <item x="66"/>
        <item x="354"/>
        <item x="35"/>
        <item x="257"/>
        <item x="265"/>
        <item x="140"/>
        <item x="138"/>
        <item x="306"/>
        <item x="280"/>
        <item x="142"/>
        <item x="63"/>
        <item x="344"/>
        <item x="264"/>
        <item x="316"/>
        <item x="321"/>
        <item x="81"/>
        <item x="128"/>
        <item x="300"/>
        <item x="242"/>
        <item x="101"/>
        <item x="51"/>
        <item x="319"/>
        <item x="360"/>
        <item x="32"/>
        <item x="362"/>
        <item x="343"/>
        <item x="308"/>
        <item x="181"/>
        <item x="70"/>
        <item x="82"/>
        <item x="356"/>
        <item x="199"/>
        <item x="240"/>
        <item x="89"/>
        <item x="352"/>
        <item x="281"/>
        <item x="373"/>
        <item x="285"/>
        <item x="379"/>
        <item x="243"/>
        <item x="93"/>
        <item x="297"/>
        <item x="88"/>
        <item x="303"/>
        <item x="296"/>
        <item x="244"/>
        <item x="252"/>
        <item x="143"/>
        <item x="332"/>
        <item x="175"/>
        <item x="241"/>
        <item x="95"/>
        <item x="135"/>
        <item x="370"/>
        <item x="36"/>
        <item x="247"/>
        <item x="130"/>
        <item x="129"/>
        <item x="29"/>
        <item x="293"/>
        <item x="116"/>
        <item x="305"/>
        <item x="15"/>
        <item x="117"/>
        <item x="246"/>
        <item x="83"/>
        <item x="375"/>
        <item x="164"/>
        <item x="245"/>
        <item x="353"/>
        <item x="187"/>
        <item x="202"/>
        <item x="169"/>
        <item x="182"/>
        <item x="188"/>
        <item x="21"/>
        <item x="8"/>
        <item x="0"/>
        <item x="131"/>
        <item x="248"/>
        <item x="132"/>
        <item x="148"/>
        <item x="366"/>
        <item x="378"/>
        <item x="253"/>
        <item x="147"/>
        <item x="341"/>
        <item x="167"/>
        <item x="160"/>
        <item x="166"/>
        <item x="159"/>
        <item x="288"/>
        <item x="52"/>
        <item x="312"/>
        <item x="16"/>
        <item x="249"/>
        <item x="177"/>
        <item x="291"/>
        <item x="165"/>
        <item x="345"/>
        <item x="14"/>
        <item x="134"/>
        <item x="198"/>
        <item x="113"/>
        <item x="18"/>
        <item x="19"/>
        <item x="310"/>
        <item x="62"/>
        <item x="4"/>
        <item x="103"/>
        <item x="12"/>
        <item x="168"/>
        <item x="163"/>
        <item x="172"/>
        <item x="146"/>
        <item x="144"/>
        <item x="94"/>
        <item x="72"/>
        <item x="23"/>
        <item x="337"/>
        <item x="114"/>
        <item x="47"/>
        <item x="22"/>
        <item x="24"/>
        <item x="65"/>
        <item x="191"/>
        <item x="20"/>
        <item x="99"/>
        <item x="61"/>
        <item x="377"/>
        <item x="237"/>
        <item x="279"/>
        <item x="91"/>
        <item x="56"/>
        <item x="180"/>
        <item x="170"/>
        <item x="173"/>
        <item x="271"/>
        <item x="348"/>
        <item x="107"/>
        <item x="64"/>
        <item x="90"/>
        <item x="292"/>
        <item x="346"/>
        <item x="26"/>
        <item x="85"/>
        <item x="309"/>
        <item x="311"/>
        <item x="374"/>
        <item x="376"/>
        <item x="220"/>
        <item x="5"/>
        <item x="272"/>
        <item x="365"/>
        <item x="251"/>
        <item x="1"/>
        <item x="255"/>
        <item x="367"/>
        <item x="112"/>
        <item x="57"/>
        <item x="201"/>
        <item x="109"/>
        <item x="137"/>
        <item x="223"/>
        <item x="371"/>
        <item x="326"/>
        <item x="80"/>
        <item x="7"/>
        <item x="290"/>
        <item x="219"/>
        <item x="313"/>
        <item x="227"/>
        <item x="78"/>
        <item x="55"/>
        <item x="10"/>
        <item x="342"/>
        <item x="13"/>
        <item x="328"/>
        <item x="108"/>
        <item x="327"/>
        <item x="133"/>
        <item x="179"/>
        <item x="325"/>
        <item x="229"/>
        <item x="9"/>
        <item x="355"/>
        <item x="304"/>
        <item x="74"/>
        <item x="17"/>
        <item x="323"/>
        <item x="299"/>
        <item x="218"/>
        <item x="6"/>
        <item x="104"/>
        <item x="282"/>
        <item x="250"/>
        <item x="324"/>
        <item x="196"/>
        <item x="331"/>
        <item x="295"/>
        <item x="351"/>
        <item x="105"/>
        <item x="372"/>
        <item x="111"/>
        <item x="330"/>
        <item x="3"/>
        <item x="329"/>
        <item x="162"/>
        <item x="41"/>
        <item x="200"/>
        <item x="278"/>
        <item x="269"/>
        <item x="124"/>
        <item x="307"/>
        <item x="45"/>
        <item x="208"/>
        <item x="42"/>
        <item x="233"/>
        <item x="192"/>
        <item x="221"/>
        <item x="314"/>
        <item x="276"/>
        <item x="30"/>
        <item x="369"/>
        <item x="189"/>
        <item x="120"/>
        <item x="210"/>
        <item x="71"/>
        <item x="110"/>
        <item x="96"/>
        <item x="235"/>
        <item x="230"/>
        <item x="115"/>
        <item x="27"/>
        <item x="184"/>
        <item x="190"/>
        <item x="46"/>
        <item x="317"/>
        <item x="194"/>
        <item x="31"/>
        <item x="236"/>
        <item x="273"/>
        <item x="40"/>
        <item x="207"/>
        <item x="2"/>
        <item x="205"/>
        <item x="28"/>
        <item x="37"/>
        <item x="204"/>
        <item x="380"/>
        <item x="11"/>
        <item x="176"/>
        <item x="339"/>
        <item x="152"/>
        <item x="44"/>
        <item x="59"/>
        <item x="161"/>
        <item x="234"/>
        <item x="358"/>
        <item x="266"/>
        <item x="211"/>
        <item x="239"/>
        <item x="277"/>
        <item x="209"/>
        <item x="231"/>
        <item x="43"/>
        <item x="216"/>
        <item x="153"/>
        <item x="149"/>
        <item x="67"/>
        <item x="333"/>
        <item x="274"/>
        <item x="238"/>
        <item x="350"/>
        <item x="206"/>
        <item x="322"/>
        <item x="58"/>
        <item x="335"/>
        <item x="357"/>
        <item x="267"/>
        <item x="145"/>
        <item x="126"/>
        <item x="349"/>
        <item x="289"/>
        <item x="302"/>
        <item x="340"/>
        <item x="268"/>
        <item x="197"/>
        <item x="334"/>
        <item x="228"/>
        <item x="212"/>
        <item x="225"/>
        <item x="25"/>
        <item x="171"/>
        <item x="232"/>
        <item x="381"/>
        <item x="122"/>
        <item x="54"/>
        <item x="213"/>
        <item x="270"/>
        <item x="193"/>
        <item x="125"/>
        <item x="121"/>
        <item x="127"/>
        <item x="79"/>
        <item x="185"/>
        <item x="60"/>
        <item x="75"/>
        <item x="178"/>
        <item x="38"/>
        <item x="53"/>
        <item x="186"/>
        <item x="217"/>
        <item x="222"/>
        <item x="118"/>
        <item x="283"/>
        <item x="195"/>
        <item x="347"/>
        <item x="336"/>
        <item x="151"/>
        <item x="98"/>
        <item x="183"/>
        <item x="275"/>
        <item x="92"/>
        <item x="84"/>
        <item x="50"/>
        <item x="157"/>
        <item x="34"/>
        <item x="119"/>
        <item x="48"/>
        <item x="123"/>
        <item x="150"/>
        <item x="294"/>
        <item x="256"/>
        <item x="33"/>
        <item x="97"/>
        <item x="49"/>
        <item x="155"/>
        <item x="156"/>
        <item x="139"/>
        <item x="39"/>
        <item x="154"/>
        <item x="214"/>
        <item x="158"/>
        <item x="68"/>
        <item x="215"/>
        <item x="224"/>
        <item x="226"/>
        <item t="default"/>
      </items>
    </pivotField>
    <pivotField showAll="0"/>
    <pivotField showAll="0"/>
    <pivotField showAll="0"/>
    <pivotField showAll="0"/>
    <pivotField showAll="0"/>
    <pivotField showAll="0"/>
    <pivotField axis="axisRow" dataField="1" showAll="0">
      <items count="16">
        <item x="9"/>
        <item x="3"/>
        <item x="8"/>
        <item x="0"/>
        <item x="11"/>
        <item x="6"/>
        <item x="7"/>
        <item x="2"/>
        <item x="10"/>
        <item x="13"/>
        <item x="12"/>
        <item x="4"/>
        <item x="5"/>
        <item x="14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3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-2"/>
  </colFields>
  <colItems count="2">
    <i>
      <x/>
    </i>
    <i i="1">
      <x v="1"/>
    </i>
  </colItems>
  <pageFields count="1">
    <pageField fld="5" hier="-1"/>
  </pageFields>
  <dataFields count="2">
    <dataField name="Soma de Volume R$ (100 MM)" fld="19" baseField="0" baseItem="0"/>
    <dataField name="Contagem de Corporate Rating na data da Emissão" fld="30" subtotal="count" baseField="0" baseItem="0"/>
  </dataFields>
  <formats count="1">
    <format dxfId="3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FB35BF-CB26-44E8-9BA5-498F4C5295E9}" name="Tabela dinâmica7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N5:P189" firstHeaderRow="0" firstDataRow="1" firstDataCol="1" rowPageCount="2" colPageCount="1"/>
  <pivotFields count="35"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4" showAll="0"/>
    <pivotField numFmtId="3" showAll="0"/>
    <pivotField showAll="0"/>
    <pivotField showAll="0"/>
    <pivotField showAll="0"/>
    <pivotField showAll="0"/>
    <pivotField showAll="0"/>
    <pivotField numFmtId="3" showAll="0"/>
    <pivotField dataField="1" numFmtId="4" showAll="0"/>
    <pivotField showAll="0"/>
    <pivotField showAll="0"/>
    <pivotField showAll="0"/>
    <pivotField axis="axisRow" numFmtId="10" showAll="0">
      <items count="383">
        <item x="254"/>
        <item x="262"/>
        <item x="259"/>
        <item x="287"/>
        <item x="174"/>
        <item x="258"/>
        <item x="284"/>
        <item x="73"/>
        <item x="359"/>
        <item x="361"/>
        <item x="77"/>
        <item x="260"/>
        <item x="263"/>
        <item x="69"/>
        <item x="315"/>
        <item x="368"/>
        <item x="363"/>
        <item x="261"/>
        <item x="338"/>
        <item x="364"/>
        <item x="102"/>
        <item x="301"/>
        <item x="100"/>
        <item x="320"/>
        <item x="76"/>
        <item x="286"/>
        <item x="203"/>
        <item x="298"/>
        <item x="136"/>
        <item x="87"/>
        <item x="318"/>
        <item x="106"/>
        <item x="86"/>
        <item x="141"/>
        <item x="66"/>
        <item x="354"/>
        <item x="35"/>
        <item x="257"/>
        <item x="265"/>
        <item x="140"/>
        <item x="138"/>
        <item x="306"/>
        <item x="280"/>
        <item x="142"/>
        <item x="63"/>
        <item x="344"/>
        <item x="264"/>
        <item x="316"/>
        <item x="321"/>
        <item x="81"/>
        <item x="128"/>
        <item x="300"/>
        <item x="242"/>
        <item x="101"/>
        <item x="51"/>
        <item x="319"/>
        <item x="360"/>
        <item x="32"/>
        <item x="362"/>
        <item x="343"/>
        <item x="308"/>
        <item x="181"/>
        <item x="70"/>
        <item x="82"/>
        <item x="356"/>
        <item x="199"/>
        <item x="240"/>
        <item x="89"/>
        <item x="352"/>
        <item x="281"/>
        <item x="373"/>
        <item x="285"/>
        <item x="379"/>
        <item x="243"/>
        <item x="93"/>
        <item x="297"/>
        <item x="88"/>
        <item x="303"/>
        <item x="296"/>
        <item x="244"/>
        <item x="252"/>
        <item x="143"/>
        <item x="332"/>
        <item x="175"/>
        <item x="241"/>
        <item x="95"/>
        <item x="135"/>
        <item x="370"/>
        <item x="36"/>
        <item x="247"/>
        <item x="130"/>
        <item x="129"/>
        <item x="29"/>
        <item x="293"/>
        <item x="116"/>
        <item x="305"/>
        <item x="15"/>
        <item x="117"/>
        <item x="246"/>
        <item x="83"/>
        <item x="375"/>
        <item x="164"/>
        <item x="245"/>
        <item x="353"/>
        <item x="187"/>
        <item x="202"/>
        <item x="169"/>
        <item x="182"/>
        <item x="188"/>
        <item x="21"/>
        <item x="8"/>
        <item x="0"/>
        <item x="131"/>
        <item x="248"/>
        <item x="132"/>
        <item x="148"/>
        <item x="366"/>
        <item x="378"/>
        <item x="253"/>
        <item x="147"/>
        <item x="341"/>
        <item x="167"/>
        <item x="160"/>
        <item x="166"/>
        <item x="159"/>
        <item x="288"/>
        <item x="52"/>
        <item x="312"/>
        <item x="16"/>
        <item x="249"/>
        <item x="177"/>
        <item x="291"/>
        <item x="165"/>
        <item x="345"/>
        <item x="14"/>
        <item x="134"/>
        <item x="198"/>
        <item x="113"/>
        <item x="18"/>
        <item x="19"/>
        <item x="310"/>
        <item x="62"/>
        <item x="4"/>
        <item x="103"/>
        <item x="12"/>
        <item x="168"/>
        <item x="163"/>
        <item x="172"/>
        <item x="146"/>
        <item x="144"/>
        <item x="94"/>
        <item x="72"/>
        <item x="23"/>
        <item x="337"/>
        <item x="114"/>
        <item x="47"/>
        <item x="22"/>
        <item x="24"/>
        <item x="65"/>
        <item x="191"/>
        <item x="20"/>
        <item x="99"/>
        <item x="61"/>
        <item x="377"/>
        <item x="237"/>
        <item x="279"/>
        <item x="91"/>
        <item x="56"/>
        <item x="180"/>
        <item x="170"/>
        <item x="173"/>
        <item x="271"/>
        <item x="348"/>
        <item x="107"/>
        <item x="64"/>
        <item x="90"/>
        <item x="292"/>
        <item x="346"/>
        <item x="26"/>
        <item x="85"/>
        <item x="309"/>
        <item x="311"/>
        <item x="374"/>
        <item x="376"/>
        <item x="220"/>
        <item x="5"/>
        <item x="272"/>
        <item x="365"/>
        <item x="251"/>
        <item x="1"/>
        <item x="255"/>
        <item x="367"/>
        <item x="112"/>
        <item x="57"/>
        <item x="201"/>
        <item x="109"/>
        <item x="137"/>
        <item x="223"/>
        <item x="371"/>
        <item x="326"/>
        <item x="80"/>
        <item x="7"/>
        <item x="290"/>
        <item x="219"/>
        <item x="313"/>
        <item x="227"/>
        <item x="78"/>
        <item x="55"/>
        <item x="10"/>
        <item x="342"/>
        <item x="13"/>
        <item x="328"/>
        <item x="108"/>
        <item x="327"/>
        <item x="133"/>
        <item x="179"/>
        <item x="325"/>
        <item x="229"/>
        <item x="9"/>
        <item x="355"/>
        <item x="304"/>
        <item x="74"/>
        <item x="17"/>
        <item x="323"/>
        <item x="299"/>
        <item x="218"/>
        <item x="6"/>
        <item x="104"/>
        <item x="282"/>
        <item x="250"/>
        <item x="324"/>
        <item x="196"/>
        <item x="331"/>
        <item x="295"/>
        <item x="351"/>
        <item x="105"/>
        <item x="372"/>
        <item x="111"/>
        <item x="330"/>
        <item x="3"/>
        <item x="329"/>
        <item x="162"/>
        <item x="41"/>
        <item x="200"/>
        <item x="278"/>
        <item x="269"/>
        <item x="124"/>
        <item x="307"/>
        <item x="45"/>
        <item x="208"/>
        <item x="42"/>
        <item x="233"/>
        <item x="192"/>
        <item x="221"/>
        <item x="314"/>
        <item x="276"/>
        <item x="30"/>
        <item x="369"/>
        <item x="189"/>
        <item x="120"/>
        <item x="210"/>
        <item x="71"/>
        <item x="110"/>
        <item x="96"/>
        <item x="235"/>
        <item x="230"/>
        <item x="115"/>
        <item x="27"/>
        <item x="184"/>
        <item x="190"/>
        <item x="46"/>
        <item x="317"/>
        <item x="194"/>
        <item x="31"/>
        <item x="236"/>
        <item x="273"/>
        <item x="40"/>
        <item x="207"/>
        <item x="2"/>
        <item x="205"/>
        <item x="28"/>
        <item x="37"/>
        <item x="204"/>
        <item x="380"/>
        <item x="11"/>
        <item x="176"/>
        <item x="339"/>
        <item x="152"/>
        <item x="44"/>
        <item x="59"/>
        <item x="161"/>
        <item x="234"/>
        <item x="358"/>
        <item x="266"/>
        <item x="211"/>
        <item x="239"/>
        <item x="277"/>
        <item x="209"/>
        <item x="231"/>
        <item x="43"/>
        <item x="216"/>
        <item x="153"/>
        <item x="149"/>
        <item x="67"/>
        <item x="333"/>
        <item x="274"/>
        <item x="238"/>
        <item x="350"/>
        <item x="206"/>
        <item x="322"/>
        <item x="58"/>
        <item x="335"/>
        <item x="357"/>
        <item x="267"/>
        <item x="145"/>
        <item x="126"/>
        <item x="349"/>
        <item x="289"/>
        <item x="302"/>
        <item x="340"/>
        <item x="268"/>
        <item x="197"/>
        <item x="334"/>
        <item x="228"/>
        <item x="212"/>
        <item x="225"/>
        <item x="25"/>
        <item x="171"/>
        <item x="232"/>
        <item x="381"/>
        <item x="122"/>
        <item x="54"/>
        <item x="213"/>
        <item x="270"/>
        <item x="193"/>
        <item x="125"/>
        <item x="121"/>
        <item x="127"/>
        <item x="79"/>
        <item x="185"/>
        <item x="60"/>
        <item x="75"/>
        <item x="178"/>
        <item x="38"/>
        <item x="53"/>
        <item x="186"/>
        <item x="217"/>
        <item x="222"/>
        <item x="118"/>
        <item x="283"/>
        <item x="195"/>
        <item x="347"/>
        <item x="336"/>
        <item x="151"/>
        <item x="98"/>
        <item x="183"/>
        <item x="275"/>
        <item x="92"/>
        <item x="84"/>
        <item x="50"/>
        <item x="157"/>
        <item x="34"/>
        <item x="119"/>
        <item x="48"/>
        <item x="123"/>
        <item x="150"/>
        <item x="294"/>
        <item x="256"/>
        <item x="33"/>
        <item x="97"/>
        <item x="49"/>
        <item x="155"/>
        <item x="156"/>
        <item x="139"/>
        <item x="39"/>
        <item x="154"/>
        <item x="214"/>
        <item x="158"/>
        <item x="68"/>
        <item x="215"/>
        <item x="224"/>
        <item x="226"/>
        <item t="default"/>
      </items>
    </pivotField>
    <pivotField showAll="0"/>
    <pivotField showAll="0"/>
    <pivotField dataField="1"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23"/>
  </rowFields>
  <rowItems count="184">
    <i>
      <x/>
    </i>
    <i>
      <x v="4"/>
    </i>
    <i>
      <x v="17"/>
    </i>
    <i>
      <x v="18"/>
    </i>
    <i>
      <x v="20"/>
    </i>
    <i>
      <x v="26"/>
    </i>
    <i>
      <x v="31"/>
    </i>
    <i>
      <x v="32"/>
    </i>
    <i>
      <x v="33"/>
    </i>
    <i>
      <x v="35"/>
    </i>
    <i>
      <x v="36"/>
    </i>
    <i>
      <x v="37"/>
    </i>
    <i>
      <x v="38"/>
    </i>
    <i>
      <x v="39"/>
    </i>
    <i>
      <x v="41"/>
    </i>
    <i>
      <x v="43"/>
    </i>
    <i>
      <x v="46"/>
    </i>
    <i>
      <x v="49"/>
    </i>
    <i>
      <x v="50"/>
    </i>
    <i>
      <x v="52"/>
    </i>
    <i>
      <x v="53"/>
    </i>
    <i>
      <x v="54"/>
    </i>
    <i>
      <x v="57"/>
    </i>
    <i>
      <x v="60"/>
    </i>
    <i>
      <x v="62"/>
    </i>
    <i>
      <x v="63"/>
    </i>
    <i>
      <x v="66"/>
    </i>
    <i>
      <x v="67"/>
    </i>
    <i>
      <x v="68"/>
    </i>
    <i>
      <x v="70"/>
    </i>
    <i>
      <x v="72"/>
    </i>
    <i>
      <x v="73"/>
    </i>
    <i>
      <x v="74"/>
    </i>
    <i>
      <x v="75"/>
    </i>
    <i>
      <x v="76"/>
    </i>
    <i>
      <x v="77"/>
    </i>
    <i>
      <x v="79"/>
    </i>
    <i>
      <x v="80"/>
    </i>
    <i>
      <x v="82"/>
    </i>
    <i>
      <x v="83"/>
    </i>
    <i>
      <x v="84"/>
    </i>
    <i>
      <x v="85"/>
    </i>
    <i>
      <x v="87"/>
    </i>
    <i>
      <x v="88"/>
    </i>
    <i>
      <x v="89"/>
    </i>
    <i>
      <x v="91"/>
    </i>
    <i>
      <x v="92"/>
    </i>
    <i>
      <x v="93"/>
    </i>
    <i>
      <x v="95"/>
    </i>
    <i>
      <x v="96"/>
    </i>
    <i>
      <x v="98"/>
    </i>
    <i>
      <x v="99"/>
    </i>
    <i>
      <x v="100"/>
    </i>
    <i>
      <x v="101"/>
    </i>
    <i>
      <x v="102"/>
    </i>
    <i>
      <x v="103"/>
    </i>
    <i>
      <x v="105"/>
    </i>
    <i>
      <x v="108"/>
    </i>
    <i>
      <x v="109"/>
    </i>
    <i>
      <x v="110"/>
    </i>
    <i>
      <x v="112"/>
    </i>
    <i>
      <x v="113"/>
    </i>
    <i>
      <x v="117"/>
    </i>
    <i>
      <x v="118"/>
    </i>
    <i>
      <x v="121"/>
    </i>
    <i>
      <x v="123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4"/>
    </i>
    <i>
      <x v="136"/>
    </i>
    <i>
      <x v="138"/>
    </i>
    <i>
      <x v="139"/>
    </i>
    <i>
      <x v="142"/>
    </i>
    <i>
      <x v="144"/>
    </i>
    <i>
      <x v="145"/>
    </i>
    <i>
      <x v="146"/>
    </i>
    <i>
      <x v="147"/>
    </i>
    <i>
      <x v="150"/>
    </i>
    <i>
      <x v="151"/>
    </i>
    <i>
      <x v="152"/>
    </i>
    <i>
      <x v="153"/>
    </i>
    <i>
      <x v="155"/>
    </i>
    <i>
      <x v="156"/>
    </i>
    <i>
      <x v="157"/>
    </i>
    <i>
      <x v="160"/>
    </i>
    <i>
      <x v="161"/>
    </i>
    <i>
      <x v="163"/>
    </i>
    <i>
      <x v="164"/>
    </i>
    <i>
      <x v="166"/>
    </i>
    <i>
      <x v="169"/>
    </i>
    <i>
      <x v="173"/>
    </i>
    <i>
      <x v="175"/>
    </i>
    <i>
      <x v="176"/>
    </i>
    <i>
      <x v="178"/>
    </i>
    <i>
      <x v="179"/>
    </i>
    <i>
      <x v="182"/>
    </i>
    <i>
      <x v="183"/>
    </i>
    <i>
      <x v="185"/>
    </i>
    <i>
      <x v="193"/>
    </i>
    <i>
      <x v="194"/>
    </i>
    <i>
      <x v="195"/>
    </i>
    <i>
      <x v="196"/>
    </i>
    <i>
      <x v="198"/>
    </i>
    <i>
      <x v="199"/>
    </i>
    <i>
      <x v="201"/>
    </i>
    <i>
      <x v="202"/>
    </i>
    <i>
      <x v="204"/>
    </i>
    <i>
      <x v="205"/>
    </i>
    <i>
      <x v="207"/>
    </i>
    <i>
      <x v="208"/>
    </i>
    <i>
      <x v="210"/>
    </i>
    <i>
      <x v="211"/>
    </i>
    <i>
      <x v="212"/>
    </i>
    <i>
      <x v="213"/>
    </i>
    <i>
      <x v="216"/>
    </i>
    <i>
      <x v="217"/>
    </i>
    <i>
      <x v="220"/>
    </i>
    <i>
      <x v="222"/>
    </i>
    <i>
      <x v="226"/>
    </i>
    <i>
      <x v="227"/>
    </i>
    <i>
      <x v="230"/>
    </i>
    <i>
      <x v="231"/>
    </i>
    <i>
      <x v="232"/>
    </i>
    <i>
      <x v="233"/>
    </i>
    <i>
      <x v="235"/>
    </i>
    <i>
      <x v="236"/>
    </i>
    <i>
      <x v="238"/>
    </i>
    <i>
      <x v="239"/>
    </i>
    <i>
      <x v="240"/>
    </i>
    <i>
      <x v="242"/>
    </i>
    <i>
      <x v="243"/>
    </i>
    <i>
      <x v="247"/>
    </i>
    <i>
      <x v="248"/>
    </i>
    <i>
      <x v="250"/>
    </i>
    <i>
      <x v="251"/>
    </i>
    <i>
      <x v="252"/>
    </i>
    <i>
      <x v="254"/>
    </i>
    <i>
      <x v="256"/>
    </i>
    <i>
      <x v="258"/>
    </i>
    <i>
      <x v="261"/>
    </i>
    <i>
      <x v="262"/>
    </i>
    <i>
      <x v="263"/>
    </i>
    <i>
      <x v="264"/>
    </i>
    <i>
      <x v="265"/>
    </i>
    <i>
      <x v="270"/>
    </i>
    <i>
      <x v="273"/>
    </i>
    <i>
      <x v="274"/>
    </i>
    <i>
      <x v="276"/>
    </i>
    <i>
      <x v="277"/>
    </i>
    <i>
      <x v="278"/>
    </i>
    <i>
      <x v="281"/>
    </i>
    <i>
      <x v="288"/>
    </i>
    <i>
      <x v="291"/>
    </i>
    <i>
      <x v="298"/>
    </i>
    <i>
      <x v="299"/>
    </i>
    <i>
      <x v="302"/>
    </i>
    <i>
      <x v="304"/>
    </i>
    <i>
      <x v="308"/>
    </i>
    <i>
      <x v="310"/>
    </i>
    <i>
      <x v="315"/>
    </i>
    <i>
      <x v="317"/>
    </i>
    <i>
      <x v="321"/>
    </i>
    <i>
      <x v="323"/>
    </i>
    <i>
      <x v="327"/>
    </i>
    <i>
      <x v="331"/>
    </i>
    <i>
      <x v="339"/>
    </i>
    <i>
      <x v="343"/>
    </i>
    <i>
      <x v="344"/>
    </i>
    <i>
      <x v="345"/>
    </i>
    <i>
      <x v="350"/>
    </i>
    <i>
      <x v="353"/>
    </i>
    <i>
      <x v="357"/>
    </i>
    <i>
      <x v="358"/>
    </i>
    <i>
      <x v="361"/>
    </i>
    <i>
      <x v="363"/>
    </i>
    <i>
      <x v="365"/>
    </i>
    <i>
      <x v="366"/>
    </i>
    <i>
      <x v="368"/>
    </i>
    <i t="grand">
      <x/>
    </i>
  </rowItems>
  <colFields count="1">
    <field x="-2"/>
  </colFields>
  <colItems count="2">
    <i>
      <x/>
    </i>
    <i i="1">
      <x v="1"/>
    </i>
  </colItems>
  <pageFields count="2">
    <pageField fld="5" item="1" hier="-1"/>
    <pageField fld="27" item="0" hier="-1"/>
  </pageFields>
  <dataFields count="2">
    <dataField name="Soma de Volume R$ (100 MM)" fld="19" baseField="0" baseItem="0"/>
    <dataField name="Contagem de Deb. Incent. (Lei 12.431)" fld="26" subtotal="count" baseField="0" baseItem="0"/>
  </dataFields>
  <formats count="1">
    <format dxfId="3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DB74D1-2C82-4337-9090-C5ECD121D36B}" name="Tabela dinâmica3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I5:K48" firstHeaderRow="0" firstDataRow="1" firstDataCol="1" rowPageCount="2" colPageCount="1"/>
  <pivotFields count="35"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4" showAll="0"/>
    <pivotField numFmtId="3" showAll="0"/>
    <pivotField showAll="0"/>
    <pivotField showAll="0"/>
    <pivotField showAll="0"/>
    <pivotField showAll="0"/>
    <pivotField showAll="0"/>
    <pivotField numFmtId="3" showAll="0"/>
    <pivotField dataField="1" numFmtId="4" showAll="0"/>
    <pivotField showAll="0"/>
    <pivotField showAll="0"/>
    <pivotField showAll="0"/>
    <pivotField axis="axisRow" numFmtId="10" showAll="0">
      <items count="383">
        <item x="254"/>
        <item x="262"/>
        <item x="259"/>
        <item x="287"/>
        <item x="174"/>
        <item x="258"/>
        <item x="284"/>
        <item x="73"/>
        <item x="359"/>
        <item x="361"/>
        <item x="77"/>
        <item x="260"/>
        <item x="263"/>
        <item x="69"/>
        <item x="315"/>
        <item x="368"/>
        <item x="363"/>
        <item x="261"/>
        <item x="338"/>
        <item x="364"/>
        <item x="102"/>
        <item x="301"/>
        <item x="100"/>
        <item x="320"/>
        <item x="76"/>
        <item x="286"/>
        <item x="203"/>
        <item x="298"/>
        <item x="136"/>
        <item x="87"/>
        <item x="318"/>
        <item x="106"/>
        <item x="86"/>
        <item x="141"/>
        <item x="66"/>
        <item x="354"/>
        <item x="35"/>
        <item x="257"/>
        <item x="265"/>
        <item x="140"/>
        <item x="138"/>
        <item x="306"/>
        <item x="280"/>
        <item x="142"/>
        <item x="63"/>
        <item x="344"/>
        <item x="264"/>
        <item x="316"/>
        <item x="321"/>
        <item x="81"/>
        <item x="128"/>
        <item x="300"/>
        <item x="242"/>
        <item x="101"/>
        <item x="51"/>
        <item x="319"/>
        <item x="360"/>
        <item x="32"/>
        <item x="362"/>
        <item x="343"/>
        <item x="308"/>
        <item x="181"/>
        <item x="70"/>
        <item x="82"/>
        <item x="356"/>
        <item x="199"/>
        <item x="240"/>
        <item x="89"/>
        <item x="352"/>
        <item x="281"/>
        <item x="373"/>
        <item x="285"/>
        <item x="379"/>
        <item x="243"/>
        <item x="93"/>
        <item x="297"/>
        <item x="88"/>
        <item x="303"/>
        <item x="296"/>
        <item x="244"/>
        <item x="252"/>
        <item x="143"/>
        <item x="332"/>
        <item x="175"/>
        <item x="241"/>
        <item x="95"/>
        <item x="135"/>
        <item x="370"/>
        <item x="36"/>
        <item x="247"/>
        <item x="130"/>
        <item x="129"/>
        <item x="29"/>
        <item x="293"/>
        <item x="116"/>
        <item x="305"/>
        <item x="15"/>
        <item x="117"/>
        <item x="246"/>
        <item x="83"/>
        <item x="375"/>
        <item x="164"/>
        <item x="245"/>
        <item x="353"/>
        <item x="187"/>
        <item x="202"/>
        <item x="169"/>
        <item x="182"/>
        <item x="188"/>
        <item x="21"/>
        <item x="8"/>
        <item x="0"/>
        <item x="131"/>
        <item x="248"/>
        <item x="132"/>
        <item x="148"/>
        <item x="366"/>
        <item x="378"/>
        <item x="253"/>
        <item x="147"/>
        <item x="341"/>
        <item x="167"/>
        <item x="160"/>
        <item x="166"/>
        <item x="159"/>
        <item x="288"/>
        <item x="52"/>
        <item x="312"/>
        <item x="16"/>
        <item x="249"/>
        <item x="177"/>
        <item x="291"/>
        <item x="165"/>
        <item x="345"/>
        <item x="14"/>
        <item x="134"/>
        <item x="198"/>
        <item x="113"/>
        <item x="18"/>
        <item x="19"/>
        <item x="310"/>
        <item x="62"/>
        <item x="4"/>
        <item x="103"/>
        <item x="12"/>
        <item x="168"/>
        <item x="163"/>
        <item x="172"/>
        <item x="146"/>
        <item x="144"/>
        <item x="94"/>
        <item x="72"/>
        <item x="23"/>
        <item x="337"/>
        <item x="114"/>
        <item x="47"/>
        <item x="22"/>
        <item x="24"/>
        <item x="65"/>
        <item x="191"/>
        <item x="20"/>
        <item x="99"/>
        <item x="61"/>
        <item x="377"/>
        <item x="237"/>
        <item x="279"/>
        <item x="91"/>
        <item x="56"/>
        <item x="180"/>
        <item x="170"/>
        <item x="173"/>
        <item x="271"/>
        <item x="348"/>
        <item x="107"/>
        <item x="64"/>
        <item x="90"/>
        <item x="292"/>
        <item x="346"/>
        <item x="26"/>
        <item x="85"/>
        <item x="309"/>
        <item x="311"/>
        <item x="374"/>
        <item x="376"/>
        <item x="220"/>
        <item x="5"/>
        <item x="272"/>
        <item x="365"/>
        <item x="251"/>
        <item x="1"/>
        <item x="255"/>
        <item x="367"/>
        <item x="112"/>
        <item x="57"/>
        <item x="201"/>
        <item x="109"/>
        <item x="137"/>
        <item x="223"/>
        <item x="371"/>
        <item x="326"/>
        <item x="80"/>
        <item x="7"/>
        <item x="290"/>
        <item x="219"/>
        <item x="313"/>
        <item x="227"/>
        <item x="78"/>
        <item x="55"/>
        <item x="10"/>
        <item x="342"/>
        <item x="13"/>
        <item x="328"/>
        <item x="108"/>
        <item x="327"/>
        <item x="133"/>
        <item x="179"/>
        <item x="325"/>
        <item x="229"/>
        <item x="9"/>
        <item x="355"/>
        <item x="304"/>
        <item x="74"/>
        <item x="17"/>
        <item x="323"/>
        <item x="299"/>
        <item x="218"/>
        <item x="6"/>
        <item x="104"/>
        <item x="282"/>
        <item x="250"/>
        <item x="324"/>
        <item x="196"/>
        <item x="331"/>
        <item x="295"/>
        <item x="351"/>
        <item x="105"/>
        <item x="372"/>
        <item x="111"/>
        <item x="330"/>
        <item x="3"/>
        <item x="329"/>
        <item x="162"/>
        <item x="41"/>
        <item x="200"/>
        <item x="278"/>
        <item x="269"/>
        <item x="124"/>
        <item x="307"/>
        <item x="45"/>
        <item x="208"/>
        <item x="42"/>
        <item x="233"/>
        <item x="192"/>
        <item x="221"/>
        <item x="314"/>
        <item x="276"/>
        <item x="30"/>
        <item x="369"/>
        <item x="189"/>
        <item x="120"/>
        <item x="210"/>
        <item x="71"/>
        <item x="110"/>
        <item x="96"/>
        <item x="235"/>
        <item x="230"/>
        <item x="115"/>
        <item x="27"/>
        <item x="184"/>
        <item x="190"/>
        <item x="46"/>
        <item x="317"/>
        <item x="194"/>
        <item x="31"/>
        <item x="236"/>
        <item x="273"/>
        <item x="40"/>
        <item x="207"/>
        <item x="2"/>
        <item x="205"/>
        <item x="28"/>
        <item x="37"/>
        <item x="204"/>
        <item x="380"/>
        <item x="11"/>
        <item x="176"/>
        <item x="339"/>
        <item x="152"/>
        <item x="44"/>
        <item x="59"/>
        <item x="161"/>
        <item x="234"/>
        <item x="358"/>
        <item x="266"/>
        <item x="211"/>
        <item x="239"/>
        <item x="277"/>
        <item x="209"/>
        <item x="231"/>
        <item x="43"/>
        <item x="216"/>
        <item x="153"/>
        <item x="149"/>
        <item x="67"/>
        <item x="333"/>
        <item x="274"/>
        <item x="238"/>
        <item x="350"/>
        <item x="206"/>
        <item x="322"/>
        <item x="58"/>
        <item x="335"/>
        <item x="357"/>
        <item x="267"/>
        <item x="145"/>
        <item x="126"/>
        <item x="349"/>
        <item x="289"/>
        <item x="302"/>
        <item x="340"/>
        <item x="268"/>
        <item x="197"/>
        <item x="334"/>
        <item x="228"/>
        <item x="212"/>
        <item x="225"/>
        <item x="25"/>
        <item x="171"/>
        <item x="232"/>
        <item x="381"/>
        <item x="122"/>
        <item x="54"/>
        <item x="213"/>
        <item x="270"/>
        <item x="193"/>
        <item x="125"/>
        <item x="121"/>
        <item x="127"/>
        <item x="79"/>
        <item x="185"/>
        <item x="60"/>
        <item x="75"/>
        <item x="178"/>
        <item x="38"/>
        <item x="53"/>
        <item x="186"/>
        <item x="217"/>
        <item x="222"/>
        <item x="118"/>
        <item x="283"/>
        <item x="195"/>
        <item x="347"/>
        <item x="336"/>
        <item x="151"/>
        <item x="98"/>
        <item x="183"/>
        <item x="275"/>
        <item x="92"/>
        <item x="84"/>
        <item x="50"/>
        <item x="157"/>
        <item x="34"/>
        <item x="119"/>
        <item x="48"/>
        <item x="123"/>
        <item x="150"/>
        <item x="294"/>
        <item x="256"/>
        <item x="33"/>
        <item x="97"/>
        <item x="49"/>
        <item x="155"/>
        <item x="156"/>
        <item x="139"/>
        <item x="39"/>
        <item x="154"/>
        <item x="214"/>
        <item x="158"/>
        <item x="68"/>
        <item x="215"/>
        <item x="224"/>
        <item x="226"/>
        <item t="default"/>
      </items>
    </pivotField>
    <pivotField showAll="0"/>
    <pivotField showAll="0"/>
    <pivotField dataField="1"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23"/>
  </rowFields>
  <rowItems count="43">
    <i>
      <x v="1"/>
    </i>
    <i>
      <x v="2"/>
    </i>
    <i>
      <x v="5"/>
    </i>
    <i>
      <x v="8"/>
    </i>
    <i>
      <x v="9"/>
    </i>
    <i>
      <x v="11"/>
    </i>
    <i>
      <x v="12"/>
    </i>
    <i>
      <x v="14"/>
    </i>
    <i>
      <x v="16"/>
    </i>
    <i>
      <x v="17"/>
    </i>
    <i>
      <x v="19"/>
    </i>
    <i>
      <x v="23"/>
    </i>
    <i>
      <x v="27"/>
    </i>
    <i>
      <x v="28"/>
    </i>
    <i>
      <x v="29"/>
    </i>
    <i>
      <x v="30"/>
    </i>
    <i>
      <x v="40"/>
    </i>
    <i>
      <x v="47"/>
    </i>
    <i>
      <x v="48"/>
    </i>
    <i>
      <x v="51"/>
    </i>
    <i>
      <x v="55"/>
    </i>
    <i>
      <x v="56"/>
    </i>
    <i>
      <x v="58"/>
    </i>
    <i>
      <x v="65"/>
    </i>
    <i>
      <x v="90"/>
    </i>
    <i>
      <x v="94"/>
    </i>
    <i>
      <x v="97"/>
    </i>
    <i>
      <x v="104"/>
    </i>
    <i>
      <x v="111"/>
    </i>
    <i>
      <x v="114"/>
    </i>
    <i>
      <x v="122"/>
    </i>
    <i>
      <x v="124"/>
    </i>
    <i>
      <x v="159"/>
    </i>
    <i>
      <x v="167"/>
    </i>
    <i>
      <x v="224"/>
    </i>
    <i>
      <x v="269"/>
    </i>
    <i>
      <x v="271"/>
    </i>
    <i>
      <x v="272"/>
    </i>
    <i>
      <x v="284"/>
    </i>
    <i>
      <x v="326"/>
    </i>
    <i>
      <x v="328"/>
    </i>
    <i>
      <x v="334"/>
    </i>
    <i t="grand">
      <x/>
    </i>
  </rowItems>
  <colFields count="1">
    <field x="-2"/>
  </colFields>
  <colItems count="2">
    <i>
      <x/>
    </i>
    <i i="1">
      <x v="1"/>
    </i>
  </colItems>
  <pageFields count="2">
    <pageField fld="5" item="1" hier="-1"/>
    <pageField fld="27" item="1" hier="-1"/>
  </pageFields>
  <dataFields count="2">
    <dataField name="Soma de Volume R$ (100 MM)" fld="19" baseField="0" baseItem="0"/>
    <dataField name="Contagem de Deb. Incent. (Lei 12.431)" fld="26" subtotal="count" baseField="0" baseItem="0"/>
  </dataFields>
  <formats count="3">
    <format dxfId="33">
      <pivotArea outline="0" collapsedLevelsAreSubtotals="1" fieldPosition="0"/>
    </format>
    <format dxfId="32">
      <pivotArea collapsedLevelsAreSubtotals="1" fieldPosition="0">
        <references count="1">
          <reference field="23" count="42">
            <x v="1"/>
            <x v="2"/>
            <x v="5"/>
            <x v="8"/>
            <x v="9"/>
            <x v="11"/>
            <x v="12"/>
            <x v="14"/>
            <x v="16"/>
            <x v="17"/>
            <x v="19"/>
            <x v="23"/>
            <x v="27"/>
            <x v="28"/>
            <x v="29"/>
            <x v="30"/>
            <x v="40"/>
            <x v="47"/>
            <x v="48"/>
            <x v="51"/>
            <x v="55"/>
            <x v="56"/>
            <x v="58"/>
            <x v="65"/>
            <x v="90"/>
            <x v="94"/>
            <x v="97"/>
            <x v="104"/>
            <x v="111"/>
            <x v="114"/>
            <x v="122"/>
            <x v="124"/>
            <x v="159"/>
            <x v="167"/>
            <x v="224"/>
            <x v="269"/>
            <x v="271"/>
            <x v="272"/>
            <x v="284"/>
            <x v="326"/>
            <x v="328"/>
            <x v="334"/>
          </reference>
        </references>
      </pivotArea>
    </format>
    <format dxfId="31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0ADCC2-B822-4D7C-B6FE-5DC2AF6B3EE0}" name="Tabela dinâmica9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Y5:Y212" firstHeaderRow="1" firstDataRow="1" firstDataCol="1" rowPageCount="2" colPageCount="1"/>
  <pivotFields count="35"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4" showAll="0"/>
    <pivotField numFmtId="3" showAll="0"/>
    <pivotField showAll="0"/>
    <pivotField axis="axisPage" showAll="0">
      <items count="5">
        <item x="1"/>
        <item x="0"/>
        <item m="1" x="2"/>
        <item m="1" x="3"/>
        <item t="default"/>
      </items>
    </pivotField>
    <pivotField showAll="0"/>
    <pivotField showAll="0"/>
    <pivotField showAll="0"/>
    <pivotField numFmtId="3" showAll="0"/>
    <pivotField numFmtId="4" showAll="0"/>
    <pivotField showAll="0"/>
    <pivotField showAll="0"/>
    <pivotField showAll="0"/>
    <pivotField axis="axisRow" numFmtId="10" showAll="0">
      <items count="383">
        <item x="254"/>
        <item x="262"/>
        <item x="259"/>
        <item x="287"/>
        <item x="174"/>
        <item x="258"/>
        <item x="284"/>
        <item x="73"/>
        <item x="359"/>
        <item x="361"/>
        <item x="77"/>
        <item x="260"/>
        <item x="263"/>
        <item x="69"/>
        <item x="315"/>
        <item x="368"/>
        <item x="363"/>
        <item x="261"/>
        <item x="338"/>
        <item x="364"/>
        <item x="102"/>
        <item x="301"/>
        <item x="100"/>
        <item x="320"/>
        <item x="76"/>
        <item x="286"/>
        <item x="203"/>
        <item x="298"/>
        <item x="136"/>
        <item x="87"/>
        <item x="318"/>
        <item x="106"/>
        <item x="86"/>
        <item x="141"/>
        <item x="66"/>
        <item x="354"/>
        <item x="35"/>
        <item x="257"/>
        <item x="265"/>
        <item x="140"/>
        <item x="138"/>
        <item x="306"/>
        <item x="280"/>
        <item x="142"/>
        <item x="63"/>
        <item x="344"/>
        <item x="264"/>
        <item x="316"/>
        <item x="321"/>
        <item x="81"/>
        <item x="128"/>
        <item x="300"/>
        <item x="242"/>
        <item x="101"/>
        <item x="51"/>
        <item x="319"/>
        <item x="360"/>
        <item x="32"/>
        <item x="362"/>
        <item x="343"/>
        <item x="308"/>
        <item x="181"/>
        <item x="70"/>
        <item x="82"/>
        <item x="356"/>
        <item x="199"/>
        <item x="240"/>
        <item x="89"/>
        <item x="352"/>
        <item x="281"/>
        <item x="373"/>
        <item x="285"/>
        <item x="379"/>
        <item x="243"/>
        <item x="93"/>
        <item x="297"/>
        <item x="88"/>
        <item x="303"/>
        <item x="296"/>
        <item x="244"/>
        <item x="252"/>
        <item x="143"/>
        <item x="332"/>
        <item x="175"/>
        <item x="241"/>
        <item x="95"/>
        <item x="135"/>
        <item x="370"/>
        <item x="36"/>
        <item x="247"/>
        <item x="130"/>
        <item x="129"/>
        <item x="29"/>
        <item x="293"/>
        <item x="116"/>
        <item x="305"/>
        <item x="15"/>
        <item x="117"/>
        <item x="246"/>
        <item x="83"/>
        <item x="375"/>
        <item x="164"/>
        <item x="245"/>
        <item x="353"/>
        <item x="187"/>
        <item x="202"/>
        <item x="169"/>
        <item x="182"/>
        <item x="188"/>
        <item x="21"/>
        <item x="8"/>
        <item x="0"/>
        <item x="131"/>
        <item x="248"/>
        <item x="132"/>
        <item x="148"/>
        <item x="366"/>
        <item x="378"/>
        <item x="253"/>
        <item x="147"/>
        <item x="341"/>
        <item x="167"/>
        <item x="160"/>
        <item x="166"/>
        <item x="159"/>
        <item x="288"/>
        <item x="52"/>
        <item x="312"/>
        <item x="16"/>
        <item x="249"/>
        <item x="177"/>
        <item x="291"/>
        <item x="165"/>
        <item x="345"/>
        <item x="14"/>
        <item x="134"/>
        <item x="198"/>
        <item x="113"/>
        <item x="18"/>
        <item x="19"/>
        <item x="310"/>
        <item x="62"/>
        <item x="4"/>
        <item x="103"/>
        <item x="12"/>
        <item x="168"/>
        <item x="163"/>
        <item x="172"/>
        <item x="146"/>
        <item x="144"/>
        <item x="94"/>
        <item x="72"/>
        <item x="23"/>
        <item x="337"/>
        <item x="114"/>
        <item x="47"/>
        <item x="22"/>
        <item x="24"/>
        <item x="65"/>
        <item x="191"/>
        <item x="20"/>
        <item x="99"/>
        <item x="61"/>
        <item x="377"/>
        <item x="237"/>
        <item x="279"/>
        <item x="91"/>
        <item x="56"/>
        <item x="180"/>
        <item x="170"/>
        <item x="173"/>
        <item x="271"/>
        <item x="348"/>
        <item x="107"/>
        <item x="64"/>
        <item x="90"/>
        <item x="292"/>
        <item x="346"/>
        <item x="26"/>
        <item x="85"/>
        <item x="309"/>
        <item x="311"/>
        <item x="374"/>
        <item x="376"/>
        <item x="220"/>
        <item x="5"/>
        <item x="272"/>
        <item x="365"/>
        <item x="251"/>
        <item x="1"/>
        <item x="255"/>
        <item x="367"/>
        <item x="112"/>
        <item x="57"/>
        <item x="201"/>
        <item x="109"/>
        <item x="137"/>
        <item x="223"/>
        <item x="371"/>
        <item x="326"/>
        <item x="80"/>
        <item x="7"/>
        <item x="290"/>
        <item x="219"/>
        <item x="313"/>
        <item x="227"/>
        <item x="78"/>
        <item x="55"/>
        <item x="10"/>
        <item x="342"/>
        <item x="13"/>
        <item x="328"/>
        <item x="108"/>
        <item x="327"/>
        <item x="133"/>
        <item x="179"/>
        <item x="325"/>
        <item x="229"/>
        <item x="9"/>
        <item x="355"/>
        <item x="304"/>
        <item x="74"/>
        <item x="17"/>
        <item x="323"/>
        <item x="299"/>
        <item x="218"/>
        <item x="6"/>
        <item x="104"/>
        <item x="282"/>
        <item x="250"/>
        <item x="324"/>
        <item x="196"/>
        <item x="331"/>
        <item x="295"/>
        <item x="351"/>
        <item x="105"/>
        <item x="372"/>
        <item x="111"/>
        <item x="330"/>
        <item x="3"/>
        <item x="329"/>
        <item x="162"/>
        <item x="41"/>
        <item x="200"/>
        <item x="278"/>
        <item x="269"/>
        <item x="124"/>
        <item x="307"/>
        <item x="45"/>
        <item x="208"/>
        <item x="42"/>
        <item x="233"/>
        <item x="192"/>
        <item x="221"/>
        <item x="314"/>
        <item x="276"/>
        <item x="30"/>
        <item x="369"/>
        <item x="189"/>
        <item x="120"/>
        <item x="210"/>
        <item x="71"/>
        <item x="110"/>
        <item x="96"/>
        <item x="235"/>
        <item x="230"/>
        <item x="115"/>
        <item x="27"/>
        <item x="184"/>
        <item x="190"/>
        <item x="46"/>
        <item x="317"/>
        <item x="194"/>
        <item x="31"/>
        <item x="236"/>
        <item x="273"/>
        <item x="40"/>
        <item x="207"/>
        <item x="2"/>
        <item x="205"/>
        <item x="28"/>
        <item x="37"/>
        <item x="204"/>
        <item x="380"/>
        <item x="11"/>
        <item x="176"/>
        <item x="339"/>
        <item x="152"/>
        <item x="44"/>
        <item x="59"/>
        <item x="161"/>
        <item x="234"/>
        <item x="358"/>
        <item x="266"/>
        <item x="211"/>
        <item x="239"/>
        <item x="277"/>
        <item x="209"/>
        <item x="231"/>
        <item x="43"/>
        <item x="216"/>
        <item x="153"/>
        <item x="149"/>
        <item x="67"/>
        <item x="333"/>
        <item x="274"/>
        <item x="238"/>
        <item x="350"/>
        <item x="206"/>
        <item x="322"/>
        <item x="58"/>
        <item x="335"/>
        <item x="357"/>
        <item x="267"/>
        <item x="145"/>
        <item x="126"/>
        <item x="349"/>
        <item x="289"/>
        <item x="302"/>
        <item x="340"/>
        <item x="268"/>
        <item x="197"/>
        <item x="334"/>
        <item x="228"/>
        <item x="212"/>
        <item x="225"/>
        <item x="25"/>
        <item x="171"/>
        <item x="232"/>
        <item x="381"/>
        <item x="122"/>
        <item x="54"/>
        <item x="213"/>
        <item x="270"/>
        <item x="193"/>
        <item x="125"/>
        <item x="121"/>
        <item x="127"/>
        <item x="79"/>
        <item x="185"/>
        <item x="60"/>
        <item x="75"/>
        <item x="178"/>
        <item x="38"/>
        <item x="53"/>
        <item x="186"/>
        <item x="217"/>
        <item x="222"/>
        <item x="118"/>
        <item x="283"/>
        <item x="195"/>
        <item x="347"/>
        <item x="336"/>
        <item x="151"/>
        <item x="98"/>
        <item x="183"/>
        <item x="275"/>
        <item x="92"/>
        <item x="84"/>
        <item x="50"/>
        <item x="157"/>
        <item x="34"/>
        <item x="119"/>
        <item x="48"/>
        <item x="123"/>
        <item x="150"/>
        <item x="294"/>
        <item x="256"/>
        <item x="33"/>
        <item x="97"/>
        <item x="49"/>
        <item x="155"/>
        <item x="156"/>
        <item x="139"/>
        <item x="39"/>
        <item x="154"/>
        <item x="214"/>
        <item x="158"/>
        <item x="68"/>
        <item x="215"/>
        <item x="224"/>
        <item x="22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23"/>
  </rowFields>
  <rowItems count="207">
    <i>
      <x/>
    </i>
    <i>
      <x v="1"/>
    </i>
    <i>
      <x v="2"/>
    </i>
    <i>
      <x v="4"/>
    </i>
    <i>
      <x v="5"/>
    </i>
    <i>
      <x v="8"/>
    </i>
    <i>
      <x v="9"/>
    </i>
    <i>
      <x v="11"/>
    </i>
    <i>
      <x v="12"/>
    </i>
    <i>
      <x v="14"/>
    </i>
    <i>
      <x v="16"/>
    </i>
    <i>
      <x v="17"/>
    </i>
    <i>
      <x v="18"/>
    </i>
    <i>
      <x v="19"/>
    </i>
    <i>
      <x v="20"/>
    </i>
    <i>
      <x v="23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5"/>
    </i>
    <i>
      <x v="36"/>
    </i>
    <i>
      <x v="37"/>
    </i>
    <i>
      <x v="38"/>
    </i>
    <i>
      <x v="39"/>
    </i>
    <i>
      <x v="40"/>
    </i>
    <i>
      <x v="43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60"/>
    </i>
    <i>
      <x v="62"/>
    </i>
    <i>
      <x v="63"/>
    </i>
    <i>
      <x v="65"/>
    </i>
    <i>
      <x v="66"/>
    </i>
    <i>
      <x v="67"/>
    </i>
    <i>
      <x v="68"/>
    </i>
    <i>
      <x v="70"/>
    </i>
    <i>
      <x v="72"/>
    </i>
    <i>
      <x v="73"/>
    </i>
    <i>
      <x v="74"/>
    </i>
    <i>
      <x v="75"/>
    </i>
    <i>
      <x v="76"/>
    </i>
    <i>
      <x v="77"/>
    </i>
    <i>
      <x v="79"/>
    </i>
    <i>
      <x v="80"/>
    </i>
    <i>
      <x v="82"/>
    </i>
    <i>
      <x v="83"/>
    </i>
    <i>
      <x v="84"/>
    </i>
    <i>
      <x v="85"/>
    </i>
    <i>
      <x v="87"/>
    </i>
    <i>
      <x v="88"/>
    </i>
    <i>
      <x v="89"/>
    </i>
    <i>
      <x v="90"/>
    </i>
    <i>
      <x v="91"/>
    </i>
    <i>
      <x v="92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2"/>
    </i>
    <i>
      <x v="103"/>
    </i>
    <i>
      <x v="104"/>
    </i>
    <i>
      <x v="105"/>
    </i>
    <i>
      <x v="108"/>
    </i>
    <i>
      <x v="109"/>
    </i>
    <i>
      <x v="110"/>
    </i>
    <i>
      <x v="112"/>
    </i>
    <i>
      <x v="113"/>
    </i>
    <i>
      <x v="114"/>
    </i>
    <i>
      <x v="117"/>
    </i>
    <i>
      <x v="118"/>
    </i>
    <i>
      <x v="121"/>
    </i>
    <i>
      <x v="122"/>
    </i>
    <i>
      <x v="123"/>
    </i>
    <i>
      <x v="124"/>
    </i>
    <i>
      <x v="126"/>
    </i>
    <i>
      <x v="127"/>
    </i>
    <i>
      <x v="128"/>
    </i>
    <i>
      <x v="129"/>
    </i>
    <i>
      <x v="130"/>
    </i>
    <i>
      <x v="132"/>
    </i>
    <i>
      <x v="134"/>
    </i>
    <i>
      <x v="136"/>
    </i>
    <i>
      <x v="138"/>
    </i>
    <i>
      <x v="139"/>
    </i>
    <i>
      <x v="142"/>
    </i>
    <i>
      <x v="144"/>
    </i>
    <i>
      <x v="145"/>
    </i>
    <i>
      <x v="146"/>
    </i>
    <i>
      <x v="147"/>
    </i>
    <i>
      <x v="150"/>
    </i>
    <i>
      <x v="151"/>
    </i>
    <i>
      <x v="152"/>
    </i>
    <i>
      <x v="153"/>
    </i>
    <i>
      <x v="155"/>
    </i>
    <i>
      <x v="156"/>
    </i>
    <i>
      <x v="157"/>
    </i>
    <i>
      <x v="159"/>
    </i>
    <i>
      <x v="160"/>
    </i>
    <i>
      <x v="161"/>
    </i>
    <i>
      <x v="163"/>
    </i>
    <i>
      <x v="164"/>
    </i>
    <i>
      <x v="166"/>
    </i>
    <i>
      <x v="167"/>
    </i>
    <i>
      <x v="169"/>
    </i>
    <i>
      <x v="173"/>
    </i>
    <i>
      <x v="175"/>
    </i>
    <i>
      <x v="176"/>
    </i>
    <i>
      <x v="178"/>
    </i>
    <i>
      <x v="179"/>
    </i>
    <i>
      <x v="182"/>
    </i>
    <i>
      <x v="183"/>
    </i>
    <i>
      <x v="185"/>
    </i>
    <i>
      <x v="193"/>
    </i>
    <i>
      <x v="194"/>
    </i>
    <i>
      <x v="195"/>
    </i>
    <i>
      <x v="196"/>
    </i>
    <i>
      <x v="198"/>
    </i>
    <i>
      <x v="199"/>
    </i>
    <i>
      <x v="201"/>
    </i>
    <i>
      <x v="202"/>
    </i>
    <i>
      <x v="204"/>
    </i>
    <i>
      <x v="205"/>
    </i>
    <i>
      <x v="207"/>
    </i>
    <i>
      <x v="208"/>
    </i>
    <i>
      <x v="211"/>
    </i>
    <i>
      <x v="212"/>
    </i>
    <i>
      <x v="213"/>
    </i>
    <i>
      <x v="216"/>
    </i>
    <i>
      <x v="217"/>
    </i>
    <i>
      <x v="220"/>
    </i>
    <i>
      <x v="222"/>
    </i>
    <i>
      <x v="224"/>
    </i>
    <i>
      <x v="226"/>
    </i>
    <i>
      <x v="227"/>
    </i>
    <i>
      <x v="230"/>
    </i>
    <i>
      <x v="231"/>
    </i>
    <i>
      <x v="232"/>
    </i>
    <i>
      <x v="233"/>
    </i>
    <i>
      <x v="235"/>
    </i>
    <i>
      <x v="236"/>
    </i>
    <i>
      <x v="238"/>
    </i>
    <i>
      <x v="240"/>
    </i>
    <i>
      <x v="242"/>
    </i>
    <i>
      <x v="243"/>
    </i>
    <i>
      <x v="248"/>
    </i>
    <i>
      <x v="250"/>
    </i>
    <i>
      <x v="251"/>
    </i>
    <i>
      <x v="252"/>
    </i>
    <i>
      <x v="254"/>
    </i>
    <i>
      <x v="256"/>
    </i>
    <i>
      <x v="258"/>
    </i>
    <i>
      <x v="261"/>
    </i>
    <i>
      <x v="262"/>
    </i>
    <i>
      <x v="264"/>
    </i>
    <i>
      <x v="265"/>
    </i>
    <i>
      <x v="269"/>
    </i>
    <i>
      <x v="270"/>
    </i>
    <i>
      <x v="271"/>
    </i>
    <i>
      <x v="272"/>
    </i>
    <i>
      <x v="273"/>
    </i>
    <i>
      <x v="274"/>
    </i>
    <i>
      <x v="276"/>
    </i>
    <i>
      <x v="277"/>
    </i>
    <i>
      <x v="278"/>
    </i>
    <i>
      <x v="281"/>
    </i>
    <i>
      <x v="284"/>
    </i>
    <i>
      <x v="288"/>
    </i>
    <i>
      <x v="302"/>
    </i>
    <i>
      <x v="304"/>
    </i>
    <i>
      <x v="308"/>
    </i>
    <i>
      <x v="310"/>
    </i>
    <i>
      <x v="315"/>
    </i>
    <i>
      <x v="321"/>
    </i>
    <i>
      <x v="323"/>
    </i>
    <i>
      <x v="326"/>
    </i>
    <i>
      <x v="327"/>
    </i>
    <i>
      <x v="331"/>
    </i>
    <i>
      <x v="334"/>
    </i>
    <i>
      <x v="339"/>
    </i>
    <i>
      <x v="343"/>
    </i>
    <i>
      <x v="344"/>
    </i>
    <i>
      <x v="345"/>
    </i>
    <i>
      <x v="350"/>
    </i>
    <i>
      <x v="353"/>
    </i>
    <i>
      <x v="361"/>
    </i>
    <i>
      <x v="363"/>
    </i>
    <i>
      <x v="365"/>
    </i>
    <i t="grand">
      <x/>
    </i>
  </rowItems>
  <colItems count="1">
    <i/>
  </colItems>
  <pageFields count="2">
    <pageField fld="5" item="1" hier="-1"/>
    <pageField fld="14" item="0" hier="-1"/>
  </pageFields>
  <formats count="1">
    <format dxfId="1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6000EA-ECCA-43BF-BC70-91F022BB5358}" name="Tabela dinâmica6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22:C29" firstHeaderRow="0" firstDataRow="1" firstDataCol="1" rowPageCount="1" colPageCount="1"/>
  <pivotFields count="35"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4" showAll="0"/>
    <pivotField numFmtId="3" showAll="0"/>
    <pivotField axis="axisRow" dataField="1" showAll="0">
      <items count="7">
        <item x="5"/>
        <item x="1"/>
        <item x="3"/>
        <item x="2"/>
        <item x="0"/>
        <item x="4"/>
        <item t="default"/>
      </items>
    </pivotField>
    <pivotField showAll="0"/>
    <pivotField showAll="0"/>
    <pivotField showAll="0"/>
    <pivotField showAll="0"/>
    <pivotField numFmtId="3" showAll="0"/>
    <pivotField dataField="1" numFmtId="4" showAll="0"/>
    <pivotField showAll="0"/>
    <pivotField showAll="0"/>
    <pivotField showAll="0"/>
    <pivotField numFmtId="1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pageFields count="1">
    <pageField fld="5" hier="-1"/>
  </pageFields>
  <dataFields count="2">
    <dataField name="Soma de Volume R$ (100 MM)" fld="19" baseField="0" baseItem="0" numFmtId="4"/>
    <dataField name="Contagem de Garantia/Especie" fld="13" subtotal="count" baseField="0" baseItem="0" numFmtId="3"/>
  </dataFields>
  <formats count="2">
    <format dxfId="20">
      <pivotArea outline="0" collapsedLevelsAreSubtotals="1" fieldPosition="0"/>
    </format>
    <format dxfId="19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44A160-0067-4E88-92DB-4C7549CA2B60}" name="Tabela dinâmica7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V5:V148" firstHeaderRow="1" firstDataRow="1" firstDataCol="1" rowPageCount="2" colPageCount="1"/>
  <pivotFields count="35"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4" showAll="0"/>
    <pivotField numFmtId="3" showAll="0"/>
    <pivotField showAll="0"/>
    <pivotField axis="axisPage" showAll="0">
      <items count="5">
        <item x="1"/>
        <item x="0"/>
        <item m="1" x="2"/>
        <item m="1" x="3"/>
        <item t="default"/>
      </items>
    </pivotField>
    <pivotField showAll="0"/>
    <pivotField showAll="0"/>
    <pivotField showAll="0"/>
    <pivotField numFmtId="3" showAll="0"/>
    <pivotField numFmtId="4" showAll="0"/>
    <pivotField showAll="0"/>
    <pivotField showAll="0"/>
    <pivotField showAll="0"/>
    <pivotField axis="axisRow" numFmtId="10" showAll="0">
      <items count="383">
        <item x="254"/>
        <item x="262"/>
        <item x="259"/>
        <item x="287"/>
        <item x="174"/>
        <item x="258"/>
        <item x="284"/>
        <item x="73"/>
        <item x="359"/>
        <item x="361"/>
        <item x="77"/>
        <item x="260"/>
        <item x="263"/>
        <item x="69"/>
        <item x="315"/>
        <item x="368"/>
        <item x="363"/>
        <item x="261"/>
        <item x="338"/>
        <item x="364"/>
        <item x="102"/>
        <item x="301"/>
        <item x="100"/>
        <item x="320"/>
        <item x="76"/>
        <item x="286"/>
        <item x="203"/>
        <item x="298"/>
        <item x="136"/>
        <item x="87"/>
        <item x="318"/>
        <item x="106"/>
        <item x="86"/>
        <item x="141"/>
        <item x="66"/>
        <item x="354"/>
        <item x="35"/>
        <item x="257"/>
        <item x="265"/>
        <item x="140"/>
        <item x="138"/>
        <item x="306"/>
        <item x="280"/>
        <item x="142"/>
        <item x="63"/>
        <item x="344"/>
        <item x="264"/>
        <item x="316"/>
        <item x="321"/>
        <item x="81"/>
        <item x="128"/>
        <item x="300"/>
        <item x="242"/>
        <item x="101"/>
        <item x="51"/>
        <item x="319"/>
        <item x="360"/>
        <item x="32"/>
        <item x="362"/>
        <item x="343"/>
        <item x="308"/>
        <item x="181"/>
        <item x="70"/>
        <item x="82"/>
        <item x="356"/>
        <item x="199"/>
        <item x="240"/>
        <item x="89"/>
        <item x="352"/>
        <item x="281"/>
        <item x="373"/>
        <item x="285"/>
        <item x="379"/>
        <item x="243"/>
        <item x="93"/>
        <item x="297"/>
        <item x="88"/>
        <item x="303"/>
        <item x="296"/>
        <item x="244"/>
        <item x="252"/>
        <item x="143"/>
        <item x="332"/>
        <item x="175"/>
        <item x="241"/>
        <item x="95"/>
        <item x="135"/>
        <item x="370"/>
        <item x="36"/>
        <item x="247"/>
        <item x="130"/>
        <item x="129"/>
        <item x="29"/>
        <item x="293"/>
        <item x="116"/>
        <item x="305"/>
        <item x="15"/>
        <item x="117"/>
        <item x="246"/>
        <item x="83"/>
        <item x="375"/>
        <item x="164"/>
        <item x="245"/>
        <item x="353"/>
        <item x="187"/>
        <item x="202"/>
        <item x="169"/>
        <item x="182"/>
        <item x="188"/>
        <item x="21"/>
        <item x="8"/>
        <item x="0"/>
        <item x="131"/>
        <item x="248"/>
        <item x="132"/>
        <item x="148"/>
        <item x="366"/>
        <item x="378"/>
        <item x="253"/>
        <item x="147"/>
        <item x="341"/>
        <item x="167"/>
        <item x="160"/>
        <item x="166"/>
        <item x="159"/>
        <item x="288"/>
        <item x="52"/>
        <item x="312"/>
        <item x="16"/>
        <item x="249"/>
        <item x="177"/>
        <item x="291"/>
        <item x="165"/>
        <item x="345"/>
        <item x="14"/>
        <item x="134"/>
        <item x="198"/>
        <item x="113"/>
        <item x="18"/>
        <item x="19"/>
        <item x="310"/>
        <item x="62"/>
        <item x="4"/>
        <item x="103"/>
        <item x="12"/>
        <item x="168"/>
        <item x="163"/>
        <item x="172"/>
        <item x="146"/>
        <item x="144"/>
        <item x="94"/>
        <item x="72"/>
        <item x="23"/>
        <item x="337"/>
        <item x="114"/>
        <item x="47"/>
        <item x="22"/>
        <item x="24"/>
        <item x="65"/>
        <item x="191"/>
        <item x="20"/>
        <item x="99"/>
        <item x="61"/>
        <item x="377"/>
        <item x="237"/>
        <item x="279"/>
        <item x="91"/>
        <item x="56"/>
        <item x="180"/>
        <item x="170"/>
        <item x="173"/>
        <item x="271"/>
        <item x="348"/>
        <item x="107"/>
        <item x="64"/>
        <item x="90"/>
        <item x="292"/>
        <item x="346"/>
        <item x="26"/>
        <item x="85"/>
        <item x="309"/>
        <item x="311"/>
        <item x="374"/>
        <item x="376"/>
        <item x="220"/>
        <item x="5"/>
        <item x="272"/>
        <item x="365"/>
        <item x="251"/>
        <item x="1"/>
        <item x="255"/>
        <item x="367"/>
        <item x="112"/>
        <item x="57"/>
        <item x="201"/>
        <item x="109"/>
        <item x="137"/>
        <item x="223"/>
        <item x="371"/>
        <item x="326"/>
        <item x="80"/>
        <item x="7"/>
        <item x="290"/>
        <item x="219"/>
        <item x="313"/>
        <item x="227"/>
        <item x="78"/>
        <item x="55"/>
        <item x="10"/>
        <item x="342"/>
        <item x="13"/>
        <item x="328"/>
        <item x="108"/>
        <item x="327"/>
        <item x="133"/>
        <item x="179"/>
        <item x="325"/>
        <item x="229"/>
        <item x="9"/>
        <item x="355"/>
        <item x="304"/>
        <item x="74"/>
        <item x="17"/>
        <item x="323"/>
        <item x="299"/>
        <item x="218"/>
        <item x="6"/>
        <item x="104"/>
        <item x="282"/>
        <item x="250"/>
        <item x="324"/>
        <item x="196"/>
        <item x="331"/>
        <item x="295"/>
        <item x="351"/>
        <item x="105"/>
        <item x="372"/>
        <item x="111"/>
        <item x="330"/>
        <item x="3"/>
        <item x="329"/>
        <item x="162"/>
        <item x="41"/>
        <item x="200"/>
        <item x="278"/>
        <item x="269"/>
        <item x="124"/>
        <item x="307"/>
        <item x="45"/>
        <item x="208"/>
        <item x="42"/>
        <item x="233"/>
        <item x="192"/>
        <item x="221"/>
        <item x="314"/>
        <item x="276"/>
        <item x="30"/>
        <item x="369"/>
        <item x="189"/>
        <item x="120"/>
        <item x="210"/>
        <item x="71"/>
        <item x="110"/>
        <item x="96"/>
        <item x="235"/>
        <item x="230"/>
        <item x="115"/>
        <item x="27"/>
        <item x="184"/>
        <item x="190"/>
        <item x="46"/>
        <item x="317"/>
        <item x="194"/>
        <item x="31"/>
        <item x="236"/>
        <item x="273"/>
        <item x="40"/>
        <item x="207"/>
        <item x="2"/>
        <item x="205"/>
        <item x="28"/>
        <item x="37"/>
        <item x="204"/>
        <item x="380"/>
        <item x="11"/>
        <item x="176"/>
        <item x="339"/>
        <item x="152"/>
        <item x="44"/>
        <item x="59"/>
        <item x="161"/>
        <item x="234"/>
        <item x="358"/>
        <item x="266"/>
        <item x="211"/>
        <item x="239"/>
        <item x="277"/>
        <item x="209"/>
        <item x="231"/>
        <item x="43"/>
        <item x="216"/>
        <item x="153"/>
        <item x="149"/>
        <item x="67"/>
        <item x="333"/>
        <item x="274"/>
        <item x="238"/>
        <item x="350"/>
        <item x="206"/>
        <item x="322"/>
        <item x="58"/>
        <item x="335"/>
        <item x="357"/>
        <item x="267"/>
        <item x="145"/>
        <item x="126"/>
        <item x="349"/>
        <item x="289"/>
        <item x="302"/>
        <item x="340"/>
        <item x="268"/>
        <item x="197"/>
        <item x="334"/>
        <item x="228"/>
        <item x="212"/>
        <item x="225"/>
        <item x="25"/>
        <item x="171"/>
        <item x="232"/>
        <item x="381"/>
        <item x="122"/>
        <item x="54"/>
        <item x="213"/>
        <item x="270"/>
        <item x="193"/>
        <item x="125"/>
        <item x="121"/>
        <item x="127"/>
        <item x="79"/>
        <item x="185"/>
        <item x="60"/>
        <item x="75"/>
        <item x="178"/>
        <item x="38"/>
        <item x="53"/>
        <item x="186"/>
        <item x="217"/>
        <item x="222"/>
        <item x="118"/>
        <item x="283"/>
        <item x="195"/>
        <item x="347"/>
        <item x="336"/>
        <item x="151"/>
        <item x="98"/>
        <item x="183"/>
        <item x="275"/>
        <item x="92"/>
        <item x="84"/>
        <item x="50"/>
        <item x="157"/>
        <item x="34"/>
        <item x="119"/>
        <item x="48"/>
        <item x="123"/>
        <item x="150"/>
        <item x="294"/>
        <item x="256"/>
        <item x="33"/>
        <item x="97"/>
        <item x="49"/>
        <item x="155"/>
        <item x="156"/>
        <item x="139"/>
        <item x="39"/>
        <item x="154"/>
        <item x="214"/>
        <item x="158"/>
        <item x="68"/>
        <item x="215"/>
        <item x="224"/>
        <item x="22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23"/>
  </rowFields>
  <rowItems count="143">
    <i>
      <x v="3"/>
    </i>
    <i>
      <x v="6"/>
    </i>
    <i>
      <x v="7"/>
    </i>
    <i>
      <x v="13"/>
    </i>
    <i>
      <x v="15"/>
    </i>
    <i>
      <x v="21"/>
    </i>
    <i>
      <x v="22"/>
    </i>
    <i>
      <x v="25"/>
    </i>
    <i>
      <x v="34"/>
    </i>
    <i>
      <x v="42"/>
    </i>
    <i>
      <x v="44"/>
    </i>
    <i>
      <x v="45"/>
    </i>
    <i>
      <x v="59"/>
    </i>
    <i>
      <x v="61"/>
    </i>
    <i>
      <x v="64"/>
    </i>
    <i>
      <x v="69"/>
    </i>
    <i>
      <x v="71"/>
    </i>
    <i>
      <x v="78"/>
    </i>
    <i>
      <x v="81"/>
    </i>
    <i>
      <x v="107"/>
    </i>
    <i>
      <x v="115"/>
    </i>
    <i>
      <x v="116"/>
    </i>
    <i>
      <x v="119"/>
    </i>
    <i>
      <x v="120"/>
    </i>
    <i>
      <x v="125"/>
    </i>
    <i>
      <x v="133"/>
    </i>
    <i>
      <x v="137"/>
    </i>
    <i>
      <x v="140"/>
    </i>
    <i>
      <x v="141"/>
    </i>
    <i>
      <x v="143"/>
    </i>
    <i>
      <x v="148"/>
    </i>
    <i>
      <x v="149"/>
    </i>
    <i>
      <x v="154"/>
    </i>
    <i>
      <x v="158"/>
    </i>
    <i>
      <x v="162"/>
    </i>
    <i>
      <x v="165"/>
    </i>
    <i>
      <x v="168"/>
    </i>
    <i>
      <x v="170"/>
    </i>
    <i>
      <x v="171"/>
    </i>
    <i>
      <x v="172"/>
    </i>
    <i>
      <x v="174"/>
    </i>
    <i>
      <x v="177"/>
    </i>
    <i>
      <x v="180"/>
    </i>
    <i>
      <x v="181"/>
    </i>
    <i>
      <x v="184"/>
    </i>
    <i>
      <x v="186"/>
    </i>
    <i>
      <x v="187"/>
    </i>
    <i>
      <x v="189"/>
    </i>
    <i>
      <x v="190"/>
    </i>
    <i>
      <x v="191"/>
    </i>
    <i>
      <x v="192"/>
    </i>
    <i>
      <x v="197"/>
    </i>
    <i>
      <x v="200"/>
    </i>
    <i>
      <x v="203"/>
    </i>
    <i>
      <x v="209"/>
    </i>
    <i>
      <x v="215"/>
    </i>
    <i>
      <x v="218"/>
    </i>
    <i>
      <x v="219"/>
    </i>
    <i>
      <x v="223"/>
    </i>
    <i>
      <x v="225"/>
    </i>
    <i>
      <x v="228"/>
    </i>
    <i>
      <x v="229"/>
    </i>
    <i>
      <x v="234"/>
    </i>
    <i>
      <x v="241"/>
    </i>
    <i>
      <x v="244"/>
    </i>
    <i>
      <x v="245"/>
    </i>
    <i>
      <x v="246"/>
    </i>
    <i>
      <x v="249"/>
    </i>
    <i>
      <x v="253"/>
    </i>
    <i>
      <x v="255"/>
    </i>
    <i>
      <x v="259"/>
    </i>
    <i>
      <x v="260"/>
    </i>
    <i>
      <x v="267"/>
    </i>
    <i>
      <x v="268"/>
    </i>
    <i>
      <x v="275"/>
    </i>
    <i>
      <x v="279"/>
    </i>
    <i>
      <x v="280"/>
    </i>
    <i>
      <x v="282"/>
    </i>
    <i>
      <x v="283"/>
    </i>
    <i>
      <x v="285"/>
    </i>
    <i>
      <x v="286"/>
    </i>
    <i>
      <x v="287"/>
    </i>
    <i>
      <x v="289"/>
    </i>
    <i>
      <x v="292"/>
    </i>
    <i>
      <x v="293"/>
    </i>
    <i>
      <x v="294"/>
    </i>
    <i>
      <x v="295"/>
    </i>
    <i>
      <x v="296"/>
    </i>
    <i>
      <x v="297"/>
    </i>
    <i>
      <x v="300"/>
    </i>
    <i>
      <x v="301"/>
    </i>
    <i>
      <x v="303"/>
    </i>
    <i>
      <x v="305"/>
    </i>
    <i>
      <x v="306"/>
    </i>
    <i>
      <x v="307"/>
    </i>
    <i>
      <x v="309"/>
    </i>
    <i>
      <x v="311"/>
    </i>
    <i>
      <x v="312"/>
    </i>
    <i>
      <x v="313"/>
    </i>
    <i>
      <x v="314"/>
    </i>
    <i>
      <x v="316"/>
    </i>
    <i>
      <x v="318"/>
    </i>
    <i>
      <x v="319"/>
    </i>
    <i>
      <x v="320"/>
    </i>
    <i>
      <x v="322"/>
    </i>
    <i>
      <x v="324"/>
    </i>
    <i>
      <x v="325"/>
    </i>
    <i>
      <x v="329"/>
    </i>
    <i>
      <x v="330"/>
    </i>
    <i>
      <x v="332"/>
    </i>
    <i>
      <x v="333"/>
    </i>
    <i>
      <x v="335"/>
    </i>
    <i>
      <x v="336"/>
    </i>
    <i>
      <x v="337"/>
    </i>
    <i>
      <x v="340"/>
    </i>
    <i>
      <x v="342"/>
    </i>
    <i>
      <x v="346"/>
    </i>
    <i>
      <x v="347"/>
    </i>
    <i>
      <x v="348"/>
    </i>
    <i>
      <x v="349"/>
    </i>
    <i>
      <x v="351"/>
    </i>
    <i>
      <x v="352"/>
    </i>
    <i>
      <x v="354"/>
    </i>
    <i>
      <x v="355"/>
    </i>
    <i>
      <x v="356"/>
    </i>
    <i>
      <x v="359"/>
    </i>
    <i>
      <x v="360"/>
    </i>
    <i>
      <x v="362"/>
    </i>
    <i>
      <x v="364"/>
    </i>
    <i>
      <x v="367"/>
    </i>
    <i>
      <x v="369"/>
    </i>
    <i>
      <x v="370"/>
    </i>
    <i>
      <x v="371"/>
    </i>
    <i>
      <x v="372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 t="grand">
      <x/>
    </i>
  </rowItems>
  <colItems count="1">
    <i/>
  </colItems>
  <pageFields count="2">
    <pageField fld="5" item="0" hier="-1"/>
    <pageField fld="14" item="1" hier="-1"/>
  </pageFields>
  <formats count="1">
    <format dxfId="2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C1E65E-0C9A-41C8-90A8-5D6F9A56AF22}" name="Tabela dinâmica2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0:C14" firstHeaderRow="0" firstDataRow="1" firstDataCol="1" rowPageCount="1" colPageCount="1"/>
  <pivotFields count="35"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4" showAll="0"/>
    <pivotField numFmtId="3" showAll="0"/>
    <pivotField axis="axisRow" dataField="1" showAll="0">
      <items count="7">
        <item x="5"/>
        <item x="1"/>
        <item x="3"/>
        <item x="2"/>
        <item x="0"/>
        <item x="4"/>
        <item t="default"/>
      </items>
    </pivotField>
    <pivotField showAll="0"/>
    <pivotField showAll="0"/>
    <pivotField showAll="0"/>
    <pivotField showAll="0"/>
    <pivotField numFmtId="3" showAll="0"/>
    <pivotField dataField="1" numFmtId="4" showAll="0"/>
    <pivotField showAll="0"/>
    <pivotField showAll="0"/>
    <pivotField showAll="0"/>
    <pivotField numFmtId="1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3"/>
  </rowFields>
  <rowItems count="4">
    <i>
      <x/>
    </i>
    <i>
      <x v="1"/>
    </i>
    <i>
      <x v="5"/>
    </i>
    <i t="grand">
      <x/>
    </i>
  </rowItems>
  <colFields count="1">
    <field x="-2"/>
  </colFields>
  <colItems count="2">
    <i>
      <x/>
    </i>
    <i i="1">
      <x v="1"/>
    </i>
  </colItems>
  <pageFields count="1">
    <pageField fld="5" item="0" hier="-1"/>
  </pageFields>
  <dataFields count="2">
    <dataField name="Soma de Volume R$ (100 MM)" fld="19" baseField="0" baseItem="0" numFmtId="4"/>
    <dataField name="Contagem de Garantia/Especie" fld="13" subtotal="count" baseField="0" baseItem="0" numFmtId="3"/>
  </dataFields>
  <formats count="2">
    <format dxfId="23">
      <pivotArea outline="0" collapsedLevelsAreSubtotals="1" fieldPosition="0"/>
    </format>
    <format dxfId="2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4BD356-8495-425F-8555-A71A649A95FA}" name="Tabela dinâmica5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E10:G14" firstHeaderRow="0" firstDataRow="1" firstDataCol="1" rowPageCount="1" colPageCount="1"/>
  <pivotFields count="35"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4" showAll="0"/>
    <pivotField numFmtId="3" showAll="0"/>
    <pivotField axis="axisRow" dataField="1" showAll="0">
      <items count="7">
        <item x="5"/>
        <item x="1"/>
        <item x="3"/>
        <item x="2"/>
        <item x="0"/>
        <item x="4"/>
        <item t="default"/>
      </items>
    </pivotField>
    <pivotField showAll="0"/>
    <pivotField showAll="0"/>
    <pivotField showAll="0"/>
    <pivotField showAll="0"/>
    <pivotField numFmtId="3" showAll="0"/>
    <pivotField dataField="1" numFmtId="4" showAll="0"/>
    <pivotField showAll="0"/>
    <pivotField showAll="0"/>
    <pivotField showAll="0"/>
    <pivotField numFmtId="1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3"/>
  </rowFields>
  <rowItems count="4"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pageFields count="1">
    <pageField fld="5" item="1" hier="-1"/>
  </pageFields>
  <dataFields count="2">
    <dataField name="Soma de Volume R$ (100 MM)" fld="19" baseField="0" baseItem="0" numFmtId="4"/>
    <dataField name="Contagem de Garantia/Especie" fld="13" subtotal="count" baseField="0" baseItem="0" numFmtId="3"/>
  </dataFields>
  <formats count="2">
    <format dxfId="25">
      <pivotArea outline="0" collapsedLevelsAreSubtotals="1" fieldPosition="0"/>
    </format>
    <format dxfId="24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E6B313-B861-495F-A381-3145598962C2}" name="Tabela dinâmica8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B5:AB33" firstHeaderRow="1" firstDataRow="1" firstDataCol="1" rowPageCount="2" colPageCount="1"/>
  <pivotFields count="35"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4" showAll="0"/>
    <pivotField numFmtId="3" showAll="0"/>
    <pivotField showAll="0"/>
    <pivotField axis="axisPage" showAll="0">
      <items count="5">
        <item x="1"/>
        <item x="0"/>
        <item m="1" x="2"/>
        <item m="1" x="3"/>
        <item t="default"/>
      </items>
    </pivotField>
    <pivotField showAll="0"/>
    <pivotField showAll="0"/>
    <pivotField showAll="0"/>
    <pivotField numFmtId="3" showAll="0"/>
    <pivotField numFmtId="4" showAll="0"/>
    <pivotField showAll="0"/>
    <pivotField showAll="0"/>
    <pivotField showAll="0"/>
    <pivotField axis="axisRow" numFmtId="10" showAll="0">
      <items count="383">
        <item x="254"/>
        <item x="262"/>
        <item x="259"/>
        <item x="287"/>
        <item x="174"/>
        <item x="258"/>
        <item x="284"/>
        <item x="73"/>
        <item x="359"/>
        <item x="361"/>
        <item x="77"/>
        <item x="260"/>
        <item x="263"/>
        <item x="69"/>
        <item x="315"/>
        <item x="368"/>
        <item x="363"/>
        <item x="261"/>
        <item x="338"/>
        <item x="364"/>
        <item x="102"/>
        <item x="301"/>
        <item x="100"/>
        <item x="320"/>
        <item x="76"/>
        <item x="286"/>
        <item x="203"/>
        <item x="298"/>
        <item x="136"/>
        <item x="87"/>
        <item x="318"/>
        <item x="106"/>
        <item x="86"/>
        <item x="141"/>
        <item x="66"/>
        <item x="354"/>
        <item x="35"/>
        <item x="257"/>
        <item x="265"/>
        <item x="140"/>
        <item x="138"/>
        <item x="306"/>
        <item x="280"/>
        <item x="142"/>
        <item x="63"/>
        <item x="344"/>
        <item x="264"/>
        <item x="316"/>
        <item x="321"/>
        <item x="81"/>
        <item x="128"/>
        <item x="300"/>
        <item x="242"/>
        <item x="101"/>
        <item x="51"/>
        <item x="319"/>
        <item x="360"/>
        <item x="32"/>
        <item x="362"/>
        <item x="343"/>
        <item x="308"/>
        <item x="181"/>
        <item x="70"/>
        <item x="82"/>
        <item x="356"/>
        <item x="199"/>
        <item x="240"/>
        <item x="89"/>
        <item x="352"/>
        <item x="281"/>
        <item x="373"/>
        <item x="285"/>
        <item x="379"/>
        <item x="243"/>
        <item x="93"/>
        <item x="297"/>
        <item x="88"/>
        <item x="303"/>
        <item x="296"/>
        <item x="244"/>
        <item x="252"/>
        <item x="143"/>
        <item x="332"/>
        <item x="175"/>
        <item x="241"/>
        <item x="95"/>
        <item x="135"/>
        <item x="370"/>
        <item x="36"/>
        <item x="247"/>
        <item x="130"/>
        <item x="129"/>
        <item x="29"/>
        <item x="293"/>
        <item x="116"/>
        <item x="305"/>
        <item x="15"/>
        <item x="117"/>
        <item x="246"/>
        <item x="83"/>
        <item x="375"/>
        <item x="164"/>
        <item x="245"/>
        <item x="353"/>
        <item x="187"/>
        <item x="202"/>
        <item x="169"/>
        <item x="182"/>
        <item x="188"/>
        <item x="21"/>
        <item x="8"/>
        <item x="0"/>
        <item x="131"/>
        <item x="248"/>
        <item x="132"/>
        <item x="148"/>
        <item x="366"/>
        <item x="378"/>
        <item x="253"/>
        <item x="147"/>
        <item x="341"/>
        <item x="167"/>
        <item x="160"/>
        <item x="166"/>
        <item x="159"/>
        <item x="288"/>
        <item x="52"/>
        <item x="312"/>
        <item x="16"/>
        <item x="249"/>
        <item x="177"/>
        <item x="291"/>
        <item x="165"/>
        <item x="345"/>
        <item x="14"/>
        <item x="134"/>
        <item x="198"/>
        <item x="113"/>
        <item x="18"/>
        <item x="19"/>
        <item x="310"/>
        <item x="62"/>
        <item x="4"/>
        <item x="103"/>
        <item x="12"/>
        <item x="168"/>
        <item x="163"/>
        <item x="172"/>
        <item x="146"/>
        <item x="144"/>
        <item x="94"/>
        <item x="72"/>
        <item x="23"/>
        <item x="337"/>
        <item x="114"/>
        <item x="47"/>
        <item x="22"/>
        <item x="24"/>
        <item x="65"/>
        <item x="191"/>
        <item x="20"/>
        <item x="99"/>
        <item x="61"/>
        <item x="377"/>
        <item x="237"/>
        <item x="279"/>
        <item x="91"/>
        <item x="56"/>
        <item x="180"/>
        <item x="170"/>
        <item x="173"/>
        <item x="271"/>
        <item x="348"/>
        <item x="107"/>
        <item x="64"/>
        <item x="90"/>
        <item x="292"/>
        <item x="346"/>
        <item x="26"/>
        <item x="85"/>
        <item x="309"/>
        <item x="311"/>
        <item x="374"/>
        <item x="376"/>
        <item x="220"/>
        <item x="5"/>
        <item x="272"/>
        <item x="365"/>
        <item x="251"/>
        <item x="1"/>
        <item x="255"/>
        <item x="367"/>
        <item x="112"/>
        <item x="57"/>
        <item x="201"/>
        <item x="109"/>
        <item x="137"/>
        <item x="223"/>
        <item x="371"/>
        <item x="326"/>
        <item x="80"/>
        <item x="7"/>
        <item x="290"/>
        <item x="219"/>
        <item x="313"/>
        <item x="227"/>
        <item x="78"/>
        <item x="55"/>
        <item x="10"/>
        <item x="342"/>
        <item x="13"/>
        <item x="328"/>
        <item x="108"/>
        <item x="327"/>
        <item x="133"/>
        <item x="179"/>
        <item x="325"/>
        <item x="229"/>
        <item x="9"/>
        <item x="355"/>
        <item x="304"/>
        <item x="74"/>
        <item x="17"/>
        <item x="323"/>
        <item x="299"/>
        <item x="218"/>
        <item x="6"/>
        <item x="104"/>
        <item x="282"/>
        <item x="250"/>
        <item x="324"/>
        <item x="196"/>
        <item x="331"/>
        <item x="295"/>
        <item x="351"/>
        <item x="105"/>
        <item x="372"/>
        <item x="111"/>
        <item x="330"/>
        <item x="3"/>
        <item x="329"/>
        <item x="162"/>
        <item x="41"/>
        <item x="200"/>
        <item x="278"/>
        <item x="269"/>
        <item x="124"/>
        <item x="307"/>
        <item x="45"/>
        <item x="208"/>
        <item x="42"/>
        <item x="233"/>
        <item x="192"/>
        <item x="221"/>
        <item x="314"/>
        <item x="276"/>
        <item x="30"/>
        <item x="369"/>
        <item x="189"/>
        <item x="120"/>
        <item x="210"/>
        <item x="71"/>
        <item x="110"/>
        <item x="96"/>
        <item x="235"/>
        <item x="230"/>
        <item x="115"/>
        <item x="27"/>
        <item x="184"/>
        <item x="190"/>
        <item x="46"/>
        <item x="317"/>
        <item x="194"/>
        <item x="31"/>
        <item x="236"/>
        <item x="273"/>
        <item x="40"/>
        <item x="207"/>
        <item x="2"/>
        <item x="205"/>
        <item x="28"/>
        <item x="37"/>
        <item x="204"/>
        <item x="380"/>
        <item x="11"/>
        <item x="176"/>
        <item x="339"/>
        <item x="152"/>
        <item x="44"/>
        <item x="59"/>
        <item x="161"/>
        <item x="234"/>
        <item x="358"/>
        <item x="266"/>
        <item x="211"/>
        <item x="239"/>
        <item x="277"/>
        <item x="209"/>
        <item x="231"/>
        <item x="43"/>
        <item x="216"/>
        <item x="153"/>
        <item x="149"/>
        <item x="67"/>
        <item x="333"/>
        <item x="274"/>
        <item x="238"/>
        <item x="350"/>
        <item x="206"/>
        <item x="322"/>
        <item x="58"/>
        <item x="335"/>
        <item x="357"/>
        <item x="267"/>
        <item x="145"/>
        <item x="126"/>
        <item x="349"/>
        <item x="289"/>
        <item x="302"/>
        <item x="340"/>
        <item x="268"/>
        <item x="197"/>
        <item x="334"/>
        <item x="228"/>
        <item x="212"/>
        <item x="225"/>
        <item x="25"/>
        <item x="171"/>
        <item x="232"/>
        <item x="381"/>
        <item x="122"/>
        <item x="54"/>
        <item x="213"/>
        <item x="270"/>
        <item x="193"/>
        <item x="125"/>
        <item x="121"/>
        <item x="127"/>
        <item x="79"/>
        <item x="185"/>
        <item x="60"/>
        <item x="75"/>
        <item x="178"/>
        <item x="38"/>
        <item x="53"/>
        <item x="186"/>
        <item x="217"/>
        <item x="222"/>
        <item x="118"/>
        <item x="283"/>
        <item x="195"/>
        <item x="347"/>
        <item x="336"/>
        <item x="151"/>
        <item x="98"/>
        <item x="183"/>
        <item x="275"/>
        <item x="92"/>
        <item x="84"/>
        <item x="50"/>
        <item x="157"/>
        <item x="34"/>
        <item x="119"/>
        <item x="48"/>
        <item x="123"/>
        <item x="150"/>
        <item x="294"/>
        <item x="256"/>
        <item x="33"/>
        <item x="97"/>
        <item x="49"/>
        <item x="155"/>
        <item x="156"/>
        <item x="139"/>
        <item x="39"/>
        <item x="154"/>
        <item x="214"/>
        <item x="158"/>
        <item x="68"/>
        <item x="215"/>
        <item x="224"/>
        <item x="22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23"/>
  </rowFields>
  <rowItems count="28">
    <i>
      <x v="41"/>
    </i>
    <i>
      <x v="93"/>
    </i>
    <i>
      <x v="101"/>
    </i>
    <i>
      <x v="111"/>
    </i>
    <i>
      <x v="131"/>
    </i>
    <i>
      <x v="179"/>
    </i>
    <i>
      <x v="201"/>
    </i>
    <i>
      <x v="210"/>
    </i>
    <i>
      <x v="212"/>
    </i>
    <i>
      <x v="220"/>
    </i>
    <i>
      <x v="231"/>
    </i>
    <i>
      <x v="239"/>
    </i>
    <i>
      <x v="247"/>
    </i>
    <i>
      <x v="263"/>
    </i>
    <i>
      <x v="264"/>
    </i>
    <i>
      <x v="273"/>
    </i>
    <i>
      <x v="278"/>
    </i>
    <i>
      <x v="291"/>
    </i>
    <i>
      <x v="298"/>
    </i>
    <i>
      <x v="299"/>
    </i>
    <i>
      <x v="310"/>
    </i>
    <i>
      <x v="317"/>
    </i>
    <i>
      <x v="328"/>
    </i>
    <i>
      <x v="357"/>
    </i>
    <i>
      <x v="358"/>
    </i>
    <i>
      <x v="366"/>
    </i>
    <i>
      <x v="368"/>
    </i>
    <i t="grand">
      <x/>
    </i>
  </rowItems>
  <colItems count="1">
    <i/>
  </colItems>
  <pageFields count="2">
    <pageField fld="5" item="1" hier="-1"/>
    <pageField fld="14" item="1" hier="-1"/>
  </pageFields>
  <formats count="1">
    <format dxfId="2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2CC5A5-5C43-443C-B051-685268E38052}" name="Tabela dinâmica3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S5:S23" firstHeaderRow="1" firstDataRow="1" firstDataCol="1" rowPageCount="2" colPageCount="1"/>
  <pivotFields count="35"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4" showAll="0"/>
    <pivotField numFmtId="3" showAll="0"/>
    <pivotField showAll="0"/>
    <pivotField axis="axisPage" showAll="0">
      <items count="5">
        <item m="1" x="2"/>
        <item m="1" x="3"/>
        <item x="0"/>
        <item x="1"/>
        <item t="default"/>
      </items>
    </pivotField>
    <pivotField showAll="0"/>
    <pivotField showAll="0"/>
    <pivotField showAll="0"/>
    <pivotField numFmtId="3" showAll="0"/>
    <pivotField numFmtId="4" showAll="0"/>
    <pivotField showAll="0"/>
    <pivotField showAll="0"/>
    <pivotField showAll="0"/>
    <pivotField axis="axisRow" numFmtId="10" showAll="0">
      <items count="383">
        <item x="254"/>
        <item x="262"/>
        <item x="259"/>
        <item x="287"/>
        <item x="174"/>
        <item x="258"/>
        <item x="284"/>
        <item x="73"/>
        <item x="359"/>
        <item x="361"/>
        <item x="77"/>
        <item x="260"/>
        <item x="263"/>
        <item x="69"/>
        <item x="315"/>
        <item x="368"/>
        <item x="363"/>
        <item x="261"/>
        <item x="338"/>
        <item x="364"/>
        <item x="102"/>
        <item x="301"/>
        <item x="100"/>
        <item x="320"/>
        <item x="76"/>
        <item x="286"/>
        <item x="203"/>
        <item x="298"/>
        <item x="136"/>
        <item x="87"/>
        <item x="318"/>
        <item x="106"/>
        <item x="86"/>
        <item x="141"/>
        <item x="66"/>
        <item x="354"/>
        <item x="35"/>
        <item x="257"/>
        <item x="265"/>
        <item x="140"/>
        <item x="138"/>
        <item x="306"/>
        <item x="280"/>
        <item x="142"/>
        <item x="63"/>
        <item x="344"/>
        <item x="264"/>
        <item x="316"/>
        <item x="321"/>
        <item x="81"/>
        <item x="128"/>
        <item x="300"/>
        <item x="242"/>
        <item x="101"/>
        <item x="51"/>
        <item x="319"/>
        <item x="360"/>
        <item x="32"/>
        <item x="362"/>
        <item x="343"/>
        <item x="308"/>
        <item x="181"/>
        <item x="70"/>
        <item x="82"/>
        <item x="356"/>
        <item x="199"/>
        <item x="240"/>
        <item x="89"/>
        <item x="352"/>
        <item x="281"/>
        <item x="373"/>
        <item x="285"/>
        <item x="379"/>
        <item x="243"/>
        <item x="93"/>
        <item x="297"/>
        <item x="88"/>
        <item x="303"/>
        <item x="296"/>
        <item x="244"/>
        <item x="252"/>
        <item x="143"/>
        <item x="332"/>
        <item x="175"/>
        <item x="241"/>
        <item x="95"/>
        <item x="135"/>
        <item x="370"/>
        <item x="36"/>
        <item x="247"/>
        <item x="130"/>
        <item x="129"/>
        <item x="29"/>
        <item x="293"/>
        <item x="116"/>
        <item x="305"/>
        <item x="15"/>
        <item x="117"/>
        <item x="246"/>
        <item x="83"/>
        <item x="375"/>
        <item x="164"/>
        <item x="245"/>
        <item x="353"/>
        <item x="187"/>
        <item x="202"/>
        <item x="169"/>
        <item x="182"/>
        <item x="188"/>
        <item x="21"/>
        <item x="8"/>
        <item x="0"/>
        <item x="131"/>
        <item x="248"/>
        <item x="132"/>
        <item x="148"/>
        <item x="366"/>
        <item x="378"/>
        <item x="253"/>
        <item x="147"/>
        <item x="341"/>
        <item x="167"/>
        <item x="160"/>
        <item x="166"/>
        <item x="159"/>
        <item x="288"/>
        <item x="52"/>
        <item x="312"/>
        <item x="16"/>
        <item x="249"/>
        <item x="177"/>
        <item x="291"/>
        <item x="165"/>
        <item x="345"/>
        <item x="14"/>
        <item x="134"/>
        <item x="198"/>
        <item x="113"/>
        <item x="18"/>
        <item x="19"/>
        <item x="310"/>
        <item x="62"/>
        <item x="4"/>
        <item x="103"/>
        <item x="12"/>
        <item x="168"/>
        <item x="163"/>
        <item x="172"/>
        <item x="146"/>
        <item x="144"/>
        <item x="94"/>
        <item x="72"/>
        <item x="23"/>
        <item x="337"/>
        <item x="114"/>
        <item x="47"/>
        <item x="22"/>
        <item x="24"/>
        <item x="65"/>
        <item x="191"/>
        <item x="20"/>
        <item x="99"/>
        <item x="61"/>
        <item x="377"/>
        <item x="237"/>
        <item x="279"/>
        <item x="91"/>
        <item x="56"/>
        <item x="180"/>
        <item x="170"/>
        <item x="173"/>
        <item x="271"/>
        <item x="348"/>
        <item x="107"/>
        <item x="64"/>
        <item x="90"/>
        <item x="292"/>
        <item x="346"/>
        <item x="26"/>
        <item x="85"/>
        <item x="309"/>
        <item x="311"/>
        <item x="374"/>
        <item x="376"/>
        <item x="220"/>
        <item x="5"/>
        <item x="272"/>
        <item x="365"/>
        <item x="251"/>
        <item x="1"/>
        <item x="255"/>
        <item x="367"/>
        <item x="112"/>
        <item x="57"/>
        <item x="201"/>
        <item x="109"/>
        <item x="137"/>
        <item x="223"/>
        <item x="371"/>
        <item x="326"/>
        <item x="80"/>
        <item x="7"/>
        <item x="290"/>
        <item x="219"/>
        <item x="313"/>
        <item x="227"/>
        <item x="78"/>
        <item x="55"/>
        <item x="10"/>
        <item x="342"/>
        <item x="13"/>
        <item x="328"/>
        <item x="108"/>
        <item x="327"/>
        <item x="133"/>
        <item x="179"/>
        <item x="325"/>
        <item x="229"/>
        <item x="9"/>
        <item x="355"/>
        <item x="304"/>
        <item x="74"/>
        <item x="17"/>
        <item x="323"/>
        <item x="299"/>
        <item x="218"/>
        <item x="6"/>
        <item x="104"/>
        <item x="282"/>
        <item x="250"/>
        <item x="324"/>
        <item x="196"/>
        <item x="331"/>
        <item x="295"/>
        <item x="351"/>
        <item x="105"/>
        <item x="372"/>
        <item x="111"/>
        <item x="330"/>
        <item x="3"/>
        <item x="329"/>
        <item x="162"/>
        <item x="41"/>
        <item x="200"/>
        <item x="278"/>
        <item x="269"/>
        <item x="124"/>
        <item x="307"/>
        <item x="45"/>
        <item x="208"/>
        <item x="42"/>
        <item x="233"/>
        <item x="192"/>
        <item x="221"/>
        <item x="314"/>
        <item x="276"/>
        <item x="30"/>
        <item x="369"/>
        <item x="189"/>
        <item x="120"/>
        <item x="210"/>
        <item x="71"/>
        <item x="110"/>
        <item x="96"/>
        <item x="235"/>
        <item x="230"/>
        <item x="115"/>
        <item x="27"/>
        <item x="184"/>
        <item x="190"/>
        <item x="46"/>
        <item x="317"/>
        <item x="194"/>
        <item x="31"/>
        <item x="236"/>
        <item x="273"/>
        <item x="40"/>
        <item x="207"/>
        <item x="2"/>
        <item x="205"/>
        <item x="28"/>
        <item x="37"/>
        <item x="204"/>
        <item x="380"/>
        <item x="11"/>
        <item x="176"/>
        <item x="339"/>
        <item x="152"/>
        <item x="44"/>
        <item x="59"/>
        <item x="161"/>
        <item x="234"/>
        <item x="358"/>
        <item x="266"/>
        <item x="211"/>
        <item x="239"/>
        <item x="277"/>
        <item x="209"/>
        <item x="231"/>
        <item x="43"/>
        <item x="216"/>
        <item x="153"/>
        <item x="149"/>
        <item x="67"/>
        <item x="333"/>
        <item x="274"/>
        <item x="238"/>
        <item x="350"/>
        <item x="206"/>
        <item x="322"/>
        <item x="58"/>
        <item x="335"/>
        <item x="357"/>
        <item x="267"/>
        <item x="145"/>
        <item x="126"/>
        <item x="349"/>
        <item x="289"/>
        <item x="302"/>
        <item x="340"/>
        <item x="268"/>
        <item x="197"/>
        <item x="334"/>
        <item x="228"/>
        <item x="212"/>
        <item x="225"/>
        <item x="25"/>
        <item x="171"/>
        <item x="232"/>
        <item x="381"/>
        <item x="122"/>
        <item x="54"/>
        <item x="213"/>
        <item x="270"/>
        <item x="193"/>
        <item x="125"/>
        <item x="121"/>
        <item x="127"/>
        <item x="79"/>
        <item x="185"/>
        <item x="60"/>
        <item x="75"/>
        <item x="178"/>
        <item x="38"/>
        <item x="53"/>
        <item x="186"/>
        <item x="217"/>
        <item x="222"/>
        <item x="118"/>
        <item x="283"/>
        <item x="195"/>
        <item x="347"/>
        <item x="336"/>
        <item x="151"/>
        <item x="98"/>
        <item x="183"/>
        <item x="275"/>
        <item x="92"/>
        <item x="84"/>
        <item x="50"/>
        <item x="157"/>
        <item x="34"/>
        <item x="119"/>
        <item x="48"/>
        <item x="123"/>
        <item x="150"/>
        <item x="294"/>
        <item x="256"/>
        <item x="33"/>
        <item x="97"/>
        <item x="49"/>
        <item x="155"/>
        <item x="156"/>
        <item x="139"/>
        <item x="39"/>
        <item x="154"/>
        <item x="214"/>
        <item x="158"/>
        <item x="68"/>
        <item x="215"/>
        <item x="224"/>
        <item x="22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23"/>
  </rowFields>
  <rowItems count="18">
    <i>
      <x v="10"/>
    </i>
    <i>
      <x v="24"/>
    </i>
    <i>
      <x v="86"/>
    </i>
    <i>
      <x v="106"/>
    </i>
    <i>
      <x v="135"/>
    </i>
    <i>
      <x v="143"/>
    </i>
    <i>
      <x v="188"/>
    </i>
    <i>
      <x v="206"/>
    </i>
    <i>
      <x v="214"/>
    </i>
    <i>
      <x v="221"/>
    </i>
    <i>
      <x v="237"/>
    </i>
    <i>
      <x v="257"/>
    </i>
    <i>
      <x v="266"/>
    </i>
    <i>
      <x v="290"/>
    </i>
    <i>
      <x v="338"/>
    </i>
    <i>
      <x v="341"/>
    </i>
    <i>
      <x v="373"/>
    </i>
    <i t="grand">
      <x/>
    </i>
  </rowItems>
  <colItems count="1">
    <i/>
  </colItems>
  <pageFields count="2">
    <pageField fld="5" item="0" hier="-1"/>
    <pageField fld="14" item="3" hier="-1"/>
  </pageFields>
  <formats count="1">
    <format dxfId="2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5CA390-5ED0-4C9A-9186-38A9DB03E3FC}" name="Tabela dinâmica10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E5:AE229" firstHeaderRow="1" firstDataRow="1" firstDataCol="1" rowPageCount="2" colPageCount="1"/>
  <pivotFields count="35"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4" showAll="0"/>
    <pivotField numFmtId="3" showAll="0"/>
    <pivotField showAll="0"/>
    <pivotField axis="axisPage" showAll="0">
      <items count="5">
        <item x="1"/>
        <item x="0"/>
        <item m="1" x="2"/>
        <item m="1" x="3"/>
        <item t="default"/>
      </items>
    </pivotField>
    <pivotField showAll="0"/>
    <pivotField showAll="0"/>
    <pivotField showAll="0"/>
    <pivotField numFmtId="3" showAll="0"/>
    <pivotField numFmtId="4" showAll="0"/>
    <pivotField showAll="0"/>
    <pivotField showAll="0"/>
    <pivotField showAll="0"/>
    <pivotField axis="axisRow" numFmtId="10" showAll="0">
      <items count="383">
        <item x="254"/>
        <item x="262"/>
        <item x="259"/>
        <item x="287"/>
        <item x="174"/>
        <item x="258"/>
        <item x="284"/>
        <item x="73"/>
        <item x="359"/>
        <item x="361"/>
        <item x="77"/>
        <item x="260"/>
        <item x="263"/>
        <item x="69"/>
        <item x="315"/>
        <item x="368"/>
        <item x="363"/>
        <item x="261"/>
        <item x="338"/>
        <item x="364"/>
        <item x="102"/>
        <item x="301"/>
        <item x="100"/>
        <item x="320"/>
        <item x="76"/>
        <item x="286"/>
        <item x="203"/>
        <item x="298"/>
        <item x="136"/>
        <item x="87"/>
        <item x="318"/>
        <item x="106"/>
        <item x="86"/>
        <item x="141"/>
        <item x="66"/>
        <item x="354"/>
        <item x="35"/>
        <item x="257"/>
        <item x="265"/>
        <item x="140"/>
        <item x="138"/>
        <item x="306"/>
        <item x="280"/>
        <item x="142"/>
        <item x="63"/>
        <item x="344"/>
        <item x="264"/>
        <item x="316"/>
        <item x="321"/>
        <item x="81"/>
        <item x="128"/>
        <item x="300"/>
        <item x="242"/>
        <item x="101"/>
        <item x="51"/>
        <item x="319"/>
        <item x="360"/>
        <item x="32"/>
        <item x="362"/>
        <item x="343"/>
        <item x="308"/>
        <item x="181"/>
        <item x="70"/>
        <item x="82"/>
        <item x="356"/>
        <item x="199"/>
        <item x="240"/>
        <item x="89"/>
        <item x="352"/>
        <item x="281"/>
        <item x="373"/>
        <item x="285"/>
        <item x="379"/>
        <item x="243"/>
        <item x="93"/>
        <item x="297"/>
        <item x="88"/>
        <item x="303"/>
        <item x="296"/>
        <item x="244"/>
        <item x="252"/>
        <item x="143"/>
        <item x="332"/>
        <item x="175"/>
        <item x="241"/>
        <item x="95"/>
        <item x="135"/>
        <item x="370"/>
        <item x="36"/>
        <item x="247"/>
        <item x="130"/>
        <item x="129"/>
        <item x="29"/>
        <item x="293"/>
        <item x="116"/>
        <item x="305"/>
        <item x="15"/>
        <item x="117"/>
        <item x="246"/>
        <item x="83"/>
        <item x="375"/>
        <item x="164"/>
        <item x="245"/>
        <item x="353"/>
        <item x="187"/>
        <item x="202"/>
        <item x="169"/>
        <item x="182"/>
        <item x="188"/>
        <item x="21"/>
        <item x="8"/>
        <item x="0"/>
        <item x="131"/>
        <item x="248"/>
        <item x="132"/>
        <item x="148"/>
        <item x="366"/>
        <item x="378"/>
        <item x="253"/>
        <item x="147"/>
        <item x="341"/>
        <item x="167"/>
        <item x="160"/>
        <item x="166"/>
        <item x="159"/>
        <item x="288"/>
        <item x="52"/>
        <item x="312"/>
        <item x="16"/>
        <item x="249"/>
        <item x="177"/>
        <item x="291"/>
        <item x="165"/>
        <item x="345"/>
        <item x="14"/>
        <item x="134"/>
        <item x="198"/>
        <item x="113"/>
        <item x="18"/>
        <item x="19"/>
        <item x="310"/>
        <item x="62"/>
        <item x="4"/>
        <item x="103"/>
        <item x="12"/>
        <item x="168"/>
        <item x="163"/>
        <item x="172"/>
        <item x="146"/>
        <item x="144"/>
        <item x="94"/>
        <item x="72"/>
        <item x="23"/>
        <item x="337"/>
        <item x="114"/>
        <item x="47"/>
        <item x="22"/>
        <item x="24"/>
        <item x="65"/>
        <item x="191"/>
        <item x="20"/>
        <item x="99"/>
        <item x="61"/>
        <item x="377"/>
        <item x="237"/>
        <item x="279"/>
        <item x="91"/>
        <item x="56"/>
        <item x="180"/>
        <item x="170"/>
        <item x="173"/>
        <item x="271"/>
        <item x="348"/>
        <item x="107"/>
        <item x="64"/>
        <item x="90"/>
        <item x="292"/>
        <item x="346"/>
        <item x="26"/>
        <item x="85"/>
        <item x="309"/>
        <item x="311"/>
        <item x="374"/>
        <item x="376"/>
        <item x="220"/>
        <item x="5"/>
        <item x="272"/>
        <item x="365"/>
        <item x="251"/>
        <item x="1"/>
        <item x="255"/>
        <item x="367"/>
        <item x="112"/>
        <item x="57"/>
        <item x="201"/>
        <item x="109"/>
        <item x="137"/>
        <item x="223"/>
        <item x="371"/>
        <item x="326"/>
        <item x="80"/>
        <item x="7"/>
        <item x="290"/>
        <item x="219"/>
        <item x="313"/>
        <item x="227"/>
        <item x="78"/>
        <item x="55"/>
        <item x="10"/>
        <item x="342"/>
        <item x="13"/>
        <item x="328"/>
        <item x="108"/>
        <item x="327"/>
        <item x="133"/>
        <item x="179"/>
        <item x="325"/>
        <item x="229"/>
        <item x="9"/>
        <item x="355"/>
        <item x="304"/>
        <item x="74"/>
        <item x="17"/>
        <item x="323"/>
        <item x="299"/>
        <item x="218"/>
        <item x="6"/>
        <item x="104"/>
        <item x="282"/>
        <item x="250"/>
        <item x="324"/>
        <item x="196"/>
        <item x="331"/>
        <item x="295"/>
        <item x="351"/>
        <item x="105"/>
        <item x="372"/>
        <item x="111"/>
        <item x="330"/>
        <item x="3"/>
        <item x="329"/>
        <item x="162"/>
        <item x="41"/>
        <item x="200"/>
        <item x="278"/>
        <item x="269"/>
        <item x="124"/>
        <item x="307"/>
        <item x="45"/>
        <item x="208"/>
        <item x="42"/>
        <item x="233"/>
        <item x="192"/>
        <item x="221"/>
        <item x="314"/>
        <item x="276"/>
        <item x="30"/>
        <item x="369"/>
        <item x="189"/>
        <item x="120"/>
        <item x="210"/>
        <item x="71"/>
        <item x="110"/>
        <item x="96"/>
        <item x="235"/>
        <item x="230"/>
        <item x="115"/>
        <item x="27"/>
        <item x="184"/>
        <item x="190"/>
        <item x="46"/>
        <item x="317"/>
        <item x="194"/>
        <item x="31"/>
        <item x="236"/>
        <item x="273"/>
        <item x="40"/>
        <item x="207"/>
        <item x="2"/>
        <item x="205"/>
        <item x="28"/>
        <item x="37"/>
        <item x="204"/>
        <item x="380"/>
        <item x="11"/>
        <item x="176"/>
        <item x="339"/>
        <item x="152"/>
        <item x="44"/>
        <item x="59"/>
        <item x="161"/>
        <item x="234"/>
        <item x="358"/>
        <item x="266"/>
        <item x="211"/>
        <item x="239"/>
        <item x="277"/>
        <item x="209"/>
        <item x="231"/>
        <item x="43"/>
        <item x="216"/>
        <item x="153"/>
        <item x="149"/>
        <item x="67"/>
        <item x="333"/>
        <item x="274"/>
        <item x="238"/>
        <item x="350"/>
        <item x="206"/>
        <item x="322"/>
        <item x="58"/>
        <item x="335"/>
        <item x="357"/>
        <item x="267"/>
        <item x="145"/>
        <item x="126"/>
        <item x="349"/>
        <item x="289"/>
        <item x="302"/>
        <item x="340"/>
        <item x="268"/>
        <item x="197"/>
        <item x="334"/>
        <item x="228"/>
        <item x="212"/>
        <item x="225"/>
        <item x="25"/>
        <item x="171"/>
        <item x="232"/>
        <item x="381"/>
        <item x="122"/>
        <item x="54"/>
        <item x="213"/>
        <item x="270"/>
        <item x="193"/>
        <item x="125"/>
        <item x="121"/>
        <item x="127"/>
        <item x="79"/>
        <item x="185"/>
        <item x="60"/>
        <item x="75"/>
        <item x="178"/>
        <item x="38"/>
        <item x="53"/>
        <item x="186"/>
        <item x="217"/>
        <item x="222"/>
        <item x="118"/>
        <item x="283"/>
        <item x="195"/>
        <item x="347"/>
        <item x="336"/>
        <item x="151"/>
        <item x="98"/>
        <item x="183"/>
        <item x="275"/>
        <item x="92"/>
        <item x="84"/>
        <item x="50"/>
        <item x="157"/>
        <item x="34"/>
        <item x="119"/>
        <item x="48"/>
        <item x="123"/>
        <item x="150"/>
        <item x="294"/>
        <item x="256"/>
        <item x="33"/>
        <item x="97"/>
        <item x="49"/>
        <item x="155"/>
        <item x="156"/>
        <item x="139"/>
        <item x="39"/>
        <item x="154"/>
        <item x="214"/>
        <item x="158"/>
        <item x="68"/>
        <item x="215"/>
        <item x="224"/>
        <item x="22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23"/>
  </rowFields>
  <rowItems count="224">
    <i>
      <x/>
    </i>
    <i>
      <x v="1"/>
    </i>
    <i>
      <x v="2"/>
    </i>
    <i>
      <x v="4"/>
    </i>
    <i>
      <x v="5"/>
    </i>
    <i>
      <x v="8"/>
    </i>
    <i>
      <x v="9"/>
    </i>
    <i>
      <x v="10"/>
    </i>
    <i>
      <x v="11"/>
    </i>
    <i>
      <x v="12"/>
    </i>
    <i>
      <x v="14"/>
    </i>
    <i>
      <x v="16"/>
    </i>
    <i>
      <x v="17"/>
    </i>
    <i>
      <x v="18"/>
    </i>
    <i>
      <x v="19"/>
    </i>
    <i>
      <x v="20"/>
    </i>
    <i>
      <x v="23"/>
    </i>
    <i>
      <x v="24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5"/>
    </i>
    <i>
      <x v="36"/>
    </i>
    <i>
      <x v="37"/>
    </i>
    <i>
      <x v="38"/>
    </i>
    <i>
      <x v="39"/>
    </i>
    <i>
      <x v="40"/>
    </i>
    <i>
      <x v="43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60"/>
    </i>
    <i>
      <x v="62"/>
    </i>
    <i>
      <x v="63"/>
    </i>
    <i>
      <x v="65"/>
    </i>
    <i>
      <x v="66"/>
    </i>
    <i>
      <x v="67"/>
    </i>
    <i>
      <x v="68"/>
    </i>
    <i>
      <x v="70"/>
    </i>
    <i>
      <x v="72"/>
    </i>
    <i>
      <x v="73"/>
    </i>
    <i>
      <x v="74"/>
    </i>
    <i>
      <x v="75"/>
    </i>
    <i>
      <x v="76"/>
    </i>
    <i>
      <x v="77"/>
    </i>
    <i>
      <x v="79"/>
    </i>
    <i>
      <x v="80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2"/>
    </i>
    <i>
      <x v="103"/>
    </i>
    <i>
      <x v="104"/>
    </i>
    <i>
      <x v="105"/>
    </i>
    <i>
      <x v="106"/>
    </i>
    <i>
      <x v="108"/>
    </i>
    <i>
      <x v="109"/>
    </i>
    <i>
      <x v="110"/>
    </i>
    <i>
      <x v="112"/>
    </i>
    <i>
      <x v="113"/>
    </i>
    <i>
      <x v="114"/>
    </i>
    <i>
      <x v="117"/>
    </i>
    <i>
      <x v="118"/>
    </i>
    <i>
      <x v="121"/>
    </i>
    <i>
      <x v="122"/>
    </i>
    <i>
      <x v="123"/>
    </i>
    <i>
      <x v="124"/>
    </i>
    <i>
      <x v="126"/>
    </i>
    <i>
      <x v="127"/>
    </i>
    <i>
      <x v="128"/>
    </i>
    <i>
      <x v="129"/>
    </i>
    <i>
      <x v="130"/>
    </i>
    <i>
      <x v="132"/>
    </i>
    <i>
      <x v="134"/>
    </i>
    <i>
      <x v="135"/>
    </i>
    <i>
      <x v="136"/>
    </i>
    <i>
      <x v="138"/>
    </i>
    <i>
      <x v="139"/>
    </i>
    <i>
      <x v="142"/>
    </i>
    <i>
      <x v="143"/>
    </i>
    <i>
      <x v="144"/>
    </i>
    <i>
      <x v="145"/>
    </i>
    <i>
      <x v="146"/>
    </i>
    <i>
      <x v="147"/>
    </i>
    <i>
      <x v="150"/>
    </i>
    <i>
      <x v="151"/>
    </i>
    <i>
      <x v="152"/>
    </i>
    <i>
      <x v="153"/>
    </i>
    <i>
      <x v="155"/>
    </i>
    <i>
      <x v="156"/>
    </i>
    <i>
      <x v="157"/>
    </i>
    <i>
      <x v="159"/>
    </i>
    <i>
      <x v="160"/>
    </i>
    <i>
      <x v="161"/>
    </i>
    <i>
      <x v="163"/>
    </i>
    <i>
      <x v="164"/>
    </i>
    <i>
      <x v="166"/>
    </i>
    <i>
      <x v="167"/>
    </i>
    <i>
      <x v="169"/>
    </i>
    <i>
      <x v="173"/>
    </i>
    <i>
      <x v="175"/>
    </i>
    <i>
      <x v="176"/>
    </i>
    <i>
      <x v="178"/>
    </i>
    <i>
      <x v="179"/>
    </i>
    <i>
      <x v="182"/>
    </i>
    <i>
      <x v="183"/>
    </i>
    <i>
      <x v="185"/>
    </i>
    <i>
      <x v="188"/>
    </i>
    <i>
      <x v="193"/>
    </i>
    <i>
      <x v="194"/>
    </i>
    <i>
      <x v="195"/>
    </i>
    <i>
      <x v="196"/>
    </i>
    <i>
      <x v="198"/>
    </i>
    <i>
      <x v="199"/>
    </i>
    <i>
      <x v="201"/>
    </i>
    <i>
      <x v="202"/>
    </i>
    <i>
      <x v="204"/>
    </i>
    <i>
      <x v="205"/>
    </i>
    <i>
      <x v="206"/>
    </i>
    <i>
      <x v="207"/>
    </i>
    <i>
      <x v="208"/>
    </i>
    <i>
      <x v="211"/>
    </i>
    <i>
      <x v="212"/>
    </i>
    <i>
      <x v="213"/>
    </i>
    <i>
      <x v="214"/>
    </i>
    <i>
      <x v="216"/>
    </i>
    <i>
      <x v="217"/>
    </i>
    <i>
      <x v="220"/>
    </i>
    <i>
      <x v="221"/>
    </i>
    <i>
      <x v="222"/>
    </i>
    <i>
      <x v="224"/>
    </i>
    <i>
      <x v="226"/>
    </i>
    <i>
      <x v="227"/>
    </i>
    <i>
      <x v="230"/>
    </i>
    <i>
      <x v="231"/>
    </i>
    <i>
      <x v="232"/>
    </i>
    <i>
      <x v="233"/>
    </i>
    <i>
      <x v="235"/>
    </i>
    <i>
      <x v="236"/>
    </i>
    <i>
      <x v="237"/>
    </i>
    <i>
      <x v="238"/>
    </i>
    <i>
      <x v="240"/>
    </i>
    <i>
      <x v="242"/>
    </i>
    <i>
      <x v="243"/>
    </i>
    <i>
      <x v="248"/>
    </i>
    <i>
      <x v="250"/>
    </i>
    <i>
      <x v="251"/>
    </i>
    <i>
      <x v="252"/>
    </i>
    <i>
      <x v="254"/>
    </i>
    <i>
      <x v="256"/>
    </i>
    <i>
      <x v="257"/>
    </i>
    <i>
      <x v="258"/>
    </i>
    <i>
      <x v="261"/>
    </i>
    <i>
      <x v="262"/>
    </i>
    <i>
      <x v="264"/>
    </i>
    <i>
      <x v="265"/>
    </i>
    <i>
      <x v="266"/>
    </i>
    <i>
      <x v="269"/>
    </i>
    <i>
      <x v="270"/>
    </i>
    <i>
      <x v="271"/>
    </i>
    <i>
      <x v="272"/>
    </i>
    <i>
      <x v="273"/>
    </i>
    <i>
      <x v="274"/>
    </i>
    <i>
      <x v="276"/>
    </i>
    <i>
      <x v="277"/>
    </i>
    <i>
      <x v="278"/>
    </i>
    <i>
      <x v="281"/>
    </i>
    <i>
      <x v="284"/>
    </i>
    <i>
      <x v="288"/>
    </i>
    <i>
      <x v="290"/>
    </i>
    <i>
      <x v="302"/>
    </i>
    <i>
      <x v="304"/>
    </i>
    <i>
      <x v="308"/>
    </i>
    <i>
      <x v="310"/>
    </i>
    <i>
      <x v="315"/>
    </i>
    <i>
      <x v="321"/>
    </i>
    <i>
      <x v="323"/>
    </i>
    <i>
      <x v="326"/>
    </i>
    <i>
      <x v="327"/>
    </i>
    <i>
      <x v="331"/>
    </i>
    <i>
      <x v="334"/>
    </i>
    <i>
      <x v="338"/>
    </i>
    <i>
      <x v="339"/>
    </i>
    <i>
      <x v="341"/>
    </i>
    <i>
      <x v="343"/>
    </i>
    <i>
      <x v="344"/>
    </i>
    <i>
      <x v="345"/>
    </i>
    <i>
      <x v="350"/>
    </i>
    <i>
      <x v="353"/>
    </i>
    <i>
      <x v="361"/>
    </i>
    <i>
      <x v="363"/>
    </i>
    <i>
      <x v="365"/>
    </i>
    <i>
      <x v="373"/>
    </i>
    <i t="grand">
      <x/>
    </i>
  </rowItems>
  <colItems count="1">
    <i/>
  </colItems>
  <pageFields count="2">
    <pageField fld="5" hier="-1"/>
    <pageField fld="14" item="0" hier="-1"/>
  </pageFields>
  <formats count="1">
    <format dxfId="2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A363A2-A094-41DE-ABEC-DAB7622E03D7}" name="Tabela dinâmica11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H5:AH175" firstHeaderRow="1" firstDataRow="1" firstDataCol="1" rowPageCount="2" colPageCount="1"/>
  <pivotFields count="35"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4" showAll="0"/>
    <pivotField numFmtId="3" showAll="0"/>
    <pivotField showAll="0"/>
    <pivotField axis="axisPage" showAll="0">
      <items count="5">
        <item x="1"/>
        <item x="0"/>
        <item m="1" x="2"/>
        <item m="1" x="3"/>
        <item t="default"/>
      </items>
    </pivotField>
    <pivotField showAll="0"/>
    <pivotField showAll="0"/>
    <pivotField showAll="0"/>
    <pivotField numFmtId="3" showAll="0"/>
    <pivotField numFmtId="4" showAll="0"/>
    <pivotField showAll="0"/>
    <pivotField showAll="0"/>
    <pivotField showAll="0"/>
    <pivotField axis="axisRow" numFmtId="10" showAll="0">
      <items count="383">
        <item x="254"/>
        <item x="262"/>
        <item x="259"/>
        <item x="287"/>
        <item x="174"/>
        <item x="258"/>
        <item x="284"/>
        <item x="73"/>
        <item x="359"/>
        <item x="361"/>
        <item x="77"/>
        <item x="260"/>
        <item x="263"/>
        <item x="69"/>
        <item x="315"/>
        <item x="368"/>
        <item x="363"/>
        <item x="261"/>
        <item x="338"/>
        <item x="364"/>
        <item x="102"/>
        <item x="301"/>
        <item x="100"/>
        <item x="320"/>
        <item x="76"/>
        <item x="286"/>
        <item x="203"/>
        <item x="298"/>
        <item x="136"/>
        <item x="87"/>
        <item x="318"/>
        <item x="106"/>
        <item x="86"/>
        <item x="141"/>
        <item x="66"/>
        <item x="354"/>
        <item x="35"/>
        <item x="257"/>
        <item x="265"/>
        <item x="140"/>
        <item x="138"/>
        <item x="306"/>
        <item x="280"/>
        <item x="142"/>
        <item x="63"/>
        <item x="344"/>
        <item x="264"/>
        <item x="316"/>
        <item x="321"/>
        <item x="81"/>
        <item x="128"/>
        <item x="300"/>
        <item x="242"/>
        <item x="101"/>
        <item x="51"/>
        <item x="319"/>
        <item x="360"/>
        <item x="32"/>
        <item x="362"/>
        <item x="343"/>
        <item x="308"/>
        <item x="181"/>
        <item x="70"/>
        <item x="82"/>
        <item x="356"/>
        <item x="199"/>
        <item x="240"/>
        <item x="89"/>
        <item x="352"/>
        <item x="281"/>
        <item x="373"/>
        <item x="285"/>
        <item x="379"/>
        <item x="243"/>
        <item x="93"/>
        <item x="297"/>
        <item x="88"/>
        <item x="303"/>
        <item x="296"/>
        <item x="244"/>
        <item x="252"/>
        <item x="143"/>
        <item x="332"/>
        <item x="175"/>
        <item x="241"/>
        <item x="95"/>
        <item x="135"/>
        <item x="370"/>
        <item x="36"/>
        <item x="247"/>
        <item x="130"/>
        <item x="129"/>
        <item x="29"/>
        <item x="293"/>
        <item x="116"/>
        <item x="305"/>
        <item x="15"/>
        <item x="117"/>
        <item x="246"/>
        <item x="83"/>
        <item x="375"/>
        <item x="164"/>
        <item x="245"/>
        <item x="353"/>
        <item x="187"/>
        <item x="202"/>
        <item x="169"/>
        <item x="182"/>
        <item x="188"/>
        <item x="21"/>
        <item x="8"/>
        <item x="0"/>
        <item x="131"/>
        <item x="248"/>
        <item x="132"/>
        <item x="148"/>
        <item x="366"/>
        <item x="378"/>
        <item x="253"/>
        <item x="147"/>
        <item x="341"/>
        <item x="167"/>
        <item x="160"/>
        <item x="166"/>
        <item x="159"/>
        <item x="288"/>
        <item x="52"/>
        <item x="312"/>
        <item x="16"/>
        <item x="249"/>
        <item x="177"/>
        <item x="291"/>
        <item x="165"/>
        <item x="345"/>
        <item x="14"/>
        <item x="134"/>
        <item x="198"/>
        <item x="113"/>
        <item x="18"/>
        <item x="19"/>
        <item x="310"/>
        <item x="62"/>
        <item x="4"/>
        <item x="103"/>
        <item x="12"/>
        <item x="168"/>
        <item x="163"/>
        <item x="172"/>
        <item x="146"/>
        <item x="144"/>
        <item x="94"/>
        <item x="72"/>
        <item x="23"/>
        <item x="337"/>
        <item x="114"/>
        <item x="47"/>
        <item x="22"/>
        <item x="24"/>
        <item x="65"/>
        <item x="191"/>
        <item x="20"/>
        <item x="99"/>
        <item x="61"/>
        <item x="377"/>
        <item x="237"/>
        <item x="279"/>
        <item x="91"/>
        <item x="56"/>
        <item x="180"/>
        <item x="170"/>
        <item x="173"/>
        <item x="271"/>
        <item x="348"/>
        <item x="107"/>
        <item x="64"/>
        <item x="90"/>
        <item x="292"/>
        <item x="346"/>
        <item x="26"/>
        <item x="85"/>
        <item x="309"/>
        <item x="311"/>
        <item x="374"/>
        <item x="376"/>
        <item x="220"/>
        <item x="5"/>
        <item x="272"/>
        <item x="365"/>
        <item x="251"/>
        <item x="1"/>
        <item x="255"/>
        <item x="367"/>
        <item x="112"/>
        <item x="57"/>
        <item x="201"/>
        <item x="109"/>
        <item x="137"/>
        <item x="223"/>
        <item x="371"/>
        <item x="326"/>
        <item x="80"/>
        <item x="7"/>
        <item x="290"/>
        <item x="219"/>
        <item x="313"/>
        <item x="227"/>
        <item x="78"/>
        <item x="55"/>
        <item x="10"/>
        <item x="342"/>
        <item x="13"/>
        <item x="328"/>
        <item x="108"/>
        <item x="327"/>
        <item x="133"/>
        <item x="179"/>
        <item x="325"/>
        <item x="229"/>
        <item x="9"/>
        <item x="355"/>
        <item x="304"/>
        <item x="74"/>
        <item x="17"/>
        <item x="323"/>
        <item x="299"/>
        <item x="218"/>
        <item x="6"/>
        <item x="104"/>
        <item x="282"/>
        <item x="250"/>
        <item x="324"/>
        <item x="196"/>
        <item x="331"/>
        <item x="295"/>
        <item x="351"/>
        <item x="105"/>
        <item x="372"/>
        <item x="111"/>
        <item x="330"/>
        <item x="3"/>
        <item x="329"/>
        <item x="162"/>
        <item x="41"/>
        <item x="200"/>
        <item x="278"/>
        <item x="269"/>
        <item x="124"/>
        <item x="307"/>
        <item x="45"/>
        <item x="208"/>
        <item x="42"/>
        <item x="233"/>
        <item x="192"/>
        <item x="221"/>
        <item x="314"/>
        <item x="276"/>
        <item x="30"/>
        <item x="369"/>
        <item x="189"/>
        <item x="120"/>
        <item x="210"/>
        <item x="71"/>
        <item x="110"/>
        <item x="96"/>
        <item x="235"/>
        <item x="230"/>
        <item x="115"/>
        <item x="27"/>
        <item x="184"/>
        <item x="190"/>
        <item x="46"/>
        <item x="317"/>
        <item x="194"/>
        <item x="31"/>
        <item x="236"/>
        <item x="273"/>
        <item x="40"/>
        <item x="207"/>
        <item x="2"/>
        <item x="205"/>
        <item x="28"/>
        <item x="37"/>
        <item x="204"/>
        <item x="380"/>
        <item x="11"/>
        <item x="176"/>
        <item x="339"/>
        <item x="152"/>
        <item x="44"/>
        <item x="59"/>
        <item x="161"/>
        <item x="234"/>
        <item x="358"/>
        <item x="266"/>
        <item x="211"/>
        <item x="239"/>
        <item x="277"/>
        <item x="209"/>
        <item x="231"/>
        <item x="43"/>
        <item x="216"/>
        <item x="153"/>
        <item x="149"/>
        <item x="67"/>
        <item x="333"/>
        <item x="274"/>
        <item x="238"/>
        <item x="350"/>
        <item x="206"/>
        <item x="322"/>
        <item x="58"/>
        <item x="335"/>
        <item x="357"/>
        <item x="267"/>
        <item x="145"/>
        <item x="126"/>
        <item x="349"/>
        <item x="289"/>
        <item x="302"/>
        <item x="340"/>
        <item x="268"/>
        <item x="197"/>
        <item x="334"/>
        <item x="228"/>
        <item x="212"/>
        <item x="225"/>
        <item x="25"/>
        <item x="171"/>
        <item x="232"/>
        <item x="381"/>
        <item x="122"/>
        <item x="54"/>
        <item x="213"/>
        <item x="270"/>
        <item x="193"/>
        <item x="125"/>
        <item x="121"/>
        <item x="127"/>
        <item x="79"/>
        <item x="185"/>
        <item x="60"/>
        <item x="75"/>
        <item x="178"/>
        <item x="38"/>
        <item x="53"/>
        <item x="186"/>
        <item x="217"/>
        <item x="222"/>
        <item x="118"/>
        <item x="283"/>
        <item x="195"/>
        <item x="347"/>
        <item x="336"/>
        <item x="151"/>
        <item x="98"/>
        <item x="183"/>
        <item x="275"/>
        <item x="92"/>
        <item x="84"/>
        <item x="50"/>
        <item x="157"/>
        <item x="34"/>
        <item x="119"/>
        <item x="48"/>
        <item x="123"/>
        <item x="150"/>
        <item x="294"/>
        <item x="256"/>
        <item x="33"/>
        <item x="97"/>
        <item x="49"/>
        <item x="155"/>
        <item x="156"/>
        <item x="139"/>
        <item x="39"/>
        <item x="154"/>
        <item x="214"/>
        <item x="158"/>
        <item x="68"/>
        <item x="215"/>
        <item x="224"/>
        <item x="22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23"/>
  </rowFields>
  <rowItems count="170">
    <i>
      <x v="3"/>
    </i>
    <i>
      <x v="6"/>
    </i>
    <i>
      <x v="7"/>
    </i>
    <i>
      <x v="13"/>
    </i>
    <i>
      <x v="15"/>
    </i>
    <i>
      <x v="21"/>
    </i>
    <i>
      <x v="22"/>
    </i>
    <i>
      <x v="25"/>
    </i>
    <i>
      <x v="34"/>
    </i>
    <i>
      <x v="41"/>
    </i>
    <i>
      <x v="42"/>
    </i>
    <i>
      <x v="44"/>
    </i>
    <i>
      <x v="45"/>
    </i>
    <i>
      <x v="59"/>
    </i>
    <i>
      <x v="61"/>
    </i>
    <i>
      <x v="64"/>
    </i>
    <i>
      <x v="69"/>
    </i>
    <i>
      <x v="71"/>
    </i>
    <i>
      <x v="78"/>
    </i>
    <i>
      <x v="81"/>
    </i>
    <i>
      <x v="93"/>
    </i>
    <i>
      <x v="101"/>
    </i>
    <i>
      <x v="107"/>
    </i>
    <i>
      <x v="111"/>
    </i>
    <i>
      <x v="115"/>
    </i>
    <i>
      <x v="116"/>
    </i>
    <i>
      <x v="119"/>
    </i>
    <i>
      <x v="120"/>
    </i>
    <i>
      <x v="125"/>
    </i>
    <i>
      <x v="131"/>
    </i>
    <i>
      <x v="133"/>
    </i>
    <i>
      <x v="137"/>
    </i>
    <i>
      <x v="140"/>
    </i>
    <i>
      <x v="141"/>
    </i>
    <i>
      <x v="143"/>
    </i>
    <i>
      <x v="148"/>
    </i>
    <i>
      <x v="149"/>
    </i>
    <i>
      <x v="154"/>
    </i>
    <i>
      <x v="158"/>
    </i>
    <i>
      <x v="162"/>
    </i>
    <i>
      <x v="165"/>
    </i>
    <i>
      <x v="168"/>
    </i>
    <i>
      <x v="170"/>
    </i>
    <i>
      <x v="171"/>
    </i>
    <i>
      <x v="172"/>
    </i>
    <i>
      <x v="174"/>
    </i>
    <i>
      <x v="177"/>
    </i>
    <i>
      <x v="179"/>
    </i>
    <i>
      <x v="180"/>
    </i>
    <i>
      <x v="181"/>
    </i>
    <i>
      <x v="184"/>
    </i>
    <i>
      <x v="186"/>
    </i>
    <i>
      <x v="187"/>
    </i>
    <i>
      <x v="189"/>
    </i>
    <i>
      <x v="190"/>
    </i>
    <i>
      <x v="191"/>
    </i>
    <i>
      <x v="192"/>
    </i>
    <i>
      <x v="197"/>
    </i>
    <i>
      <x v="200"/>
    </i>
    <i>
      <x v="201"/>
    </i>
    <i>
      <x v="203"/>
    </i>
    <i>
      <x v="209"/>
    </i>
    <i>
      <x v="210"/>
    </i>
    <i>
      <x v="212"/>
    </i>
    <i>
      <x v="215"/>
    </i>
    <i>
      <x v="218"/>
    </i>
    <i>
      <x v="219"/>
    </i>
    <i>
      <x v="220"/>
    </i>
    <i>
      <x v="223"/>
    </i>
    <i>
      <x v="225"/>
    </i>
    <i>
      <x v="228"/>
    </i>
    <i>
      <x v="229"/>
    </i>
    <i>
      <x v="231"/>
    </i>
    <i>
      <x v="234"/>
    </i>
    <i>
      <x v="239"/>
    </i>
    <i>
      <x v="241"/>
    </i>
    <i>
      <x v="244"/>
    </i>
    <i>
      <x v="245"/>
    </i>
    <i>
      <x v="246"/>
    </i>
    <i>
      <x v="247"/>
    </i>
    <i>
      <x v="249"/>
    </i>
    <i>
      <x v="253"/>
    </i>
    <i>
      <x v="255"/>
    </i>
    <i>
      <x v="259"/>
    </i>
    <i>
      <x v="260"/>
    </i>
    <i>
      <x v="263"/>
    </i>
    <i>
      <x v="264"/>
    </i>
    <i>
      <x v="267"/>
    </i>
    <i>
      <x v="268"/>
    </i>
    <i>
      <x v="273"/>
    </i>
    <i>
      <x v="275"/>
    </i>
    <i>
      <x v="278"/>
    </i>
    <i>
      <x v="279"/>
    </i>
    <i>
      <x v="280"/>
    </i>
    <i>
      <x v="282"/>
    </i>
    <i>
      <x v="283"/>
    </i>
    <i>
      <x v="285"/>
    </i>
    <i>
      <x v="286"/>
    </i>
    <i>
      <x v="287"/>
    </i>
    <i>
      <x v="289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3"/>
    </i>
    <i>
      <x v="305"/>
    </i>
    <i>
      <x v="306"/>
    </i>
    <i>
      <x v="307"/>
    </i>
    <i>
      <x v="309"/>
    </i>
    <i>
      <x v="310"/>
    </i>
    <i>
      <x v="311"/>
    </i>
    <i>
      <x v="312"/>
    </i>
    <i>
      <x v="313"/>
    </i>
    <i>
      <x v="314"/>
    </i>
    <i>
      <x v="316"/>
    </i>
    <i>
      <x v="317"/>
    </i>
    <i>
      <x v="318"/>
    </i>
    <i>
      <x v="319"/>
    </i>
    <i>
      <x v="320"/>
    </i>
    <i>
      <x v="322"/>
    </i>
    <i>
      <x v="324"/>
    </i>
    <i>
      <x v="325"/>
    </i>
    <i>
      <x v="328"/>
    </i>
    <i>
      <x v="329"/>
    </i>
    <i>
      <x v="330"/>
    </i>
    <i>
      <x v="332"/>
    </i>
    <i>
      <x v="333"/>
    </i>
    <i>
      <x v="335"/>
    </i>
    <i>
      <x v="336"/>
    </i>
    <i>
      <x v="337"/>
    </i>
    <i>
      <x v="340"/>
    </i>
    <i>
      <x v="342"/>
    </i>
    <i>
      <x v="346"/>
    </i>
    <i>
      <x v="347"/>
    </i>
    <i>
      <x v="348"/>
    </i>
    <i>
      <x v="349"/>
    </i>
    <i>
      <x v="351"/>
    </i>
    <i>
      <x v="352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2"/>
    </i>
    <i>
      <x v="364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 t="grand">
      <x/>
    </i>
  </rowItems>
  <colItems count="1">
    <i/>
  </colItems>
  <pageFields count="2">
    <pageField fld="5" hier="-1"/>
    <pageField fld="14" item="1" hier="-1"/>
  </pageFields>
  <formats count="1">
    <format dxfId="2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F86409-6535-4F12-81AD-1F4A3B154BE8}" name="Tabela dinâmica15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15:D16" firstHeaderRow="0" firstDataRow="1" firstDataCol="0" rowPageCount="1" colPageCount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4" showAll="0"/>
    <pivotField numFmtId="3" showAll="0"/>
    <pivotField showAll="0"/>
    <pivotField showAll="0"/>
    <pivotField showAll="0"/>
    <pivotField showAll="0"/>
    <pivotField showAll="0"/>
    <pivotField numFmtId="3" showAll="0"/>
    <pivotField dataField="1" numFmtId="4" showAll="0"/>
    <pivotField showAll="0"/>
    <pivotField showAll="0"/>
    <pivotField showAll="0"/>
    <pivotField dataField="1" numFmtId="10"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Items count="1">
    <i/>
  </rowItems>
  <colFields count="1">
    <field x="-2"/>
  </colFields>
  <colItems count="3">
    <i>
      <x/>
    </i>
    <i i="1">
      <x v="1"/>
    </i>
    <i i="2">
      <x v="2"/>
    </i>
  </colItems>
  <pageFields count="1">
    <pageField fld="29" item="0" hier="-1"/>
  </pageFields>
  <dataFields count="3">
    <dataField name="Contagem de Spread DI+" fld="23" subtotal="count" baseField="22" baseItem="6"/>
    <dataField name="Soma de Volume R$ (100 MM)" fld="19" baseField="0" baseItem="0"/>
    <dataField name="Média de Spread DI+" fld="23" subtotal="average" baseField="0" baseItem="2"/>
  </dataFields>
  <formats count="1">
    <format dxfId="1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807097-FAF8-4C74-9348-25BDEBA74029}" name="Tabela dinâmica14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V5:X114" firstHeaderRow="0" firstDataRow="1" firstDataCol="1" rowPageCount="2" colPageCount="1"/>
  <pivotFields count="35"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4" showAll="0"/>
    <pivotField numFmtId="3" showAll="0"/>
    <pivotField showAll="0"/>
    <pivotField showAll="0"/>
    <pivotField showAll="0"/>
    <pivotField showAll="0"/>
    <pivotField showAll="0"/>
    <pivotField numFmtId="3" showAll="0"/>
    <pivotField dataField="1" numFmtId="4" showAll="0"/>
    <pivotField showAll="0"/>
    <pivotField showAll="0"/>
    <pivotField showAll="0"/>
    <pivotField axis="axisRow" dataField="1" numFmtId="10" showAll="0">
      <items count="383">
        <item x="254"/>
        <item x="262"/>
        <item x="259"/>
        <item x="287"/>
        <item x="174"/>
        <item x="258"/>
        <item x="284"/>
        <item x="73"/>
        <item x="359"/>
        <item x="361"/>
        <item x="77"/>
        <item x="260"/>
        <item x="263"/>
        <item x="69"/>
        <item x="315"/>
        <item x="368"/>
        <item x="363"/>
        <item x="261"/>
        <item x="338"/>
        <item x="364"/>
        <item x="102"/>
        <item x="301"/>
        <item x="100"/>
        <item x="320"/>
        <item x="76"/>
        <item x="286"/>
        <item x="203"/>
        <item x="298"/>
        <item x="136"/>
        <item x="87"/>
        <item x="318"/>
        <item x="106"/>
        <item x="86"/>
        <item x="141"/>
        <item x="66"/>
        <item x="354"/>
        <item x="35"/>
        <item x="257"/>
        <item x="265"/>
        <item x="140"/>
        <item x="138"/>
        <item x="306"/>
        <item x="280"/>
        <item x="142"/>
        <item x="63"/>
        <item x="344"/>
        <item x="264"/>
        <item x="316"/>
        <item x="321"/>
        <item x="81"/>
        <item x="128"/>
        <item x="300"/>
        <item x="242"/>
        <item x="101"/>
        <item x="51"/>
        <item x="319"/>
        <item x="360"/>
        <item x="32"/>
        <item x="362"/>
        <item x="343"/>
        <item x="308"/>
        <item x="181"/>
        <item x="70"/>
        <item x="82"/>
        <item x="356"/>
        <item x="199"/>
        <item x="240"/>
        <item x="89"/>
        <item x="352"/>
        <item x="281"/>
        <item x="373"/>
        <item x="285"/>
        <item x="379"/>
        <item x="243"/>
        <item x="93"/>
        <item x="297"/>
        <item x="88"/>
        <item x="303"/>
        <item x="296"/>
        <item x="244"/>
        <item x="252"/>
        <item x="143"/>
        <item x="332"/>
        <item x="175"/>
        <item x="241"/>
        <item x="95"/>
        <item x="135"/>
        <item x="370"/>
        <item x="36"/>
        <item x="247"/>
        <item x="130"/>
        <item x="129"/>
        <item x="29"/>
        <item x="293"/>
        <item x="116"/>
        <item x="305"/>
        <item x="15"/>
        <item x="117"/>
        <item x="246"/>
        <item x="83"/>
        <item x="375"/>
        <item x="164"/>
        <item x="245"/>
        <item x="353"/>
        <item x="187"/>
        <item x="202"/>
        <item x="169"/>
        <item x="182"/>
        <item x="188"/>
        <item x="21"/>
        <item x="8"/>
        <item x="0"/>
        <item x="131"/>
        <item x="248"/>
        <item x="132"/>
        <item x="148"/>
        <item x="366"/>
        <item x="378"/>
        <item x="253"/>
        <item x="147"/>
        <item x="341"/>
        <item x="167"/>
        <item x="160"/>
        <item x="166"/>
        <item x="159"/>
        <item x="288"/>
        <item x="52"/>
        <item x="312"/>
        <item x="16"/>
        <item x="249"/>
        <item x="177"/>
        <item x="291"/>
        <item x="165"/>
        <item x="345"/>
        <item x="14"/>
        <item x="134"/>
        <item x="198"/>
        <item x="113"/>
        <item x="18"/>
        <item x="19"/>
        <item x="310"/>
        <item x="62"/>
        <item x="4"/>
        <item x="103"/>
        <item x="12"/>
        <item x="168"/>
        <item x="163"/>
        <item x="172"/>
        <item x="146"/>
        <item x="144"/>
        <item x="94"/>
        <item x="72"/>
        <item x="23"/>
        <item x="337"/>
        <item x="114"/>
        <item x="47"/>
        <item x="22"/>
        <item x="24"/>
        <item x="65"/>
        <item x="191"/>
        <item x="20"/>
        <item x="99"/>
        <item x="61"/>
        <item x="377"/>
        <item x="237"/>
        <item x="279"/>
        <item x="91"/>
        <item x="56"/>
        <item x="180"/>
        <item x="170"/>
        <item x="173"/>
        <item x="271"/>
        <item x="348"/>
        <item x="107"/>
        <item x="64"/>
        <item x="90"/>
        <item x="292"/>
        <item x="346"/>
        <item x="26"/>
        <item x="85"/>
        <item x="309"/>
        <item x="311"/>
        <item x="374"/>
        <item x="376"/>
        <item x="220"/>
        <item x="5"/>
        <item x="272"/>
        <item x="365"/>
        <item x="251"/>
        <item x="1"/>
        <item x="255"/>
        <item x="367"/>
        <item x="112"/>
        <item x="57"/>
        <item x="201"/>
        <item x="109"/>
        <item x="137"/>
        <item x="223"/>
        <item x="371"/>
        <item x="326"/>
        <item x="80"/>
        <item x="7"/>
        <item x="290"/>
        <item x="219"/>
        <item x="313"/>
        <item x="227"/>
        <item x="78"/>
        <item x="55"/>
        <item x="10"/>
        <item x="342"/>
        <item x="13"/>
        <item x="328"/>
        <item x="108"/>
        <item x="327"/>
        <item x="133"/>
        <item x="179"/>
        <item x="325"/>
        <item x="229"/>
        <item x="9"/>
        <item x="355"/>
        <item x="304"/>
        <item x="74"/>
        <item x="17"/>
        <item x="323"/>
        <item x="299"/>
        <item x="218"/>
        <item x="6"/>
        <item x="104"/>
        <item x="282"/>
        <item x="250"/>
        <item x="324"/>
        <item x="196"/>
        <item x="331"/>
        <item x="295"/>
        <item x="351"/>
        <item x="105"/>
        <item x="372"/>
        <item x="111"/>
        <item x="330"/>
        <item x="3"/>
        <item x="329"/>
        <item x="162"/>
        <item x="41"/>
        <item x="200"/>
        <item x="278"/>
        <item x="269"/>
        <item x="124"/>
        <item x="307"/>
        <item x="45"/>
        <item x="208"/>
        <item x="42"/>
        <item x="233"/>
        <item x="192"/>
        <item x="221"/>
        <item x="314"/>
        <item x="276"/>
        <item x="30"/>
        <item x="369"/>
        <item x="189"/>
        <item x="120"/>
        <item x="210"/>
        <item x="71"/>
        <item x="110"/>
        <item x="96"/>
        <item x="235"/>
        <item x="230"/>
        <item x="115"/>
        <item x="27"/>
        <item x="184"/>
        <item x="190"/>
        <item x="46"/>
        <item x="317"/>
        <item x="194"/>
        <item x="31"/>
        <item x="236"/>
        <item x="273"/>
        <item x="40"/>
        <item x="207"/>
        <item x="2"/>
        <item x="205"/>
        <item x="28"/>
        <item x="37"/>
        <item x="204"/>
        <item x="380"/>
        <item x="11"/>
        <item x="176"/>
        <item x="339"/>
        <item x="152"/>
        <item x="44"/>
        <item x="59"/>
        <item x="161"/>
        <item x="234"/>
        <item x="358"/>
        <item x="266"/>
        <item x="211"/>
        <item x="239"/>
        <item x="277"/>
        <item x="209"/>
        <item x="231"/>
        <item x="43"/>
        <item x="216"/>
        <item x="153"/>
        <item x="149"/>
        <item x="67"/>
        <item x="333"/>
        <item x="274"/>
        <item x="238"/>
        <item x="350"/>
        <item x="206"/>
        <item x="322"/>
        <item x="58"/>
        <item x="335"/>
        <item x="357"/>
        <item x="267"/>
        <item x="145"/>
        <item x="126"/>
        <item x="349"/>
        <item x="289"/>
        <item x="302"/>
        <item x="340"/>
        <item x="268"/>
        <item x="197"/>
        <item x="334"/>
        <item x="228"/>
        <item x="212"/>
        <item x="225"/>
        <item x="25"/>
        <item x="171"/>
        <item x="232"/>
        <item x="381"/>
        <item x="122"/>
        <item x="54"/>
        <item x="213"/>
        <item x="270"/>
        <item x="193"/>
        <item x="125"/>
        <item x="121"/>
        <item x="127"/>
        <item x="79"/>
        <item x="185"/>
        <item x="60"/>
        <item x="75"/>
        <item x="178"/>
        <item x="38"/>
        <item x="53"/>
        <item x="186"/>
        <item x="217"/>
        <item x="222"/>
        <item x="118"/>
        <item x="283"/>
        <item x="195"/>
        <item x="347"/>
        <item x="336"/>
        <item x="151"/>
        <item x="98"/>
        <item x="183"/>
        <item x="275"/>
        <item x="92"/>
        <item x="84"/>
        <item x="50"/>
        <item x="157"/>
        <item x="34"/>
        <item x="119"/>
        <item x="48"/>
        <item x="123"/>
        <item x="150"/>
        <item x="294"/>
        <item x="256"/>
        <item x="33"/>
        <item x="97"/>
        <item x="49"/>
        <item x="155"/>
        <item x="156"/>
        <item x="139"/>
        <item x="39"/>
        <item x="154"/>
        <item x="214"/>
        <item x="158"/>
        <item x="68"/>
        <item x="215"/>
        <item x="224"/>
        <item x="226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23"/>
  </rowFields>
  <rowItems count="109">
    <i>
      <x v="13"/>
    </i>
    <i>
      <x v="34"/>
    </i>
    <i>
      <x v="42"/>
    </i>
    <i>
      <x v="59"/>
    </i>
    <i>
      <x v="69"/>
    </i>
    <i>
      <x v="78"/>
    </i>
    <i>
      <x v="106"/>
    </i>
    <i>
      <x v="115"/>
    </i>
    <i>
      <x v="119"/>
    </i>
    <i>
      <x v="120"/>
    </i>
    <i>
      <x v="133"/>
    </i>
    <i>
      <x v="137"/>
    </i>
    <i>
      <x v="140"/>
    </i>
    <i>
      <x v="148"/>
    </i>
    <i>
      <x v="154"/>
    </i>
    <i>
      <x v="168"/>
    </i>
    <i>
      <x v="170"/>
    </i>
    <i>
      <x v="174"/>
    </i>
    <i>
      <x v="177"/>
    </i>
    <i>
      <x v="180"/>
    </i>
    <i>
      <x v="181"/>
    </i>
    <i>
      <x v="184"/>
    </i>
    <i>
      <x v="187"/>
    </i>
    <i>
      <x v="188"/>
    </i>
    <i>
      <x v="189"/>
    </i>
    <i>
      <x v="192"/>
    </i>
    <i>
      <x v="197"/>
    </i>
    <i>
      <x v="200"/>
    </i>
    <i>
      <x v="203"/>
    </i>
    <i>
      <x v="209"/>
    </i>
    <i>
      <x v="215"/>
    </i>
    <i>
      <x v="218"/>
    </i>
    <i>
      <x v="221"/>
    </i>
    <i>
      <x v="223"/>
    </i>
    <i>
      <x v="225"/>
    </i>
    <i>
      <x v="228"/>
    </i>
    <i>
      <x v="229"/>
    </i>
    <i>
      <x v="234"/>
    </i>
    <i>
      <x v="237"/>
    </i>
    <i>
      <x v="241"/>
    </i>
    <i>
      <x v="246"/>
    </i>
    <i>
      <x v="249"/>
    </i>
    <i>
      <x v="253"/>
    </i>
    <i>
      <x v="259"/>
    </i>
    <i>
      <x v="260"/>
    </i>
    <i>
      <x v="266"/>
    </i>
    <i>
      <x v="267"/>
    </i>
    <i>
      <x v="268"/>
    </i>
    <i>
      <x v="279"/>
    </i>
    <i>
      <x v="280"/>
    </i>
    <i>
      <x v="282"/>
    </i>
    <i>
      <x v="285"/>
    </i>
    <i>
      <x v="286"/>
    </i>
    <i>
      <x v="287"/>
    </i>
    <i>
      <x v="289"/>
    </i>
    <i>
      <x v="290"/>
    </i>
    <i>
      <x v="292"/>
    </i>
    <i>
      <x v="293"/>
    </i>
    <i>
      <x v="294"/>
    </i>
    <i>
      <x v="295"/>
    </i>
    <i>
      <x v="297"/>
    </i>
    <i>
      <x v="300"/>
    </i>
    <i>
      <x v="301"/>
    </i>
    <i>
      <x v="306"/>
    </i>
    <i>
      <x v="309"/>
    </i>
    <i>
      <x v="311"/>
    </i>
    <i>
      <x v="314"/>
    </i>
    <i>
      <x v="316"/>
    </i>
    <i>
      <x v="319"/>
    </i>
    <i>
      <x v="320"/>
    </i>
    <i>
      <x v="322"/>
    </i>
    <i>
      <x v="324"/>
    </i>
    <i>
      <x v="325"/>
    </i>
    <i>
      <x v="329"/>
    </i>
    <i>
      <x v="330"/>
    </i>
    <i>
      <x v="335"/>
    </i>
    <i>
      <x v="336"/>
    </i>
    <i>
      <x v="337"/>
    </i>
    <i>
      <x v="338"/>
    </i>
    <i>
      <x v="340"/>
    </i>
    <i>
      <x v="341"/>
    </i>
    <i>
      <x v="342"/>
    </i>
    <i>
      <x v="346"/>
    </i>
    <i>
      <x v="347"/>
    </i>
    <i>
      <x v="348"/>
    </i>
    <i>
      <x v="349"/>
    </i>
    <i>
      <x v="351"/>
    </i>
    <i>
      <x v="352"/>
    </i>
    <i>
      <x v="354"/>
    </i>
    <i>
      <x v="355"/>
    </i>
    <i>
      <x v="356"/>
    </i>
    <i>
      <x v="359"/>
    </i>
    <i>
      <x v="360"/>
    </i>
    <i>
      <x v="362"/>
    </i>
    <i>
      <x v="364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 t="grand">
      <x/>
    </i>
  </rowItems>
  <colFields count="1">
    <field x="-2"/>
  </colFields>
  <colItems count="2">
    <i>
      <x/>
    </i>
    <i i="1">
      <x v="1"/>
    </i>
  </colItems>
  <pageFields count="2">
    <pageField fld="5" item="0" hier="-1"/>
    <pageField fld="29" item="1" hier="-1"/>
  </pageFields>
  <dataFields count="2">
    <dataField name="Contagem de Spread DI+" fld="23" subtotal="count" baseField="22" baseItem="6"/>
    <dataField name="Soma de Volume R$ (100 MM)" fld="19" baseField="0" baseItem="0"/>
  </dataFields>
  <formats count="1">
    <format dxfId="1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EDC597-1FEC-49B3-A7DF-9AAEA53B00B0}" name="Tabela dinâmica13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R5:T56" firstHeaderRow="0" firstDataRow="1" firstDataCol="1" rowPageCount="2" colPageCount="1"/>
  <pivotFields count="35"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4" showAll="0"/>
    <pivotField numFmtId="3" showAll="0"/>
    <pivotField showAll="0"/>
    <pivotField showAll="0"/>
    <pivotField showAll="0"/>
    <pivotField showAll="0"/>
    <pivotField showAll="0"/>
    <pivotField numFmtId="3" showAll="0"/>
    <pivotField dataField="1" numFmtId="4" showAll="0"/>
    <pivotField showAll="0"/>
    <pivotField showAll="0"/>
    <pivotField showAll="0"/>
    <pivotField axis="axisRow" dataField="1" numFmtId="10" showAll="0">
      <items count="383">
        <item x="254"/>
        <item x="262"/>
        <item x="259"/>
        <item x="287"/>
        <item x="174"/>
        <item x="258"/>
        <item x="284"/>
        <item x="73"/>
        <item x="359"/>
        <item x="361"/>
        <item x="77"/>
        <item x="260"/>
        <item x="263"/>
        <item x="69"/>
        <item x="315"/>
        <item x="368"/>
        <item x="363"/>
        <item x="261"/>
        <item x="338"/>
        <item x="364"/>
        <item x="102"/>
        <item x="301"/>
        <item x="100"/>
        <item x="320"/>
        <item x="76"/>
        <item x="286"/>
        <item x="203"/>
        <item x="298"/>
        <item x="136"/>
        <item x="87"/>
        <item x="318"/>
        <item x="106"/>
        <item x="86"/>
        <item x="141"/>
        <item x="66"/>
        <item x="354"/>
        <item x="35"/>
        <item x="257"/>
        <item x="265"/>
        <item x="140"/>
        <item x="138"/>
        <item x="306"/>
        <item x="280"/>
        <item x="142"/>
        <item x="63"/>
        <item x="344"/>
        <item x="264"/>
        <item x="316"/>
        <item x="321"/>
        <item x="81"/>
        <item x="128"/>
        <item x="300"/>
        <item x="242"/>
        <item x="101"/>
        <item x="51"/>
        <item x="319"/>
        <item x="360"/>
        <item x="32"/>
        <item x="362"/>
        <item x="343"/>
        <item x="308"/>
        <item x="181"/>
        <item x="70"/>
        <item x="82"/>
        <item x="356"/>
        <item x="199"/>
        <item x="240"/>
        <item x="89"/>
        <item x="352"/>
        <item x="281"/>
        <item x="373"/>
        <item x="285"/>
        <item x="379"/>
        <item x="243"/>
        <item x="93"/>
        <item x="297"/>
        <item x="88"/>
        <item x="303"/>
        <item x="296"/>
        <item x="244"/>
        <item x="252"/>
        <item x="143"/>
        <item x="332"/>
        <item x="175"/>
        <item x="241"/>
        <item x="95"/>
        <item x="135"/>
        <item x="370"/>
        <item x="36"/>
        <item x="247"/>
        <item x="130"/>
        <item x="129"/>
        <item x="29"/>
        <item x="293"/>
        <item x="116"/>
        <item x="305"/>
        <item x="15"/>
        <item x="117"/>
        <item x="246"/>
        <item x="83"/>
        <item x="375"/>
        <item x="164"/>
        <item x="245"/>
        <item x="353"/>
        <item x="187"/>
        <item x="202"/>
        <item x="169"/>
        <item x="182"/>
        <item x="188"/>
        <item x="21"/>
        <item x="8"/>
        <item x="0"/>
        <item x="131"/>
        <item x="248"/>
        <item x="132"/>
        <item x="148"/>
        <item x="366"/>
        <item x="378"/>
        <item x="253"/>
        <item x="147"/>
        <item x="341"/>
        <item x="167"/>
        <item x="160"/>
        <item x="166"/>
        <item x="159"/>
        <item x="288"/>
        <item x="52"/>
        <item x="312"/>
        <item x="16"/>
        <item x="249"/>
        <item x="177"/>
        <item x="291"/>
        <item x="165"/>
        <item x="345"/>
        <item x="14"/>
        <item x="134"/>
        <item x="198"/>
        <item x="113"/>
        <item x="18"/>
        <item x="19"/>
        <item x="310"/>
        <item x="62"/>
        <item x="4"/>
        <item x="103"/>
        <item x="12"/>
        <item x="168"/>
        <item x="163"/>
        <item x="172"/>
        <item x="146"/>
        <item x="144"/>
        <item x="94"/>
        <item x="72"/>
        <item x="23"/>
        <item x="337"/>
        <item x="114"/>
        <item x="47"/>
        <item x="22"/>
        <item x="24"/>
        <item x="65"/>
        <item x="191"/>
        <item x="20"/>
        <item x="99"/>
        <item x="61"/>
        <item x="377"/>
        <item x="237"/>
        <item x="279"/>
        <item x="91"/>
        <item x="56"/>
        <item x="180"/>
        <item x="170"/>
        <item x="173"/>
        <item x="271"/>
        <item x="348"/>
        <item x="107"/>
        <item x="64"/>
        <item x="90"/>
        <item x="292"/>
        <item x="346"/>
        <item x="26"/>
        <item x="85"/>
        <item x="309"/>
        <item x="311"/>
        <item x="374"/>
        <item x="376"/>
        <item x="220"/>
        <item x="5"/>
        <item x="272"/>
        <item x="365"/>
        <item x="251"/>
        <item x="1"/>
        <item x="255"/>
        <item x="367"/>
        <item x="112"/>
        <item x="57"/>
        <item x="201"/>
        <item x="109"/>
        <item x="137"/>
        <item x="223"/>
        <item x="371"/>
        <item x="326"/>
        <item x="80"/>
        <item x="7"/>
        <item x="290"/>
        <item x="219"/>
        <item x="313"/>
        <item x="227"/>
        <item x="78"/>
        <item x="55"/>
        <item x="10"/>
        <item x="342"/>
        <item x="13"/>
        <item x="328"/>
        <item x="108"/>
        <item x="327"/>
        <item x="133"/>
        <item x="179"/>
        <item x="325"/>
        <item x="229"/>
        <item x="9"/>
        <item x="355"/>
        <item x="304"/>
        <item x="74"/>
        <item x="17"/>
        <item x="323"/>
        <item x="299"/>
        <item x="218"/>
        <item x="6"/>
        <item x="104"/>
        <item x="282"/>
        <item x="250"/>
        <item x="324"/>
        <item x="196"/>
        <item x="331"/>
        <item x="295"/>
        <item x="351"/>
        <item x="105"/>
        <item x="372"/>
        <item x="111"/>
        <item x="330"/>
        <item x="3"/>
        <item x="329"/>
        <item x="162"/>
        <item x="41"/>
        <item x="200"/>
        <item x="278"/>
        <item x="269"/>
        <item x="124"/>
        <item x="307"/>
        <item x="45"/>
        <item x="208"/>
        <item x="42"/>
        <item x="233"/>
        <item x="192"/>
        <item x="221"/>
        <item x="314"/>
        <item x="276"/>
        <item x="30"/>
        <item x="369"/>
        <item x="189"/>
        <item x="120"/>
        <item x="210"/>
        <item x="71"/>
        <item x="110"/>
        <item x="96"/>
        <item x="235"/>
        <item x="230"/>
        <item x="115"/>
        <item x="27"/>
        <item x="184"/>
        <item x="190"/>
        <item x="46"/>
        <item x="317"/>
        <item x="194"/>
        <item x="31"/>
        <item x="236"/>
        <item x="273"/>
        <item x="40"/>
        <item x="207"/>
        <item x="2"/>
        <item x="205"/>
        <item x="28"/>
        <item x="37"/>
        <item x="204"/>
        <item x="380"/>
        <item x="11"/>
        <item x="176"/>
        <item x="339"/>
        <item x="152"/>
        <item x="44"/>
        <item x="59"/>
        <item x="161"/>
        <item x="234"/>
        <item x="358"/>
        <item x="266"/>
        <item x="211"/>
        <item x="239"/>
        <item x="277"/>
        <item x="209"/>
        <item x="231"/>
        <item x="43"/>
        <item x="216"/>
        <item x="153"/>
        <item x="149"/>
        <item x="67"/>
        <item x="333"/>
        <item x="274"/>
        <item x="238"/>
        <item x="350"/>
        <item x="206"/>
        <item x="322"/>
        <item x="58"/>
        <item x="335"/>
        <item x="357"/>
        <item x="267"/>
        <item x="145"/>
        <item x="126"/>
        <item x="349"/>
        <item x="289"/>
        <item x="302"/>
        <item x="340"/>
        <item x="268"/>
        <item x="197"/>
        <item x="334"/>
        <item x="228"/>
        <item x="212"/>
        <item x="225"/>
        <item x="25"/>
        <item x="171"/>
        <item x="232"/>
        <item x="381"/>
        <item x="122"/>
        <item x="54"/>
        <item x="213"/>
        <item x="270"/>
        <item x="193"/>
        <item x="125"/>
        <item x="121"/>
        <item x="127"/>
        <item x="79"/>
        <item x="185"/>
        <item x="60"/>
        <item x="75"/>
        <item x="178"/>
        <item x="38"/>
        <item x="53"/>
        <item x="186"/>
        <item x="217"/>
        <item x="222"/>
        <item x="118"/>
        <item x="283"/>
        <item x="195"/>
        <item x="347"/>
        <item x="336"/>
        <item x="151"/>
        <item x="98"/>
        <item x="183"/>
        <item x="275"/>
        <item x="92"/>
        <item x="84"/>
        <item x="50"/>
        <item x="157"/>
        <item x="34"/>
        <item x="119"/>
        <item x="48"/>
        <item x="123"/>
        <item x="150"/>
        <item x="294"/>
        <item x="256"/>
        <item x="33"/>
        <item x="97"/>
        <item x="49"/>
        <item x="155"/>
        <item x="156"/>
        <item x="139"/>
        <item x="39"/>
        <item x="154"/>
        <item x="214"/>
        <item x="158"/>
        <item x="68"/>
        <item x="215"/>
        <item x="224"/>
        <item x="226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23"/>
  </rowFields>
  <rowItems count="51">
    <i>
      <x v="3"/>
    </i>
    <i>
      <x v="6"/>
    </i>
    <i>
      <x v="7"/>
    </i>
    <i>
      <x v="10"/>
    </i>
    <i>
      <x v="15"/>
    </i>
    <i>
      <x v="21"/>
    </i>
    <i>
      <x v="22"/>
    </i>
    <i>
      <x v="24"/>
    </i>
    <i>
      <x v="25"/>
    </i>
    <i>
      <x v="44"/>
    </i>
    <i>
      <x v="45"/>
    </i>
    <i>
      <x v="61"/>
    </i>
    <i>
      <x v="64"/>
    </i>
    <i>
      <x v="71"/>
    </i>
    <i>
      <x v="81"/>
    </i>
    <i>
      <x v="86"/>
    </i>
    <i>
      <x v="107"/>
    </i>
    <i>
      <x v="116"/>
    </i>
    <i>
      <x v="125"/>
    </i>
    <i>
      <x v="135"/>
    </i>
    <i>
      <x v="141"/>
    </i>
    <i>
      <x v="143"/>
    </i>
    <i>
      <x v="149"/>
    </i>
    <i>
      <x v="158"/>
    </i>
    <i>
      <x v="162"/>
    </i>
    <i>
      <x v="165"/>
    </i>
    <i>
      <x v="171"/>
    </i>
    <i>
      <x v="172"/>
    </i>
    <i>
      <x v="186"/>
    </i>
    <i>
      <x v="190"/>
    </i>
    <i>
      <x v="191"/>
    </i>
    <i>
      <x v="206"/>
    </i>
    <i>
      <x v="214"/>
    </i>
    <i>
      <x v="219"/>
    </i>
    <i>
      <x v="244"/>
    </i>
    <i>
      <x v="245"/>
    </i>
    <i>
      <x v="255"/>
    </i>
    <i>
      <x v="257"/>
    </i>
    <i>
      <x v="275"/>
    </i>
    <i>
      <x v="283"/>
    </i>
    <i>
      <x v="296"/>
    </i>
    <i>
      <x v="303"/>
    </i>
    <i>
      <x v="305"/>
    </i>
    <i>
      <x v="307"/>
    </i>
    <i>
      <x v="312"/>
    </i>
    <i>
      <x v="313"/>
    </i>
    <i>
      <x v="318"/>
    </i>
    <i>
      <x v="332"/>
    </i>
    <i>
      <x v="333"/>
    </i>
    <i>
      <x v="367"/>
    </i>
    <i t="grand">
      <x/>
    </i>
  </rowItems>
  <colFields count="1">
    <field x="-2"/>
  </colFields>
  <colItems count="2">
    <i>
      <x/>
    </i>
    <i i="1">
      <x v="1"/>
    </i>
  </colItems>
  <pageFields count="2">
    <pageField fld="5" item="0" hier="-1"/>
    <pageField fld="29" item="0" hier="-1"/>
  </pageFields>
  <dataFields count="2">
    <dataField name="Contagem de Spread DI+" fld="23" subtotal="count" baseField="22" baseItem="6"/>
    <dataField name="Soma de Volume R$ (100 MM)" fld="19" baseField="0" baseItem="0"/>
  </dataFields>
  <formats count="1">
    <format dxfId="1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7CDEBE-5903-4DC9-8B1C-FC3E3CEC134B}" name="Tabela dinâmica3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J5:L77" firstHeaderRow="0" firstDataRow="1" firstDataCol="1" rowPageCount="2" colPageCount="1"/>
  <pivotFields count="35"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4" showAll="0"/>
    <pivotField numFmtId="3" showAll="0"/>
    <pivotField showAll="0"/>
    <pivotField showAll="0"/>
    <pivotField showAll="0"/>
    <pivotField showAll="0"/>
    <pivotField showAll="0"/>
    <pivotField numFmtId="3" showAll="0"/>
    <pivotField dataField="1" numFmtId="4" showAll="0">
      <items count="647">
        <item m="1" x="400"/>
        <item m="1" x="467"/>
        <item m="1" x="341"/>
        <item m="1" x="331"/>
        <item m="1" x="604"/>
        <item m="1" x="459"/>
        <item m="1" x="519"/>
        <item m="1" x="540"/>
        <item m="1" x="352"/>
        <item m="1" x="364"/>
        <item m="1" x="488"/>
        <item m="1" x="502"/>
        <item m="1" x="346"/>
        <item m="1" x="607"/>
        <item m="1" x="572"/>
        <item m="1" x="396"/>
        <item m="1" x="596"/>
        <item m="1" x="387"/>
        <item m="1" x="493"/>
        <item m="1" x="603"/>
        <item m="1" x="605"/>
        <item m="1" x="367"/>
        <item m="1" x="460"/>
        <item m="1" x="381"/>
        <item m="1" x="515"/>
        <item m="1" x="437"/>
        <item m="1" x="451"/>
        <item m="1" x="410"/>
        <item m="1" x="338"/>
        <item m="1" x="449"/>
        <item m="1" x="339"/>
        <item m="1" x="532"/>
        <item m="1" x="553"/>
        <item m="1" x="358"/>
        <item m="1" x="546"/>
        <item m="1" x="501"/>
        <item m="1" x="528"/>
        <item m="1" x="395"/>
        <item m="1" x="423"/>
        <item m="1" x="571"/>
        <item m="1" x="485"/>
        <item m="1" x="454"/>
        <item m="1" x="461"/>
        <item m="1" x="366"/>
        <item m="1" x="610"/>
        <item m="1" x="469"/>
        <item m="1" x="636"/>
        <item m="1" x="592"/>
        <item m="1" x="645"/>
        <item m="1" x="562"/>
        <item m="1" x="372"/>
        <item m="1" x="507"/>
        <item m="1" x="543"/>
        <item m="1" x="598"/>
        <item m="1" x="386"/>
        <item m="1" x="599"/>
        <item m="1" x="551"/>
        <item m="1" x="623"/>
        <item m="1" x="535"/>
        <item m="1" x="521"/>
        <item m="1" x="397"/>
        <item m="1" x="638"/>
        <item m="1" x="542"/>
        <item m="1" x="559"/>
        <item m="1" x="617"/>
        <item m="1" x="500"/>
        <item m="1" x="350"/>
        <item m="1" x="539"/>
        <item m="1" x="429"/>
        <item m="1" x="439"/>
        <item m="1" x="624"/>
        <item m="1" x="505"/>
        <item m="1" x="436"/>
        <item m="1" x="335"/>
        <item m="1" x="427"/>
        <item m="1" x="525"/>
        <item m="1" x="434"/>
        <item x="78"/>
        <item m="1" x="473"/>
        <item x="76"/>
        <item m="1" x="578"/>
        <item m="1" x="392"/>
        <item m="1" x="458"/>
        <item m="1" x="361"/>
        <item m="1" x="611"/>
        <item m="1" x="565"/>
        <item m="1" x="370"/>
        <item m="1" x="369"/>
        <item m="1" x="547"/>
        <item m="1" x="477"/>
        <item m="1" x="390"/>
        <item m="1" x="398"/>
        <item m="1" x="555"/>
        <item m="1" x="544"/>
        <item m="1" x="614"/>
        <item m="1" x="635"/>
        <item m="1" x="600"/>
        <item m="1" x="332"/>
        <item m="1" x="526"/>
        <item m="1" x="629"/>
        <item m="1" x="545"/>
        <item m="1" x="491"/>
        <item m="1" x="405"/>
        <item m="1" x="589"/>
        <item m="1" x="440"/>
        <item m="1" x="587"/>
        <item m="1" x="516"/>
        <item m="1" x="496"/>
        <item m="1" x="570"/>
        <item m="1" x="618"/>
        <item m="1" x="349"/>
        <item m="1" x="343"/>
        <item m="1" x="348"/>
        <item m="1" x="472"/>
        <item m="1" x="462"/>
        <item m="1" x="506"/>
        <item x="15"/>
        <item m="1" x="514"/>
        <item m="1" x="371"/>
        <item m="1" x="626"/>
        <item m="1" x="594"/>
        <item m="1" x="380"/>
        <item x="39"/>
        <item m="1" x="443"/>
        <item m="1" x="510"/>
        <item m="1" x="517"/>
        <item x="178"/>
        <item m="1" x="416"/>
        <item m="1" x="484"/>
        <item m="1" x="475"/>
        <item m="1" x="489"/>
        <item m="1" x="413"/>
        <item m="1" x="641"/>
        <item m="1" x="625"/>
        <item m="1" x="552"/>
        <item m="1" x="527"/>
        <item x="291"/>
        <item x="180"/>
        <item m="1" x="536"/>
        <item m="1" x="445"/>
        <item m="1" x="478"/>
        <item x="7"/>
        <item m="1" x="492"/>
        <item m="1" x="465"/>
        <item m="1" x="441"/>
        <item x="53"/>
        <item x="292"/>
        <item x="64"/>
        <item m="1" x="376"/>
        <item m="1" x="422"/>
        <item m="1" x="432"/>
        <item m="1" x="430"/>
        <item x="27"/>
        <item m="1" x="522"/>
        <item m="1" x="476"/>
        <item m="1" x="464"/>
        <item m="1" x="568"/>
        <item m="1" x="474"/>
        <item x="24"/>
        <item m="1" x="608"/>
        <item m="1" x="409"/>
        <item x="264"/>
        <item m="1" x="530"/>
        <item x="23"/>
        <item m="1" x="356"/>
        <item m="1" x="622"/>
        <item m="1" x="644"/>
        <item m="1" x="420"/>
        <item m="1" x="433"/>
        <item m="1" x="504"/>
        <item m="1" x="558"/>
        <item m="1" x="631"/>
        <item m="1" x="529"/>
        <item x="263"/>
        <item x="222"/>
        <item m="1" x="602"/>
        <item m="1" x="377"/>
        <item m="1" x="520"/>
        <item m="1" x="531"/>
        <item x="148"/>
        <item x="147"/>
        <item m="1" x="557"/>
        <item x="33"/>
        <item m="1" x="407"/>
        <item m="1" x="590"/>
        <item x="116"/>
        <item m="1" x="414"/>
        <item m="1" x="452"/>
        <item x="146"/>
        <item x="145"/>
        <item m="1" x="642"/>
        <item x="34"/>
        <item x="297"/>
        <item x="266"/>
        <item m="1" x="630"/>
        <item m="1" x="336"/>
        <item m="1" x="453"/>
        <item m="1" x="446"/>
        <item m="1" x="362"/>
        <item m="1" x="342"/>
        <item x="159"/>
        <item m="1" x="588"/>
        <item x="288"/>
        <item m="1" x="357"/>
        <item m="1" x="524"/>
        <item m="1" x="616"/>
        <item m="1" x="359"/>
        <item m="1" x="585"/>
        <item m="1" x="383"/>
        <item m="1" x="595"/>
        <item m="1" x="384"/>
        <item m="1" x="401"/>
        <item m="1" x="639"/>
        <item m="1" x="351"/>
        <item m="1" x="455"/>
        <item m="1" x="330"/>
        <item m="1" x="479"/>
        <item m="1" x="426"/>
        <item m="1" x="373"/>
        <item m="1" x="365"/>
        <item m="1" x="406"/>
        <item x="213"/>
        <item x="150"/>
        <item x="149"/>
        <item x="174"/>
        <item m="1" x="399"/>
        <item m="1" x="494"/>
        <item x="211"/>
        <item x="207"/>
        <item m="1" x="508"/>
        <item x="277"/>
        <item m="1" x="389"/>
        <item x="176"/>
        <item m="1" x="388"/>
        <item x="183"/>
        <item x="2"/>
        <item m="1" x="497"/>
        <item x="289"/>
        <item m="1" x="355"/>
        <item x="11"/>
        <item m="1" x="554"/>
        <item m="1" x="353"/>
        <item m="1" x="550"/>
        <item m="1" x="468"/>
        <item m="1" x="573"/>
        <item m="1" x="640"/>
        <item m="1" x="613"/>
        <item m="1" x="483"/>
        <item x="38"/>
        <item m="1" x="374"/>
        <item m="1" x="632"/>
        <item m="1" x="428"/>
        <item m="1" x="620"/>
        <item m="1" x="606"/>
        <item x="294"/>
        <item m="1" x="533"/>
        <item x="290"/>
        <item x="212"/>
        <item m="1" x="619"/>
        <item m="1" x="403"/>
        <item x="143"/>
        <item x="142"/>
        <item m="1" x="637"/>
        <item m="1" x="375"/>
        <item m="1" x="456"/>
        <item m="1" x="579"/>
        <item x="267"/>
        <item x="167"/>
        <item m="1" x="418"/>
        <item m="1" x="628"/>
        <item x="170"/>
        <item x="141"/>
        <item x="25"/>
        <item x="210"/>
        <item m="1" x="548"/>
        <item x="204"/>
        <item x="293"/>
        <item m="1" x="643"/>
        <item m="1" x="561"/>
        <item m="1" x="593"/>
        <item m="1" x="537"/>
        <item m="1" x="481"/>
        <item m="1" x="333"/>
        <item m="1" x="394"/>
        <item m="1" x="591"/>
        <item m="1" x="615"/>
        <item m="1" x="509"/>
        <item x="171"/>
        <item x="115"/>
        <item m="1" x="438"/>
        <item x="13"/>
        <item m="1" x="569"/>
        <item m="1" x="523"/>
        <item m="1" x="575"/>
        <item m="1" x="393"/>
        <item m="1" x="513"/>
        <item m="1" x="563"/>
        <item m="1" x="411"/>
        <item x="208"/>
        <item m="1" x="490"/>
        <item m="1" x="402"/>
        <item x="279"/>
        <item m="1" x="408"/>
        <item x="125"/>
        <item x="127"/>
        <item x="283"/>
        <item x="144"/>
        <item m="1" x="447"/>
        <item x="81"/>
        <item x="139"/>
        <item m="1" x="511"/>
        <item m="1" x="549"/>
        <item x="19"/>
        <item m="1" x="385"/>
        <item m="1" x="457"/>
        <item x="187"/>
        <item m="1" x="498"/>
        <item x="214"/>
        <item m="1" x="354"/>
        <item x="16"/>
        <item x="240"/>
        <item x="31"/>
        <item x="22"/>
        <item m="1" x="556"/>
        <item x="298"/>
        <item x="285"/>
        <item m="1" x="482"/>
        <item x="179"/>
        <item m="1" x="463"/>
        <item m="1" x="566"/>
        <item x="55"/>
        <item m="1" x="486"/>
        <item x="182"/>
        <item m="1" x="470"/>
        <item x="278"/>
        <item m="1" x="417"/>
        <item m="1" x="363"/>
        <item m="1" x="340"/>
        <item m="1" x="448"/>
        <item x="135"/>
        <item m="1" x="495"/>
        <item m="1" x="597"/>
        <item x="215"/>
        <item x="153"/>
        <item m="1" x="581"/>
        <item x="5"/>
        <item m="1" x="347"/>
        <item x="232"/>
        <item m="1" x="560"/>
        <item m="1" x="442"/>
        <item x="221"/>
        <item m="1" x="564"/>
        <item m="1" x="368"/>
        <item x="269"/>
        <item x="4"/>
        <item m="1" x="583"/>
        <item x="152"/>
        <item x="151"/>
        <item x="220"/>
        <item m="1" x="518"/>
        <item x="262"/>
        <item m="1" x="378"/>
        <item m="1" x="337"/>
        <item m="1" x="450"/>
        <item m="1" x="633"/>
        <item m="1" x="329"/>
        <item m="1" x="621"/>
        <item m="1" x="360"/>
        <item m="1" x="379"/>
        <item m="1" x="391"/>
        <item x="158"/>
        <item x="268"/>
        <item x="105"/>
        <item x="295"/>
        <item x="14"/>
        <item m="1" x="601"/>
        <item m="1" x="634"/>
        <item m="1" x="412"/>
        <item x="169"/>
        <item m="1" x="419"/>
        <item x="281"/>
        <item x="218"/>
        <item x="154"/>
        <item x="134"/>
        <item x="117"/>
        <item x="224"/>
        <item m="1" x="444"/>
        <item m="1" x="421"/>
        <item x="157"/>
        <item m="1" x="574"/>
        <item x="41"/>
        <item m="1" x="466"/>
        <item x="0"/>
        <item m="1" x="567"/>
        <item m="1" x="612"/>
        <item x="65"/>
        <item x="54"/>
        <item m="1" x="480"/>
        <item m="1" x="503"/>
        <item m="1" x="538"/>
        <item x="177"/>
        <item x="98"/>
        <item x="168"/>
        <item m="1" x="344"/>
        <item x="29"/>
        <item m="1" x="415"/>
        <item x="47"/>
        <item x="37"/>
        <item x="205"/>
        <item x="172"/>
        <item m="1" x="431"/>
        <item m="1" x="586"/>
        <item x="28"/>
        <item x="72"/>
        <item x="128"/>
        <item x="95"/>
        <item x="10"/>
        <item x="175"/>
        <item m="1" x="627"/>
        <item x="43"/>
        <item x="63"/>
        <item x="3"/>
        <item x="276"/>
        <item x="173"/>
        <item m="1" x="487"/>
        <item x="26"/>
        <item m="1" x="609"/>
        <item x="97"/>
        <item m="1" x="534"/>
        <item m="1" x="541"/>
        <item x="30"/>
        <item x="206"/>
        <item x="126"/>
        <item m="1" x="582"/>
        <item x="313"/>
        <item m="1" x="404"/>
        <item m="1" x="580"/>
        <item x="92"/>
        <item m="1" x="435"/>
        <item x="184"/>
        <item x="68"/>
        <item x="77"/>
        <item x="104"/>
        <item x="223"/>
        <item x="12"/>
        <item m="1" x="584"/>
        <item x="89"/>
        <item m="1" x="576"/>
        <item m="1" x="334"/>
        <item x="217"/>
        <item x="42"/>
        <item x="133"/>
        <item x="282"/>
        <item x="40"/>
        <item x="6"/>
        <item m="1" x="499"/>
        <item x="132"/>
        <item m="1" x="512"/>
        <item x="284"/>
        <item x="86"/>
        <item x="165"/>
        <item m="1" x="471"/>
        <item x="328"/>
        <item x="194"/>
        <item m="1" x="577"/>
        <item x="233"/>
        <item x="82"/>
        <item x="90"/>
        <item x="280"/>
        <item x="181"/>
        <item x="304"/>
        <item x="166"/>
        <item x="107"/>
        <item x="45"/>
        <item x="74"/>
        <item x="85"/>
        <item x="94"/>
        <item x="312"/>
        <item x="18"/>
        <item x="239"/>
        <item x="61"/>
        <item x="60"/>
        <item x="300"/>
        <item x="301"/>
        <item x="124"/>
        <item x="235"/>
        <item x="265"/>
        <item x="67"/>
        <item x="109"/>
        <item x="59"/>
        <item x="164"/>
        <item x="120"/>
        <item x="103"/>
        <item x="209"/>
        <item x="203"/>
        <item x="140"/>
        <item x="46"/>
        <item x="271"/>
        <item x="110"/>
        <item m="1" x="424"/>
        <item x="44"/>
        <item x="327"/>
        <item x="193"/>
        <item x="195"/>
        <item x="108"/>
        <item x="156"/>
        <item x="296"/>
        <item x="17"/>
        <item x="8"/>
        <item x="36"/>
        <item x="320"/>
        <item x="121"/>
        <item x="122"/>
        <item x="73"/>
        <item x="237"/>
        <item x="119"/>
        <item x="71"/>
        <item x="275"/>
        <item x="234"/>
        <item x="163"/>
        <item x="1"/>
        <item x="106"/>
        <item x="131"/>
        <item x="69"/>
        <item x="216"/>
        <item x="52"/>
        <item x="270"/>
        <item x="228"/>
        <item x="56"/>
        <item x="66"/>
        <item x="309"/>
        <item x="274"/>
        <item x="100"/>
        <item x="199"/>
        <item x="248"/>
        <item x="155"/>
        <item m="1" x="345"/>
        <item x="202"/>
        <item x="62"/>
        <item x="93"/>
        <item x="236"/>
        <item x="88"/>
        <item x="316"/>
        <item x="91"/>
        <item m="1" x="425"/>
        <item x="219"/>
        <item m="1" x="382"/>
        <item x="314"/>
        <item x="319"/>
        <item x="192"/>
        <item x="230"/>
        <item x="87"/>
        <item x="137"/>
        <item x="161"/>
        <item x="80"/>
        <item x="317"/>
        <item x="197"/>
        <item x="32"/>
        <item x="201"/>
        <item x="160"/>
        <item x="123"/>
        <item x="118"/>
        <item x="113"/>
        <item x="186"/>
        <item x="129"/>
        <item x="260"/>
        <item x="70"/>
        <item x="111"/>
        <item x="75"/>
        <item x="227"/>
        <item x="242"/>
        <item x="102"/>
        <item x="190"/>
        <item x="226"/>
        <item x="318"/>
        <item x="138"/>
        <item x="272"/>
        <item x="191"/>
        <item x="308"/>
        <item x="287"/>
        <item x="286"/>
        <item x="136"/>
        <item x="20"/>
        <item x="58"/>
        <item x="162"/>
        <item x="315"/>
        <item x="21"/>
        <item x="321"/>
        <item x="96"/>
        <item x="50"/>
        <item x="84"/>
        <item x="305"/>
        <item x="258"/>
        <item x="185"/>
        <item x="326"/>
        <item x="114"/>
        <item x="35"/>
        <item x="51"/>
        <item x="9"/>
        <item x="57"/>
        <item x="323"/>
        <item x="112"/>
        <item x="189"/>
        <item x="79"/>
        <item x="200"/>
        <item x="299"/>
        <item x="238"/>
        <item x="130"/>
        <item x="261"/>
        <item x="251"/>
        <item x="273"/>
        <item x="259"/>
        <item x="49"/>
        <item x="307"/>
        <item x="196"/>
        <item x="311"/>
        <item x="303"/>
        <item x="325"/>
        <item x="310"/>
        <item x="229"/>
        <item x="256"/>
        <item x="99"/>
        <item x="324"/>
        <item x="101"/>
        <item x="83"/>
        <item x="302"/>
        <item x="306"/>
        <item x="225"/>
        <item x="198"/>
        <item x="246"/>
        <item x="48"/>
        <item x="231"/>
        <item x="249"/>
        <item x="247"/>
        <item x="244"/>
        <item x="255"/>
        <item x="241"/>
        <item x="243"/>
        <item x="322"/>
        <item x="188"/>
        <item x="245"/>
        <item x="250"/>
        <item x="254"/>
        <item x="253"/>
        <item x="257"/>
        <item x="252"/>
        <item t="default"/>
      </items>
    </pivotField>
    <pivotField showAll="0"/>
    <pivotField showAll="0"/>
    <pivotField showAll="0"/>
    <pivotField axis="axisRow" dataField="1" numFmtId="10" showAll="0">
      <items count="383">
        <item x="254"/>
        <item x="262"/>
        <item x="259"/>
        <item x="287"/>
        <item x="174"/>
        <item x="258"/>
        <item x="284"/>
        <item x="73"/>
        <item x="359"/>
        <item x="361"/>
        <item x="77"/>
        <item x="260"/>
        <item x="263"/>
        <item x="69"/>
        <item x="315"/>
        <item x="368"/>
        <item x="363"/>
        <item x="261"/>
        <item x="338"/>
        <item x="364"/>
        <item x="102"/>
        <item x="301"/>
        <item x="100"/>
        <item x="320"/>
        <item x="76"/>
        <item x="286"/>
        <item x="203"/>
        <item x="298"/>
        <item x="136"/>
        <item x="87"/>
        <item x="318"/>
        <item x="106"/>
        <item x="86"/>
        <item x="141"/>
        <item x="66"/>
        <item x="354"/>
        <item x="35"/>
        <item x="257"/>
        <item x="265"/>
        <item x="140"/>
        <item x="138"/>
        <item x="306"/>
        <item x="280"/>
        <item x="142"/>
        <item x="63"/>
        <item x="344"/>
        <item x="264"/>
        <item x="316"/>
        <item x="321"/>
        <item x="81"/>
        <item x="128"/>
        <item x="300"/>
        <item x="242"/>
        <item x="101"/>
        <item x="51"/>
        <item x="319"/>
        <item x="360"/>
        <item x="32"/>
        <item x="362"/>
        <item x="343"/>
        <item x="308"/>
        <item x="181"/>
        <item x="70"/>
        <item x="82"/>
        <item x="356"/>
        <item x="199"/>
        <item x="240"/>
        <item x="89"/>
        <item x="352"/>
        <item x="281"/>
        <item x="373"/>
        <item x="285"/>
        <item x="379"/>
        <item x="243"/>
        <item x="93"/>
        <item x="297"/>
        <item x="88"/>
        <item x="303"/>
        <item x="296"/>
        <item x="244"/>
        <item x="252"/>
        <item x="143"/>
        <item x="332"/>
        <item x="175"/>
        <item x="241"/>
        <item x="95"/>
        <item x="135"/>
        <item x="370"/>
        <item x="36"/>
        <item x="247"/>
        <item x="130"/>
        <item x="129"/>
        <item x="29"/>
        <item x="293"/>
        <item x="116"/>
        <item x="305"/>
        <item x="15"/>
        <item x="117"/>
        <item x="246"/>
        <item x="83"/>
        <item x="375"/>
        <item x="164"/>
        <item x="245"/>
        <item x="353"/>
        <item x="187"/>
        <item x="202"/>
        <item x="169"/>
        <item x="182"/>
        <item x="188"/>
        <item x="21"/>
        <item x="8"/>
        <item x="0"/>
        <item x="131"/>
        <item x="248"/>
        <item x="132"/>
        <item x="148"/>
        <item x="366"/>
        <item x="378"/>
        <item x="253"/>
        <item x="147"/>
        <item x="341"/>
        <item x="167"/>
        <item x="160"/>
        <item x="166"/>
        <item x="159"/>
        <item x="288"/>
        <item x="52"/>
        <item x="312"/>
        <item x="16"/>
        <item x="249"/>
        <item x="177"/>
        <item x="291"/>
        <item x="165"/>
        <item x="345"/>
        <item x="14"/>
        <item x="134"/>
        <item x="198"/>
        <item x="113"/>
        <item x="18"/>
        <item x="19"/>
        <item x="310"/>
        <item x="62"/>
        <item x="4"/>
        <item x="103"/>
        <item x="12"/>
        <item x="168"/>
        <item x="163"/>
        <item x="172"/>
        <item x="146"/>
        <item x="144"/>
        <item x="94"/>
        <item x="72"/>
        <item x="23"/>
        <item x="337"/>
        <item x="114"/>
        <item x="47"/>
        <item x="22"/>
        <item x="24"/>
        <item x="65"/>
        <item x="191"/>
        <item x="20"/>
        <item x="99"/>
        <item x="61"/>
        <item x="377"/>
        <item x="237"/>
        <item x="279"/>
        <item x="91"/>
        <item x="56"/>
        <item x="180"/>
        <item x="170"/>
        <item x="173"/>
        <item x="271"/>
        <item x="348"/>
        <item x="107"/>
        <item x="64"/>
        <item x="90"/>
        <item x="292"/>
        <item x="346"/>
        <item x="26"/>
        <item x="85"/>
        <item x="309"/>
        <item x="311"/>
        <item x="374"/>
        <item x="376"/>
        <item x="220"/>
        <item x="5"/>
        <item x="272"/>
        <item x="365"/>
        <item x="251"/>
        <item x="1"/>
        <item x="255"/>
        <item x="367"/>
        <item x="112"/>
        <item x="57"/>
        <item x="201"/>
        <item x="109"/>
        <item x="137"/>
        <item x="223"/>
        <item x="371"/>
        <item x="326"/>
        <item x="80"/>
        <item x="7"/>
        <item x="290"/>
        <item x="219"/>
        <item x="313"/>
        <item x="227"/>
        <item x="78"/>
        <item x="55"/>
        <item x="10"/>
        <item x="342"/>
        <item x="13"/>
        <item x="328"/>
        <item x="108"/>
        <item x="327"/>
        <item x="133"/>
        <item x="179"/>
        <item x="325"/>
        <item x="229"/>
        <item x="9"/>
        <item x="355"/>
        <item x="304"/>
        <item x="74"/>
        <item x="17"/>
        <item x="323"/>
        <item x="299"/>
        <item x="218"/>
        <item x="6"/>
        <item x="104"/>
        <item x="282"/>
        <item x="250"/>
        <item x="324"/>
        <item x="196"/>
        <item x="331"/>
        <item x="295"/>
        <item x="351"/>
        <item x="105"/>
        <item x="372"/>
        <item x="111"/>
        <item x="330"/>
        <item x="3"/>
        <item x="329"/>
        <item x="162"/>
        <item x="41"/>
        <item x="200"/>
        <item x="278"/>
        <item x="269"/>
        <item x="124"/>
        <item x="307"/>
        <item x="45"/>
        <item x="208"/>
        <item x="42"/>
        <item x="233"/>
        <item x="192"/>
        <item x="221"/>
        <item x="314"/>
        <item x="276"/>
        <item x="30"/>
        <item x="369"/>
        <item x="189"/>
        <item x="120"/>
        <item x="210"/>
        <item x="71"/>
        <item x="110"/>
        <item x="96"/>
        <item x="235"/>
        <item x="230"/>
        <item x="115"/>
        <item x="27"/>
        <item x="184"/>
        <item x="190"/>
        <item x="46"/>
        <item x="317"/>
        <item x="194"/>
        <item x="31"/>
        <item x="236"/>
        <item x="273"/>
        <item x="40"/>
        <item x="207"/>
        <item x="2"/>
        <item x="205"/>
        <item x="28"/>
        <item x="37"/>
        <item x="204"/>
        <item x="380"/>
        <item x="11"/>
        <item x="176"/>
        <item x="339"/>
        <item x="152"/>
        <item x="44"/>
        <item x="59"/>
        <item x="161"/>
        <item x="234"/>
        <item x="358"/>
        <item x="266"/>
        <item x="211"/>
        <item x="239"/>
        <item x="277"/>
        <item x="209"/>
        <item x="231"/>
        <item x="43"/>
        <item x="216"/>
        <item x="153"/>
        <item x="149"/>
        <item x="67"/>
        <item x="333"/>
        <item x="274"/>
        <item x="238"/>
        <item x="350"/>
        <item x="206"/>
        <item x="322"/>
        <item x="58"/>
        <item x="335"/>
        <item x="357"/>
        <item x="267"/>
        <item x="145"/>
        <item x="126"/>
        <item x="349"/>
        <item x="289"/>
        <item x="302"/>
        <item x="340"/>
        <item x="268"/>
        <item x="197"/>
        <item x="334"/>
        <item x="228"/>
        <item x="212"/>
        <item x="225"/>
        <item x="25"/>
        <item x="171"/>
        <item x="232"/>
        <item x="381"/>
        <item x="122"/>
        <item x="54"/>
        <item x="213"/>
        <item x="270"/>
        <item x="193"/>
        <item x="125"/>
        <item x="121"/>
        <item x="127"/>
        <item x="79"/>
        <item x="185"/>
        <item x="60"/>
        <item x="75"/>
        <item x="178"/>
        <item x="38"/>
        <item x="53"/>
        <item x="186"/>
        <item x="217"/>
        <item x="222"/>
        <item x="118"/>
        <item x="283"/>
        <item x="195"/>
        <item x="347"/>
        <item x="336"/>
        <item x="151"/>
        <item x="98"/>
        <item x="183"/>
        <item x="275"/>
        <item x="92"/>
        <item x="84"/>
        <item x="50"/>
        <item x="157"/>
        <item x="34"/>
        <item x="119"/>
        <item x="48"/>
        <item x="123"/>
        <item x="150"/>
        <item x="294"/>
        <item x="256"/>
        <item x="33"/>
        <item x="97"/>
        <item x="49"/>
        <item x="155"/>
        <item x="156"/>
        <item x="139"/>
        <item x="39"/>
        <item x="154"/>
        <item x="214"/>
        <item x="158"/>
        <item x="68"/>
        <item x="215"/>
        <item x="224"/>
        <item x="226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23"/>
  </rowFields>
  <rowItems count="72">
    <i>
      <x v="1"/>
    </i>
    <i>
      <x v="2"/>
    </i>
    <i>
      <x v="8"/>
    </i>
    <i>
      <x v="9"/>
    </i>
    <i>
      <x v="11"/>
    </i>
    <i>
      <x v="12"/>
    </i>
    <i>
      <x v="14"/>
    </i>
    <i>
      <x v="16"/>
    </i>
    <i>
      <x v="19"/>
    </i>
    <i>
      <x v="23"/>
    </i>
    <i>
      <x v="27"/>
    </i>
    <i>
      <x v="29"/>
    </i>
    <i>
      <x v="30"/>
    </i>
    <i>
      <x v="47"/>
    </i>
    <i>
      <x v="48"/>
    </i>
    <i>
      <x v="49"/>
    </i>
    <i>
      <x v="51"/>
    </i>
    <i>
      <x v="55"/>
    </i>
    <i>
      <x v="56"/>
    </i>
    <i>
      <x v="58"/>
    </i>
    <i>
      <x v="62"/>
    </i>
    <i>
      <x v="65"/>
    </i>
    <i>
      <x v="66"/>
    </i>
    <i>
      <x v="67"/>
    </i>
    <i>
      <x v="73"/>
    </i>
    <i>
      <x v="79"/>
    </i>
    <i>
      <x v="84"/>
    </i>
    <i>
      <x v="89"/>
    </i>
    <i>
      <x v="90"/>
    </i>
    <i>
      <x v="94"/>
    </i>
    <i>
      <x v="97"/>
    </i>
    <i>
      <x v="98"/>
    </i>
    <i>
      <x v="102"/>
    </i>
    <i>
      <x v="104"/>
    </i>
    <i>
      <x v="111"/>
    </i>
    <i>
      <x v="113"/>
    </i>
    <i>
      <x v="114"/>
    </i>
    <i>
      <x v="122"/>
    </i>
    <i>
      <x v="124"/>
    </i>
    <i>
      <x v="127"/>
    </i>
    <i>
      <x v="129"/>
    </i>
    <i>
      <x v="142"/>
    </i>
    <i>
      <x v="150"/>
    </i>
    <i>
      <x v="159"/>
    </i>
    <i>
      <x v="166"/>
    </i>
    <i>
      <x v="167"/>
    </i>
    <i>
      <x v="173"/>
    </i>
    <i>
      <x v="175"/>
    </i>
    <i>
      <x v="179"/>
    </i>
    <i>
      <x v="185"/>
    </i>
    <i>
      <x v="193"/>
    </i>
    <i>
      <x v="199"/>
    </i>
    <i>
      <x v="205"/>
    </i>
    <i>
      <x v="207"/>
    </i>
    <i>
      <x v="211"/>
    </i>
    <i>
      <x v="212"/>
    </i>
    <i>
      <x v="224"/>
    </i>
    <i>
      <x v="231"/>
    </i>
    <i>
      <x v="232"/>
    </i>
    <i>
      <x v="238"/>
    </i>
    <i>
      <x v="263"/>
    </i>
    <i>
      <x v="271"/>
    </i>
    <i>
      <x v="272"/>
    </i>
    <i>
      <x v="278"/>
    </i>
    <i>
      <x v="284"/>
    </i>
    <i>
      <x v="288"/>
    </i>
    <i>
      <x v="310"/>
    </i>
    <i>
      <x v="326"/>
    </i>
    <i>
      <x v="328"/>
    </i>
    <i>
      <x v="334"/>
    </i>
    <i>
      <x v="339"/>
    </i>
    <i t="grand">
      <x/>
    </i>
  </rowItems>
  <colFields count="1">
    <field x="-2"/>
  </colFields>
  <colItems count="2">
    <i>
      <x/>
    </i>
    <i i="1">
      <x v="1"/>
    </i>
  </colItems>
  <pageFields count="2">
    <pageField fld="5" item="1" hier="-1"/>
    <pageField fld="29" item="0" hier="-1"/>
  </pageFields>
  <dataFields count="2">
    <dataField name="Contagem de Spread DI+" fld="23" subtotal="count" baseField="22" baseItem="6"/>
    <dataField name="Soma de Volume R$ (100 MM)" fld="19" baseField="0" baseItem="0"/>
  </dataFields>
  <formats count="1">
    <format dxfId="1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179022-9160-4EB0-AE70-4ED00BE301AE}" name="Tabela dinâmica12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N5:P173" firstHeaderRow="0" firstDataRow="1" firstDataCol="1" rowPageCount="2" colPageCount="1"/>
  <pivotFields count="35"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4" showAll="0"/>
    <pivotField numFmtId="3" showAll="0"/>
    <pivotField showAll="0"/>
    <pivotField showAll="0"/>
    <pivotField showAll="0"/>
    <pivotField showAll="0"/>
    <pivotField showAll="0"/>
    <pivotField numFmtId="3" showAll="0"/>
    <pivotField dataField="1" numFmtId="4" showAll="0"/>
    <pivotField showAll="0"/>
    <pivotField showAll="0"/>
    <pivotField showAll="0"/>
    <pivotField axis="axisRow" dataField="1" numFmtId="10" showAll="0">
      <items count="383">
        <item x="254"/>
        <item x="262"/>
        <item x="259"/>
        <item x="287"/>
        <item x="174"/>
        <item x="258"/>
        <item x="284"/>
        <item x="73"/>
        <item x="359"/>
        <item x="361"/>
        <item x="77"/>
        <item x="260"/>
        <item x="263"/>
        <item x="69"/>
        <item x="315"/>
        <item x="368"/>
        <item x="363"/>
        <item x="261"/>
        <item x="338"/>
        <item x="364"/>
        <item x="102"/>
        <item x="301"/>
        <item x="100"/>
        <item x="320"/>
        <item x="76"/>
        <item x="286"/>
        <item x="203"/>
        <item x="298"/>
        <item x="136"/>
        <item x="87"/>
        <item x="318"/>
        <item x="106"/>
        <item x="86"/>
        <item x="141"/>
        <item x="66"/>
        <item x="354"/>
        <item x="35"/>
        <item x="257"/>
        <item x="265"/>
        <item x="140"/>
        <item x="138"/>
        <item x="306"/>
        <item x="280"/>
        <item x="142"/>
        <item x="63"/>
        <item x="344"/>
        <item x="264"/>
        <item x="316"/>
        <item x="321"/>
        <item x="81"/>
        <item x="128"/>
        <item x="300"/>
        <item x="242"/>
        <item x="101"/>
        <item x="51"/>
        <item x="319"/>
        <item x="360"/>
        <item x="32"/>
        <item x="362"/>
        <item x="343"/>
        <item x="308"/>
        <item x="181"/>
        <item x="70"/>
        <item x="82"/>
        <item x="356"/>
        <item x="199"/>
        <item x="240"/>
        <item x="89"/>
        <item x="352"/>
        <item x="281"/>
        <item x="373"/>
        <item x="285"/>
        <item x="379"/>
        <item x="243"/>
        <item x="93"/>
        <item x="297"/>
        <item x="88"/>
        <item x="303"/>
        <item x="296"/>
        <item x="244"/>
        <item x="252"/>
        <item x="143"/>
        <item x="332"/>
        <item x="175"/>
        <item x="241"/>
        <item x="95"/>
        <item x="135"/>
        <item x="370"/>
        <item x="36"/>
        <item x="247"/>
        <item x="130"/>
        <item x="129"/>
        <item x="29"/>
        <item x="293"/>
        <item x="116"/>
        <item x="305"/>
        <item x="15"/>
        <item x="117"/>
        <item x="246"/>
        <item x="83"/>
        <item x="375"/>
        <item x="164"/>
        <item x="245"/>
        <item x="353"/>
        <item x="187"/>
        <item x="202"/>
        <item x="169"/>
        <item x="182"/>
        <item x="188"/>
        <item x="21"/>
        <item x="8"/>
        <item x="0"/>
        <item x="131"/>
        <item x="248"/>
        <item x="132"/>
        <item x="148"/>
        <item x="366"/>
        <item x="378"/>
        <item x="253"/>
        <item x="147"/>
        <item x="341"/>
        <item x="167"/>
        <item x="160"/>
        <item x="166"/>
        <item x="159"/>
        <item x="288"/>
        <item x="52"/>
        <item x="312"/>
        <item x="16"/>
        <item x="249"/>
        <item x="177"/>
        <item x="291"/>
        <item x="165"/>
        <item x="345"/>
        <item x="14"/>
        <item x="134"/>
        <item x="198"/>
        <item x="113"/>
        <item x="18"/>
        <item x="19"/>
        <item x="310"/>
        <item x="62"/>
        <item x="4"/>
        <item x="103"/>
        <item x="12"/>
        <item x="168"/>
        <item x="163"/>
        <item x="172"/>
        <item x="146"/>
        <item x="144"/>
        <item x="94"/>
        <item x="72"/>
        <item x="23"/>
        <item x="337"/>
        <item x="114"/>
        <item x="47"/>
        <item x="22"/>
        <item x="24"/>
        <item x="65"/>
        <item x="191"/>
        <item x="20"/>
        <item x="99"/>
        <item x="61"/>
        <item x="377"/>
        <item x="237"/>
        <item x="279"/>
        <item x="91"/>
        <item x="56"/>
        <item x="180"/>
        <item x="170"/>
        <item x="173"/>
        <item x="271"/>
        <item x="348"/>
        <item x="107"/>
        <item x="64"/>
        <item x="90"/>
        <item x="292"/>
        <item x="346"/>
        <item x="26"/>
        <item x="85"/>
        <item x="309"/>
        <item x="311"/>
        <item x="374"/>
        <item x="376"/>
        <item x="220"/>
        <item x="5"/>
        <item x="272"/>
        <item x="365"/>
        <item x="251"/>
        <item x="1"/>
        <item x="255"/>
        <item x="367"/>
        <item x="112"/>
        <item x="57"/>
        <item x="201"/>
        <item x="109"/>
        <item x="137"/>
        <item x="223"/>
        <item x="371"/>
        <item x="326"/>
        <item x="80"/>
        <item x="7"/>
        <item x="290"/>
        <item x="219"/>
        <item x="313"/>
        <item x="227"/>
        <item x="78"/>
        <item x="55"/>
        <item x="10"/>
        <item x="342"/>
        <item x="13"/>
        <item x="328"/>
        <item x="108"/>
        <item x="327"/>
        <item x="133"/>
        <item x="179"/>
        <item x="325"/>
        <item x="229"/>
        <item x="9"/>
        <item x="355"/>
        <item x="304"/>
        <item x="74"/>
        <item x="17"/>
        <item x="323"/>
        <item x="299"/>
        <item x="218"/>
        <item x="6"/>
        <item x="104"/>
        <item x="282"/>
        <item x="250"/>
        <item x="324"/>
        <item x="196"/>
        <item x="331"/>
        <item x="295"/>
        <item x="351"/>
        <item x="105"/>
        <item x="372"/>
        <item x="111"/>
        <item x="330"/>
        <item x="3"/>
        <item x="329"/>
        <item x="162"/>
        <item x="41"/>
        <item x="200"/>
        <item x="278"/>
        <item x="269"/>
        <item x="124"/>
        <item x="307"/>
        <item x="45"/>
        <item x="208"/>
        <item x="42"/>
        <item x="233"/>
        <item x="192"/>
        <item x="221"/>
        <item x="314"/>
        <item x="276"/>
        <item x="30"/>
        <item x="369"/>
        <item x="189"/>
        <item x="120"/>
        <item x="210"/>
        <item x="71"/>
        <item x="110"/>
        <item x="96"/>
        <item x="235"/>
        <item x="230"/>
        <item x="115"/>
        <item x="27"/>
        <item x="184"/>
        <item x="190"/>
        <item x="46"/>
        <item x="317"/>
        <item x="194"/>
        <item x="31"/>
        <item x="236"/>
        <item x="273"/>
        <item x="40"/>
        <item x="207"/>
        <item x="2"/>
        <item x="205"/>
        <item x="28"/>
        <item x="37"/>
        <item x="204"/>
        <item x="380"/>
        <item x="11"/>
        <item x="176"/>
        <item x="339"/>
        <item x="152"/>
        <item x="44"/>
        <item x="59"/>
        <item x="161"/>
        <item x="234"/>
        <item x="358"/>
        <item x="266"/>
        <item x="211"/>
        <item x="239"/>
        <item x="277"/>
        <item x="209"/>
        <item x="231"/>
        <item x="43"/>
        <item x="216"/>
        <item x="153"/>
        <item x="149"/>
        <item x="67"/>
        <item x="333"/>
        <item x="274"/>
        <item x="238"/>
        <item x="350"/>
        <item x="206"/>
        <item x="322"/>
        <item x="58"/>
        <item x="335"/>
        <item x="357"/>
        <item x="267"/>
        <item x="145"/>
        <item x="126"/>
        <item x="349"/>
        <item x="289"/>
        <item x="302"/>
        <item x="340"/>
        <item x="268"/>
        <item x="197"/>
        <item x="334"/>
        <item x="228"/>
        <item x="212"/>
        <item x="225"/>
        <item x="25"/>
        <item x="171"/>
        <item x="232"/>
        <item x="381"/>
        <item x="122"/>
        <item x="54"/>
        <item x="213"/>
        <item x="270"/>
        <item x="193"/>
        <item x="125"/>
        <item x="121"/>
        <item x="127"/>
        <item x="79"/>
        <item x="185"/>
        <item x="60"/>
        <item x="75"/>
        <item x="178"/>
        <item x="38"/>
        <item x="53"/>
        <item x="186"/>
        <item x="217"/>
        <item x="222"/>
        <item x="118"/>
        <item x="283"/>
        <item x="195"/>
        <item x="347"/>
        <item x="336"/>
        <item x="151"/>
        <item x="98"/>
        <item x="183"/>
        <item x="275"/>
        <item x="92"/>
        <item x="84"/>
        <item x="50"/>
        <item x="157"/>
        <item x="34"/>
        <item x="119"/>
        <item x="48"/>
        <item x="123"/>
        <item x="150"/>
        <item x="294"/>
        <item x="256"/>
        <item x="33"/>
        <item x="97"/>
        <item x="49"/>
        <item x="155"/>
        <item x="156"/>
        <item x="139"/>
        <item x="39"/>
        <item x="154"/>
        <item x="214"/>
        <item x="158"/>
        <item x="68"/>
        <item x="215"/>
        <item x="224"/>
        <item x="226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23"/>
  </rowFields>
  <rowItems count="168">
    <i>
      <x/>
    </i>
    <i>
      <x v="4"/>
    </i>
    <i>
      <x v="5"/>
    </i>
    <i>
      <x v="17"/>
    </i>
    <i>
      <x v="18"/>
    </i>
    <i>
      <x v="20"/>
    </i>
    <i>
      <x v="26"/>
    </i>
    <i>
      <x v="28"/>
    </i>
    <i>
      <x v="31"/>
    </i>
    <i>
      <x v="32"/>
    </i>
    <i>
      <x v="33"/>
    </i>
    <i>
      <x v="35"/>
    </i>
    <i>
      <x v="36"/>
    </i>
    <i>
      <x v="37"/>
    </i>
    <i>
      <x v="38"/>
    </i>
    <i>
      <x v="39"/>
    </i>
    <i>
      <x v="40"/>
    </i>
    <i>
      <x v="41"/>
    </i>
    <i>
      <x v="43"/>
    </i>
    <i>
      <x v="46"/>
    </i>
    <i>
      <x v="50"/>
    </i>
    <i>
      <x v="52"/>
    </i>
    <i>
      <x v="53"/>
    </i>
    <i>
      <x v="54"/>
    </i>
    <i>
      <x v="57"/>
    </i>
    <i>
      <x v="60"/>
    </i>
    <i>
      <x v="62"/>
    </i>
    <i>
      <x v="63"/>
    </i>
    <i>
      <x v="68"/>
    </i>
    <i>
      <x v="70"/>
    </i>
    <i>
      <x v="72"/>
    </i>
    <i>
      <x v="74"/>
    </i>
    <i>
      <x v="75"/>
    </i>
    <i>
      <x v="76"/>
    </i>
    <i>
      <x v="77"/>
    </i>
    <i>
      <x v="80"/>
    </i>
    <i>
      <x v="82"/>
    </i>
    <i>
      <x v="83"/>
    </i>
    <i>
      <x v="85"/>
    </i>
    <i>
      <x v="87"/>
    </i>
    <i>
      <x v="88"/>
    </i>
    <i>
      <x v="91"/>
    </i>
    <i>
      <x v="92"/>
    </i>
    <i>
      <x v="93"/>
    </i>
    <i>
      <x v="95"/>
    </i>
    <i>
      <x v="96"/>
    </i>
    <i>
      <x v="99"/>
    </i>
    <i>
      <x v="100"/>
    </i>
    <i>
      <x v="101"/>
    </i>
    <i>
      <x v="103"/>
    </i>
    <i>
      <x v="105"/>
    </i>
    <i>
      <x v="108"/>
    </i>
    <i>
      <x v="109"/>
    </i>
    <i>
      <x v="110"/>
    </i>
    <i>
      <x v="112"/>
    </i>
    <i>
      <x v="117"/>
    </i>
    <i>
      <x v="118"/>
    </i>
    <i>
      <x v="121"/>
    </i>
    <i>
      <x v="123"/>
    </i>
    <i>
      <x v="126"/>
    </i>
    <i>
      <x v="128"/>
    </i>
    <i>
      <x v="130"/>
    </i>
    <i>
      <x v="131"/>
    </i>
    <i>
      <x v="132"/>
    </i>
    <i>
      <x v="134"/>
    </i>
    <i>
      <x v="136"/>
    </i>
    <i>
      <x v="138"/>
    </i>
    <i>
      <x v="139"/>
    </i>
    <i>
      <x v="142"/>
    </i>
    <i>
      <x v="144"/>
    </i>
    <i>
      <x v="145"/>
    </i>
    <i>
      <x v="146"/>
    </i>
    <i>
      <x v="147"/>
    </i>
    <i>
      <x v="151"/>
    </i>
    <i>
      <x v="152"/>
    </i>
    <i>
      <x v="153"/>
    </i>
    <i>
      <x v="155"/>
    </i>
    <i>
      <x v="156"/>
    </i>
    <i>
      <x v="157"/>
    </i>
    <i>
      <x v="160"/>
    </i>
    <i>
      <x v="161"/>
    </i>
    <i>
      <x v="163"/>
    </i>
    <i>
      <x v="164"/>
    </i>
    <i>
      <x v="166"/>
    </i>
    <i>
      <x v="169"/>
    </i>
    <i>
      <x v="173"/>
    </i>
    <i>
      <x v="175"/>
    </i>
    <i>
      <x v="176"/>
    </i>
    <i>
      <x v="178"/>
    </i>
    <i>
      <x v="179"/>
    </i>
    <i>
      <x v="182"/>
    </i>
    <i>
      <x v="183"/>
    </i>
    <i>
      <x v="185"/>
    </i>
    <i>
      <x v="193"/>
    </i>
    <i>
      <x v="194"/>
    </i>
    <i>
      <x v="195"/>
    </i>
    <i>
      <x v="196"/>
    </i>
    <i>
      <x v="198"/>
    </i>
    <i>
      <x v="201"/>
    </i>
    <i>
      <x v="202"/>
    </i>
    <i>
      <x v="204"/>
    </i>
    <i>
      <x v="207"/>
    </i>
    <i>
      <x v="208"/>
    </i>
    <i>
      <x v="210"/>
    </i>
    <i>
      <x v="212"/>
    </i>
    <i>
      <x v="213"/>
    </i>
    <i>
      <x v="216"/>
    </i>
    <i>
      <x v="217"/>
    </i>
    <i>
      <x v="220"/>
    </i>
    <i>
      <x v="222"/>
    </i>
    <i>
      <x v="226"/>
    </i>
    <i>
      <x v="227"/>
    </i>
    <i>
      <x v="230"/>
    </i>
    <i>
      <x v="231"/>
    </i>
    <i>
      <x v="233"/>
    </i>
    <i>
      <x v="235"/>
    </i>
    <i>
      <x v="236"/>
    </i>
    <i>
      <x v="239"/>
    </i>
    <i>
      <x v="240"/>
    </i>
    <i>
      <x v="242"/>
    </i>
    <i>
      <x v="243"/>
    </i>
    <i>
      <x v="247"/>
    </i>
    <i>
      <x v="248"/>
    </i>
    <i>
      <x v="250"/>
    </i>
    <i>
      <x v="251"/>
    </i>
    <i>
      <x v="252"/>
    </i>
    <i>
      <x v="254"/>
    </i>
    <i>
      <x v="256"/>
    </i>
    <i>
      <x v="258"/>
    </i>
    <i>
      <x v="261"/>
    </i>
    <i>
      <x v="262"/>
    </i>
    <i>
      <x v="264"/>
    </i>
    <i>
      <x v="265"/>
    </i>
    <i>
      <x v="269"/>
    </i>
    <i>
      <x v="270"/>
    </i>
    <i>
      <x v="273"/>
    </i>
    <i>
      <x v="274"/>
    </i>
    <i>
      <x v="276"/>
    </i>
    <i>
      <x v="277"/>
    </i>
    <i>
      <x v="278"/>
    </i>
    <i>
      <x v="281"/>
    </i>
    <i>
      <x v="291"/>
    </i>
    <i>
      <x v="298"/>
    </i>
    <i>
      <x v="299"/>
    </i>
    <i>
      <x v="302"/>
    </i>
    <i>
      <x v="304"/>
    </i>
    <i>
      <x v="308"/>
    </i>
    <i>
      <x v="310"/>
    </i>
    <i>
      <x v="315"/>
    </i>
    <i>
      <x v="317"/>
    </i>
    <i>
      <x v="321"/>
    </i>
    <i>
      <x v="323"/>
    </i>
    <i>
      <x v="327"/>
    </i>
    <i>
      <x v="331"/>
    </i>
    <i>
      <x v="339"/>
    </i>
    <i>
      <x v="343"/>
    </i>
    <i>
      <x v="344"/>
    </i>
    <i>
      <x v="345"/>
    </i>
    <i>
      <x v="350"/>
    </i>
    <i>
      <x v="353"/>
    </i>
    <i>
      <x v="357"/>
    </i>
    <i>
      <x v="358"/>
    </i>
    <i>
      <x v="361"/>
    </i>
    <i>
      <x v="363"/>
    </i>
    <i>
      <x v="365"/>
    </i>
    <i>
      <x v="366"/>
    </i>
    <i>
      <x v="368"/>
    </i>
    <i t="grand">
      <x/>
    </i>
  </rowItems>
  <colFields count="1">
    <field x="-2"/>
  </colFields>
  <colItems count="2">
    <i>
      <x/>
    </i>
    <i i="1">
      <x v="1"/>
    </i>
  </colItems>
  <pageFields count="2">
    <pageField fld="5" item="1" hier="-1"/>
    <pageField fld="29" item="1" hier="-1"/>
  </pageFields>
  <dataFields count="2">
    <dataField name="Contagem de Spread DI+" fld="23" subtotal="count" baseField="22" baseItem="6"/>
    <dataField name="Soma de Volume R$ (100 MM)" fld="19" baseField="0" baseItem="0"/>
  </dataFields>
  <formats count="1">
    <format dxfId="1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E27FD7-CD31-41F3-8F1A-13DF2247D990}" name="Tabela dinâmica16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20:D21" firstHeaderRow="0" firstDataRow="1" firstDataCol="0" rowPageCount="1" colPageCount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4" showAll="0"/>
    <pivotField numFmtId="3" showAll="0"/>
    <pivotField showAll="0"/>
    <pivotField showAll="0"/>
    <pivotField showAll="0"/>
    <pivotField showAll="0"/>
    <pivotField showAll="0"/>
    <pivotField numFmtId="3" showAll="0"/>
    <pivotField dataField="1" numFmtId="4" showAll="0"/>
    <pivotField showAll="0"/>
    <pivotField showAll="0"/>
    <pivotField showAll="0"/>
    <pivotField dataField="1" numFmtId="10"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Items count="1">
    <i/>
  </rowItems>
  <colFields count="1">
    <field x="-2"/>
  </colFields>
  <colItems count="3">
    <i>
      <x/>
    </i>
    <i i="1">
      <x v="1"/>
    </i>
    <i i="2">
      <x v="2"/>
    </i>
  </colItems>
  <pageFields count="1">
    <pageField fld="29" item="1" hier="-1"/>
  </pageFields>
  <dataFields count="3">
    <dataField name="Contagem de Spread DI+" fld="23" subtotal="count" baseField="22" baseItem="6"/>
    <dataField name="Soma de Volume R$ (100 MM)" fld="19" baseField="0" baseItem="0"/>
    <dataField name="Média de Spread DI+" fld="23" subtotal="average" baseField="0" baseItem="2"/>
  </dataFields>
  <formats count="1">
    <format dxfId="1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AC3551-120F-4B36-8D9F-9AE23DD21A7F}" name="Tabela dinâmica3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I5:I76" firstHeaderRow="1" firstDataRow="1" firstDataCol="1" rowPageCount="1" colPageCount="1"/>
  <pivotFields count="35"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Row" numFmtId="4" showAll="0">
      <items count="144">
        <item x="115"/>
        <item x="2"/>
        <item x="29"/>
        <item x="27"/>
        <item x="17"/>
        <item x="80"/>
        <item x="103"/>
        <item x="3"/>
        <item x="28"/>
        <item x="30"/>
        <item x="82"/>
        <item x="24"/>
        <item x="94"/>
        <item x="19"/>
        <item x="50"/>
        <item x="49"/>
        <item x="23"/>
        <item x="21"/>
        <item x="6"/>
        <item x="16"/>
        <item x="84"/>
        <item x="74"/>
        <item x="98"/>
        <item x="22"/>
        <item x="112"/>
        <item x="85"/>
        <item x="59"/>
        <item x="73"/>
        <item x="79"/>
        <item x="61"/>
        <item x="46"/>
        <item x="88"/>
        <item x="45"/>
        <item x="93"/>
        <item x="96"/>
        <item x="70"/>
        <item x="83"/>
        <item x="4"/>
        <item x="5"/>
        <item x="58"/>
        <item x="20"/>
        <item x="100"/>
        <item x="69"/>
        <item x="119"/>
        <item x="39"/>
        <item x="97"/>
        <item x="68"/>
        <item x="75"/>
        <item x="32"/>
        <item x="7"/>
        <item x="11"/>
        <item x="99"/>
        <item x="0"/>
        <item x="140"/>
        <item x="47"/>
        <item x="128"/>
        <item x="117"/>
        <item x="66"/>
        <item x="18"/>
        <item x="8"/>
        <item x="131"/>
        <item x="116"/>
        <item x="51"/>
        <item x="67"/>
        <item x="95"/>
        <item x="57"/>
        <item x="71"/>
        <item x="48"/>
        <item x="120"/>
        <item x="81"/>
        <item x="86"/>
        <item x="13"/>
        <item x="114"/>
        <item x="101"/>
        <item x="92"/>
        <item x="60"/>
        <item x="134"/>
        <item x="137"/>
        <item x="26"/>
        <item x="118"/>
        <item x="35"/>
        <item x="90"/>
        <item x="139"/>
        <item x="126"/>
        <item x="102"/>
        <item x="129"/>
        <item x="111"/>
        <item x="25"/>
        <item x="76"/>
        <item x="89"/>
        <item x="78"/>
        <item x="125"/>
        <item x="91"/>
        <item x="87"/>
        <item x="122"/>
        <item x="43"/>
        <item x="64"/>
        <item x="1"/>
        <item x="12"/>
        <item x="72"/>
        <item x="127"/>
        <item x="15"/>
        <item x="63"/>
        <item x="14"/>
        <item x="9"/>
        <item x="52"/>
        <item x="105"/>
        <item x="55"/>
        <item x="65"/>
        <item x="36"/>
        <item x="123"/>
        <item x="109"/>
        <item x="108"/>
        <item x="40"/>
        <item x="54"/>
        <item x="130"/>
        <item x="53"/>
        <item x="132"/>
        <item x="113"/>
        <item x="107"/>
        <item x="121"/>
        <item x="141"/>
        <item x="124"/>
        <item x="44"/>
        <item x="110"/>
        <item x="10"/>
        <item x="138"/>
        <item x="31"/>
        <item x="62"/>
        <item x="56"/>
        <item x="106"/>
        <item x="104"/>
        <item x="133"/>
        <item x="135"/>
        <item x="34"/>
        <item x="142"/>
        <item x="77"/>
        <item x="136"/>
        <item x="42"/>
        <item x="41"/>
        <item x="33"/>
        <item x="37"/>
        <item x="38"/>
        <item t="default"/>
      </items>
    </pivotField>
    <pivotField numFmtId="3" showAll="0"/>
    <pivotField showAll="0"/>
    <pivotField showAll="0"/>
    <pivotField showAll="0"/>
    <pivotField showAll="0"/>
    <pivotField showAll="0"/>
    <pivotField numFmtId="3" showAll="0"/>
    <pivotField numFmtId="4" showAll="0"/>
    <pivotField showAll="0"/>
    <pivotField showAll="0"/>
    <pivotField showAll="0"/>
    <pivotField numFmtId="1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1"/>
  </rowFields>
  <rowItems count="71">
    <i>
      <x v="19"/>
    </i>
    <i>
      <x v="26"/>
    </i>
    <i>
      <x v="29"/>
    </i>
    <i>
      <x v="31"/>
    </i>
    <i>
      <x v="35"/>
    </i>
    <i>
      <x v="37"/>
    </i>
    <i>
      <x v="38"/>
    </i>
    <i>
      <x v="39"/>
    </i>
    <i>
      <x v="40"/>
    </i>
    <i>
      <x v="42"/>
    </i>
    <i>
      <x v="44"/>
    </i>
    <i>
      <x v="46"/>
    </i>
    <i>
      <x v="50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3"/>
    </i>
    <i>
      <x v="65"/>
    </i>
    <i>
      <x v="66"/>
    </i>
    <i>
      <x v="68"/>
    </i>
    <i>
      <x v="71"/>
    </i>
    <i>
      <x v="74"/>
    </i>
    <i>
      <x v="75"/>
    </i>
    <i>
      <x v="76"/>
    </i>
    <i>
      <x v="77"/>
    </i>
    <i>
      <x v="80"/>
    </i>
    <i>
      <x v="81"/>
    </i>
    <i>
      <x v="84"/>
    </i>
    <i>
      <x v="85"/>
    </i>
    <i>
      <x v="89"/>
    </i>
    <i>
      <x v="90"/>
    </i>
    <i>
      <x v="92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3"/>
    </i>
    <i>
      <x v="105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9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 t="grand">
      <x/>
    </i>
  </rowItems>
  <colItems count="1">
    <i/>
  </colItems>
  <pageFields count="1">
    <pageField fld="5" item="0" hier="-1"/>
  </pageFields>
  <formats count="1">
    <format dxfId="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5EA007-BE33-4ECB-A8FC-8D02AB91882C}" name="Tabela dinâmica2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R5:R91" firstHeaderRow="1" firstDataRow="1" firstDataCol="1" rowPageCount="1" colPageCount="1"/>
  <pivotFields count="35"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Row" numFmtId="4" showAll="0">
      <items count="144">
        <item x="115"/>
        <item x="2"/>
        <item x="29"/>
        <item x="27"/>
        <item x="17"/>
        <item x="80"/>
        <item x="103"/>
        <item x="3"/>
        <item x="28"/>
        <item x="30"/>
        <item x="82"/>
        <item x="24"/>
        <item x="94"/>
        <item x="19"/>
        <item x="50"/>
        <item x="49"/>
        <item x="23"/>
        <item x="21"/>
        <item x="6"/>
        <item x="16"/>
        <item x="84"/>
        <item x="74"/>
        <item x="98"/>
        <item x="22"/>
        <item x="112"/>
        <item x="85"/>
        <item x="59"/>
        <item x="73"/>
        <item x="79"/>
        <item x="61"/>
        <item x="46"/>
        <item x="88"/>
        <item x="45"/>
        <item x="93"/>
        <item x="96"/>
        <item x="70"/>
        <item x="83"/>
        <item x="4"/>
        <item x="5"/>
        <item x="58"/>
        <item x="20"/>
        <item x="100"/>
        <item x="69"/>
        <item x="119"/>
        <item x="39"/>
        <item x="97"/>
        <item x="68"/>
        <item x="75"/>
        <item x="32"/>
        <item x="7"/>
        <item x="11"/>
        <item x="99"/>
        <item x="0"/>
        <item x="140"/>
        <item x="47"/>
        <item x="128"/>
        <item x="117"/>
        <item x="66"/>
        <item x="18"/>
        <item x="8"/>
        <item x="131"/>
        <item x="116"/>
        <item x="51"/>
        <item x="67"/>
        <item x="95"/>
        <item x="57"/>
        <item x="71"/>
        <item x="48"/>
        <item x="120"/>
        <item x="81"/>
        <item x="86"/>
        <item x="13"/>
        <item x="114"/>
        <item x="101"/>
        <item x="92"/>
        <item x="60"/>
        <item x="134"/>
        <item x="137"/>
        <item x="26"/>
        <item x="118"/>
        <item x="35"/>
        <item x="90"/>
        <item x="139"/>
        <item x="126"/>
        <item x="102"/>
        <item x="129"/>
        <item x="111"/>
        <item x="25"/>
        <item x="76"/>
        <item x="89"/>
        <item x="78"/>
        <item x="125"/>
        <item x="91"/>
        <item x="87"/>
        <item x="122"/>
        <item x="43"/>
        <item x="64"/>
        <item x="1"/>
        <item x="12"/>
        <item x="72"/>
        <item x="127"/>
        <item x="15"/>
        <item x="63"/>
        <item x="14"/>
        <item x="9"/>
        <item x="52"/>
        <item x="105"/>
        <item x="55"/>
        <item x="65"/>
        <item x="36"/>
        <item x="123"/>
        <item x="109"/>
        <item x="108"/>
        <item x="40"/>
        <item x="54"/>
        <item x="130"/>
        <item x="53"/>
        <item x="132"/>
        <item x="113"/>
        <item x="107"/>
        <item x="121"/>
        <item x="141"/>
        <item x="124"/>
        <item x="44"/>
        <item x="110"/>
        <item x="10"/>
        <item x="138"/>
        <item x="31"/>
        <item x="62"/>
        <item x="56"/>
        <item x="106"/>
        <item x="104"/>
        <item x="133"/>
        <item x="135"/>
        <item x="34"/>
        <item x="142"/>
        <item x="77"/>
        <item x="136"/>
        <item x="42"/>
        <item x="41"/>
        <item x="33"/>
        <item x="37"/>
        <item x="38"/>
        <item t="default"/>
      </items>
    </pivotField>
    <pivotField numFmtId="3" showAll="0"/>
    <pivotField showAll="0"/>
    <pivotField showAll="0"/>
    <pivotField showAll="0"/>
    <pivotField showAll="0"/>
    <pivotField showAll="0"/>
    <pivotField numFmtId="3" showAll="0"/>
    <pivotField numFmtId="4" showAll="0"/>
    <pivotField showAll="0"/>
    <pivotField showAll="0"/>
    <pivotField showAll="0"/>
    <pivotField numFmtId="1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1"/>
  </rowFields>
  <rowItems count="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7"/>
    </i>
    <i>
      <x v="28"/>
    </i>
    <i>
      <x v="30"/>
    </i>
    <i>
      <x v="32"/>
    </i>
    <i>
      <x v="33"/>
    </i>
    <i>
      <x v="34"/>
    </i>
    <i>
      <x v="36"/>
    </i>
    <i>
      <x v="37"/>
    </i>
    <i>
      <x v="38"/>
    </i>
    <i>
      <x v="41"/>
    </i>
    <i>
      <x v="43"/>
    </i>
    <i>
      <x v="45"/>
    </i>
    <i>
      <x v="47"/>
    </i>
    <i>
      <x v="48"/>
    </i>
    <i>
      <x v="49"/>
    </i>
    <i>
      <x v="50"/>
    </i>
    <i>
      <x v="51"/>
    </i>
    <i>
      <x v="52"/>
    </i>
    <i>
      <x v="53"/>
    </i>
    <i>
      <x v="57"/>
    </i>
    <i>
      <x v="58"/>
    </i>
    <i>
      <x v="59"/>
    </i>
    <i>
      <x v="62"/>
    </i>
    <i>
      <x v="64"/>
    </i>
    <i>
      <x v="67"/>
    </i>
    <i>
      <x v="68"/>
    </i>
    <i>
      <x v="69"/>
    </i>
    <i>
      <x v="70"/>
    </i>
    <i>
      <x v="71"/>
    </i>
    <i>
      <x v="72"/>
    </i>
    <i>
      <x v="73"/>
    </i>
    <i>
      <x v="78"/>
    </i>
    <i>
      <x v="79"/>
    </i>
    <i>
      <x v="82"/>
    </i>
    <i>
      <x v="83"/>
    </i>
    <i>
      <x v="86"/>
    </i>
    <i>
      <x v="87"/>
    </i>
    <i>
      <x v="88"/>
    </i>
    <i>
      <x v="91"/>
    </i>
    <i>
      <x v="93"/>
    </i>
    <i>
      <x v="97"/>
    </i>
    <i>
      <x v="98"/>
    </i>
    <i>
      <x v="102"/>
    </i>
    <i>
      <x v="104"/>
    </i>
    <i>
      <x v="105"/>
    </i>
    <i>
      <x v="106"/>
    </i>
    <i>
      <x v="118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 t="grand">
      <x/>
    </i>
  </rowItems>
  <colItems count="1">
    <i/>
  </colItems>
  <pageFields count="1">
    <pageField fld="5" item="1" hier="-1"/>
  </pageFields>
  <formats count="1">
    <format dxfId="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3B0006-B311-46AB-BE3E-4798637F3015}" name="Tabela dinâmica1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O5:O23" firstHeaderRow="1" firstDataRow="1" firstDataCol="1" rowPageCount="2" colPageCount="1"/>
  <pivotFields count="35"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Row" numFmtId="4" showAll="0">
      <items count="144">
        <item x="115"/>
        <item x="2"/>
        <item x="29"/>
        <item x="27"/>
        <item x="17"/>
        <item x="80"/>
        <item x="103"/>
        <item x="3"/>
        <item x="28"/>
        <item x="30"/>
        <item x="82"/>
        <item x="24"/>
        <item x="94"/>
        <item x="19"/>
        <item x="50"/>
        <item x="49"/>
        <item x="23"/>
        <item x="21"/>
        <item x="6"/>
        <item x="16"/>
        <item x="84"/>
        <item x="74"/>
        <item x="98"/>
        <item x="22"/>
        <item x="112"/>
        <item x="85"/>
        <item x="59"/>
        <item x="73"/>
        <item x="79"/>
        <item x="61"/>
        <item x="46"/>
        <item x="88"/>
        <item x="45"/>
        <item x="93"/>
        <item x="96"/>
        <item x="70"/>
        <item x="83"/>
        <item x="4"/>
        <item x="5"/>
        <item x="58"/>
        <item x="20"/>
        <item x="100"/>
        <item x="69"/>
        <item x="119"/>
        <item x="39"/>
        <item x="97"/>
        <item x="68"/>
        <item x="75"/>
        <item x="32"/>
        <item x="7"/>
        <item x="11"/>
        <item x="99"/>
        <item x="0"/>
        <item x="140"/>
        <item x="47"/>
        <item x="128"/>
        <item x="117"/>
        <item x="66"/>
        <item x="18"/>
        <item x="8"/>
        <item x="131"/>
        <item x="116"/>
        <item x="51"/>
        <item x="67"/>
        <item x="95"/>
        <item x="57"/>
        <item x="71"/>
        <item x="48"/>
        <item x="120"/>
        <item x="81"/>
        <item x="86"/>
        <item x="13"/>
        <item x="114"/>
        <item x="101"/>
        <item x="92"/>
        <item x="60"/>
        <item x="134"/>
        <item x="137"/>
        <item x="26"/>
        <item x="118"/>
        <item x="35"/>
        <item x="90"/>
        <item x="139"/>
        <item x="126"/>
        <item x="102"/>
        <item x="129"/>
        <item x="111"/>
        <item x="25"/>
        <item x="76"/>
        <item x="89"/>
        <item x="78"/>
        <item x="125"/>
        <item x="91"/>
        <item x="87"/>
        <item x="122"/>
        <item x="43"/>
        <item x="64"/>
        <item x="1"/>
        <item x="12"/>
        <item x="72"/>
        <item x="127"/>
        <item x="15"/>
        <item x="63"/>
        <item x="14"/>
        <item x="9"/>
        <item x="52"/>
        <item x="105"/>
        <item x="55"/>
        <item x="65"/>
        <item x="36"/>
        <item x="123"/>
        <item x="109"/>
        <item x="108"/>
        <item x="40"/>
        <item x="54"/>
        <item x="130"/>
        <item x="53"/>
        <item x="132"/>
        <item x="113"/>
        <item x="107"/>
        <item x="121"/>
        <item x="141"/>
        <item x="124"/>
        <item x="44"/>
        <item x="110"/>
        <item x="10"/>
        <item x="138"/>
        <item x="31"/>
        <item x="62"/>
        <item x="56"/>
        <item x="106"/>
        <item x="104"/>
        <item x="133"/>
        <item x="135"/>
        <item x="34"/>
        <item x="142"/>
        <item x="77"/>
        <item x="136"/>
        <item x="42"/>
        <item x="41"/>
        <item x="33"/>
        <item x="37"/>
        <item x="38"/>
        <item t="default"/>
      </items>
    </pivotField>
    <pivotField numFmtId="3" showAll="0"/>
    <pivotField showAll="0"/>
    <pivotField showAll="0"/>
    <pivotField showAll="0"/>
    <pivotField showAll="0"/>
    <pivotField showAll="0"/>
    <pivotField numFmtId="3" showAll="0"/>
    <pivotField numFmtId="4" showAll="0"/>
    <pivotField showAll="0"/>
    <pivotField showAll="0"/>
    <pivotField showAll="0"/>
    <pivotField numFmtId="10"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1"/>
  </rowFields>
  <rowItems count="18">
    <i>
      <x v="34"/>
    </i>
    <i>
      <x v="36"/>
    </i>
    <i>
      <x v="37"/>
    </i>
    <i>
      <x v="38"/>
    </i>
    <i>
      <x v="52"/>
    </i>
    <i>
      <x v="58"/>
    </i>
    <i>
      <x v="59"/>
    </i>
    <i>
      <x v="97"/>
    </i>
    <i>
      <x v="98"/>
    </i>
    <i>
      <x v="102"/>
    </i>
    <i>
      <x v="104"/>
    </i>
    <i>
      <x v="106"/>
    </i>
    <i>
      <x v="123"/>
    </i>
    <i>
      <x v="127"/>
    </i>
    <i>
      <x v="128"/>
    </i>
    <i>
      <x v="129"/>
    </i>
    <i>
      <x v="130"/>
    </i>
    <i t="grand">
      <x/>
    </i>
  </rowItems>
  <colItems count="1">
    <i/>
  </colItems>
  <pageFields count="2">
    <pageField fld="5" item="1" hier="-1"/>
    <pageField fld="27" item="1" hier="-1"/>
  </pageFields>
  <formats count="1">
    <format dxfId="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F631E4-8D55-4D4F-BC6D-ABF4041B225A}" name="Tabela dinâmica7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L5:L82" firstHeaderRow="1" firstDataRow="1" firstDataCol="1" rowPageCount="2" colPageCount="1"/>
  <pivotFields count="35"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Row" numFmtId="4" showAll="0">
      <items count="144">
        <item x="115"/>
        <item x="2"/>
        <item x="29"/>
        <item x="27"/>
        <item x="17"/>
        <item x="80"/>
        <item x="103"/>
        <item x="3"/>
        <item x="28"/>
        <item x="30"/>
        <item x="82"/>
        <item x="24"/>
        <item x="94"/>
        <item x="19"/>
        <item x="50"/>
        <item x="49"/>
        <item x="23"/>
        <item x="21"/>
        <item x="6"/>
        <item x="16"/>
        <item x="84"/>
        <item x="74"/>
        <item x="98"/>
        <item x="22"/>
        <item x="112"/>
        <item x="85"/>
        <item x="59"/>
        <item x="73"/>
        <item x="79"/>
        <item x="61"/>
        <item x="46"/>
        <item x="88"/>
        <item x="45"/>
        <item x="93"/>
        <item x="96"/>
        <item x="70"/>
        <item x="83"/>
        <item x="4"/>
        <item x="5"/>
        <item x="58"/>
        <item x="20"/>
        <item x="100"/>
        <item x="69"/>
        <item x="119"/>
        <item x="39"/>
        <item x="97"/>
        <item x="68"/>
        <item x="75"/>
        <item x="32"/>
        <item x="7"/>
        <item x="11"/>
        <item x="99"/>
        <item x="0"/>
        <item x="140"/>
        <item x="47"/>
        <item x="128"/>
        <item x="117"/>
        <item x="66"/>
        <item x="18"/>
        <item x="8"/>
        <item x="131"/>
        <item x="116"/>
        <item x="51"/>
        <item x="67"/>
        <item x="95"/>
        <item x="57"/>
        <item x="71"/>
        <item x="48"/>
        <item x="120"/>
        <item x="81"/>
        <item x="86"/>
        <item x="13"/>
        <item x="114"/>
        <item x="101"/>
        <item x="92"/>
        <item x="60"/>
        <item x="134"/>
        <item x="137"/>
        <item x="26"/>
        <item x="118"/>
        <item x="35"/>
        <item x="90"/>
        <item x="139"/>
        <item x="126"/>
        <item x="102"/>
        <item x="129"/>
        <item x="111"/>
        <item x="25"/>
        <item x="76"/>
        <item x="89"/>
        <item x="78"/>
        <item x="125"/>
        <item x="91"/>
        <item x="87"/>
        <item x="122"/>
        <item x="43"/>
        <item x="64"/>
        <item x="1"/>
        <item x="12"/>
        <item x="72"/>
        <item x="127"/>
        <item x="15"/>
        <item x="63"/>
        <item x="14"/>
        <item x="9"/>
        <item x="52"/>
        <item x="105"/>
        <item x="55"/>
        <item x="65"/>
        <item x="36"/>
        <item x="123"/>
        <item x="109"/>
        <item x="108"/>
        <item x="40"/>
        <item x="54"/>
        <item x="130"/>
        <item x="53"/>
        <item x="132"/>
        <item x="113"/>
        <item x="107"/>
        <item x="121"/>
        <item x="141"/>
        <item x="124"/>
        <item x="44"/>
        <item x="110"/>
        <item x="10"/>
        <item x="138"/>
        <item x="31"/>
        <item x="62"/>
        <item x="56"/>
        <item x="106"/>
        <item x="104"/>
        <item x="133"/>
        <item x="135"/>
        <item x="34"/>
        <item x="142"/>
        <item x="77"/>
        <item x="136"/>
        <item x="42"/>
        <item x="41"/>
        <item x="33"/>
        <item x="37"/>
        <item x="38"/>
        <item t="default"/>
      </items>
    </pivotField>
    <pivotField numFmtId="3" showAll="0"/>
    <pivotField showAll="0"/>
    <pivotField showAll="0"/>
    <pivotField showAll="0"/>
    <pivotField showAll="0"/>
    <pivotField showAll="0"/>
    <pivotField numFmtId="3" showAll="0"/>
    <pivotField numFmtId="4" showAll="0"/>
    <pivotField showAll="0"/>
    <pivotField showAll="0"/>
    <pivotField showAll="0"/>
    <pivotField numFmtId="10"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1"/>
  </rowFields>
  <rowItems count="7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7"/>
    </i>
    <i>
      <x v="28"/>
    </i>
    <i>
      <x v="30"/>
    </i>
    <i>
      <x v="32"/>
    </i>
    <i>
      <x v="33"/>
    </i>
    <i>
      <x v="37"/>
    </i>
    <i>
      <x v="38"/>
    </i>
    <i>
      <x v="41"/>
    </i>
    <i>
      <x v="43"/>
    </i>
    <i>
      <x v="45"/>
    </i>
    <i>
      <x v="47"/>
    </i>
    <i>
      <x v="48"/>
    </i>
    <i>
      <x v="49"/>
    </i>
    <i>
      <x v="50"/>
    </i>
    <i>
      <x v="51"/>
    </i>
    <i>
      <x v="53"/>
    </i>
    <i>
      <x v="57"/>
    </i>
    <i>
      <x v="58"/>
    </i>
    <i>
      <x v="59"/>
    </i>
    <i>
      <x v="62"/>
    </i>
    <i>
      <x v="64"/>
    </i>
    <i>
      <x v="67"/>
    </i>
    <i>
      <x v="68"/>
    </i>
    <i>
      <x v="69"/>
    </i>
    <i>
      <x v="70"/>
    </i>
    <i>
      <x v="71"/>
    </i>
    <i>
      <x v="72"/>
    </i>
    <i>
      <x v="73"/>
    </i>
    <i>
      <x v="78"/>
    </i>
    <i>
      <x v="79"/>
    </i>
    <i>
      <x v="82"/>
    </i>
    <i>
      <x v="83"/>
    </i>
    <i>
      <x v="86"/>
    </i>
    <i>
      <x v="87"/>
    </i>
    <i>
      <x v="88"/>
    </i>
    <i>
      <x v="91"/>
    </i>
    <i>
      <x v="93"/>
    </i>
    <i>
      <x v="97"/>
    </i>
    <i>
      <x v="98"/>
    </i>
    <i>
      <x v="105"/>
    </i>
    <i>
      <x v="118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8"/>
    </i>
    <i>
      <x v="131"/>
    </i>
    <i t="grand">
      <x/>
    </i>
  </rowItems>
  <colItems count="1">
    <i/>
  </colItems>
  <pageFields count="2">
    <pageField fld="5" item="1" hier="-1"/>
    <pageField fld="27" item="0" hier="-1"/>
  </pageFields>
  <formats count="1">
    <format dxfId="1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2E335D-52A8-4262-B8D5-BAD09E56BC11}" name="Tabela dinâmica9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U5:U149" firstHeaderRow="1" firstDataRow="1" firstDataCol="1" rowPageCount="1" colPageCount="1"/>
  <pivotFields count="35"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Row" numFmtId="4" showAll="0">
      <items count="144">
        <item x="115"/>
        <item x="2"/>
        <item x="29"/>
        <item x="27"/>
        <item x="17"/>
        <item x="80"/>
        <item x="103"/>
        <item x="3"/>
        <item x="28"/>
        <item x="30"/>
        <item x="82"/>
        <item x="24"/>
        <item x="94"/>
        <item x="19"/>
        <item x="50"/>
        <item x="49"/>
        <item x="23"/>
        <item x="21"/>
        <item x="6"/>
        <item x="16"/>
        <item x="84"/>
        <item x="74"/>
        <item x="98"/>
        <item x="22"/>
        <item x="112"/>
        <item x="85"/>
        <item x="59"/>
        <item x="73"/>
        <item x="79"/>
        <item x="61"/>
        <item x="46"/>
        <item x="88"/>
        <item x="45"/>
        <item x="93"/>
        <item x="96"/>
        <item x="70"/>
        <item x="83"/>
        <item x="4"/>
        <item x="5"/>
        <item x="58"/>
        <item x="20"/>
        <item x="100"/>
        <item x="69"/>
        <item x="119"/>
        <item x="39"/>
        <item x="97"/>
        <item x="68"/>
        <item x="75"/>
        <item x="32"/>
        <item x="7"/>
        <item x="11"/>
        <item x="99"/>
        <item x="0"/>
        <item x="140"/>
        <item x="47"/>
        <item x="128"/>
        <item x="117"/>
        <item x="66"/>
        <item x="18"/>
        <item x="8"/>
        <item x="131"/>
        <item x="116"/>
        <item x="51"/>
        <item x="67"/>
        <item x="95"/>
        <item x="57"/>
        <item x="71"/>
        <item x="48"/>
        <item x="120"/>
        <item x="81"/>
        <item x="86"/>
        <item x="13"/>
        <item x="114"/>
        <item x="101"/>
        <item x="92"/>
        <item x="60"/>
        <item x="134"/>
        <item x="137"/>
        <item x="26"/>
        <item x="118"/>
        <item x="35"/>
        <item x="90"/>
        <item x="139"/>
        <item x="126"/>
        <item x="102"/>
        <item x="129"/>
        <item x="111"/>
        <item x="25"/>
        <item x="76"/>
        <item x="89"/>
        <item x="78"/>
        <item x="125"/>
        <item x="91"/>
        <item x="87"/>
        <item x="122"/>
        <item x="43"/>
        <item x="64"/>
        <item x="1"/>
        <item x="12"/>
        <item x="72"/>
        <item x="127"/>
        <item x="15"/>
        <item x="63"/>
        <item x="14"/>
        <item x="9"/>
        <item x="52"/>
        <item x="105"/>
        <item x="55"/>
        <item x="65"/>
        <item x="36"/>
        <item x="123"/>
        <item x="109"/>
        <item x="108"/>
        <item x="40"/>
        <item x="54"/>
        <item x="130"/>
        <item x="53"/>
        <item x="132"/>
        <item x="113"/>
        <item x="107"/>
        <item x="121"/>
        <item x="141"/>
        <item x="124"/>
        <item x="44"/>
        <item x="110"/>
        <item x="10"/>
        <item x="138"/>
        <item x="31"/>
        <item x="62"/>
        <item x="56"/>
        <item x="106"/>
        <item x="104"/>
        <item x="133"/>
        <item x="135"/>
        <item x="34"/>
        <item x="142"/>
        <item x="77"/>
        <item x="136"/>
        <item x="42"/>
        <item x="41"/>
        <item x="33"/>
        <item x="37"/>
        <item x="38"/>
        <item t="default"/>
      </items>
    </pivotField>
    <pivotField numFmtId="3" showAll="0"/>
    <pivotField showAll="0"/>
    <pivotField showAll="0"/>
    <pivotField showAll="0"/>
    <pivotField showAll="0"/>
    <pivotField showAll="0"/>
    <pivotField numFmtId="3" showAll="0"/>
    <pivotField numFmtId="4" showAll="0"/>
    <pivotField showAll="0"/>
    <pivotField showAll="0"/>
    <pivotField showAll="0"/>
    <pivotField numFmtId="1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1"/>
  </rowFields>
  <rowItems count="1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 t="grand">
      <x/>
    </i>
  </rowItems>
  <colItems count="1">
    <i/>
  </colItems>
  <pageFields count="1">
    <pageField fld="5" hier="-1"/>
  </pageFields>
  <formats count="1">
    <format dxfId="1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D5A623-ABF9-4205-B78C-B92430816C63}" name="Tabela dinâmica3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G5:J18" firstHeaderRow="1" firstDataRow="2" firstDataCol="1"/>
  <pivotFields count="35"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4" showAll="0">
      <items count="144">
        <item x="115"/>
        <item x="2"/>
        <item x="29"/>
        <item x="27"/>
        <item x="17"/>
        <item x="80"/>
        <item x="103"/>
        <item x="3"/>
        <item x="28"/>
        <item x="30"/>
        <item x="82"/>
        <item x="24"/>
        <item x="94"/>
        <item x="19"/>
        <item x="50"/>
        <item x="49"/>
        <item x="23"/>
        <item x="21"/>
        <item x="6"/>
        <item x="16"/>
        <item x="84"/>
        <item x="74"/>
        <item x="98"/>
        <item x="22"/>
        <item x="112"/>
        <item x="85"/>
        <item x="59"/>
        <item x="73"/>
        <item x="79"/>
        <item x="61"/>
        <item x="46"/>
        <item x="88"/>
        <item x="45"/>
        <item x="93"/>
        <item x="96"/>
        <item x="70"/>
        <item x="83"/>
        <item x="4"/>
        <item x="5"/>
        <item x="58"/>
        <item x="20"/>
        <item x="100"/>
        <item x="69"/>
        <item x="119"/>
        <item x="39"/>
        <item x="97"/>
        <item x="68"/>
        <item x="75"/>
        <item x="32"/>
        <item x="7"/>
        <item x="11"/>
        <item x="99"/>
        <item x="0"/>
        <item x="140"/>
        <item x="47"/>
        <item x="128"/>
        <item x="117"/>
        <item x="66"/>
        <item x="18"/>
        <item x="8"/>
        <item x="131"/>
        <item x="116"/>
        <item x="51"/>
        <item x="67"/>
        <item x="95"/>
        <item x="57"/>
        <item x="71"/>
        <item x="48"/>
        <item x="120"/>
        <item x="81"/>
        <item x="86"/>
        <item x="13"/>
        <item x="114"/>
        <item x="101"/>
        <item x="92"/>
        <item x="60"/>
        <item x="134"/>
        <item x="137"/>
        <item x="26"/>
        <item x="118"/>
        <item x="35"/>
        <item x="90"/>
        <item x="139"/>
        <item x="126"/>
        <item x="102"/>
        <item x="129"/>
        <item x="111"/>
        <item x="25"/>
        <item x="76"/>
        <item x="89"/>
        <item x="78"/>
        <item x="125"/>
        <item x="91"/>
        <item x="87"/>
        <item x="122"/>
        <item x="43"/>
        <item x="64"/>
        <item x="1"/>
        <item x="12"/>
        <item x="72"/>
        <item x="127"/>
        <item x="15"/>
        <item x="63"/>
        <item x="14"/>
        <item x="9"/>
        <item x="52"/>
        <item x="105"/>
        <item x="55"/>
        <item x="65"/>
        <item x="36"/>
        <item x="123"/>
        <item x="109"/>
        <item x="108"/>
        <item x="40"/>
        <item x="54"/>
        <item x="130"/>
        <item x="53"/>
        <item x="132"/>
        <item x="113"/>
        <item x="107"/>
        <item x="121"/>
        <item x="141"/>
        <item x="124"/>
        <item x="44"/>
        <item x="110"/>
        <item x="10"/>
        <item x="138"/>
        <item x="31"/>
        <item x="62"/>
        <item x="56"/>
        <item x="106"/>
        <item x="104"/>
        <item x="133"/>
        <item x="135"/>
        <item x="34"/>
        <item x="142"/>
        <item x="77"/>
        <item x="136"/>
        <item x="42"/>
        <item x="41"/>
        <item x="33"/>
        <item x="37"/>
        <item x="38"/>
        <item t="default"/>
      </items>
    </pivotField>
    <pivotField numFmtId="3" showAll="0"/>
    <pivotField showAll="0"/>
    <pivotField showAll="0"/>
    <pivotField showAll="0"/>
    <pivotField showAll="0"/>
    <pivotField showAll="0"/>
    <pivotField numFmtId="3" showAll="0"/>
    <pivotField numFmtId="4" showAll="0"/>
    <pivotField showAll="0"/>
    <pivotField showAll="0"/>
    <pivotField showAll="0"/>
    <pivotField dataField="1" numFmtId="1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34"/>
    <field x="9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Média de Spread DI+" fld="23" subtotal="average" baseField="34" baseItem="1"/>
  </dataFields>
  <formats count="1">
    <format dxfId="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F0559F-3730-48A7-9934-E62D45B65B82}" name="Tabela dinâmica3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G5:G160" firstHeaderRow="1" firstDataRow="1" firstDataCol="1" rowPageCount="1" colPageCount="1"/>
  <pivotFields count="35"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4" showAll="0"/>
    <pivotField numFmtId="3" showAll="0"/>
    <pivotField showAll="0"/>
    <pivotField showAll="0"/>
    <pivotField showAll="0"/>
    <pivotField showAll="0"/>
    <pivotField showAll="0"/>
    <pivotField numFmtId="3" showAll="0"/>
    <pivotField axis="axisRow" numFmtId="4" showAll="0">
      <items count="647">
        <item m="1" x="400"/>
        <item m="1" x="467"/>
        <item m="1" x="341"/>
        <item m="1" x="331"/>
        <item m="1" x="604"/>
        <item m="1" x="459"/>
        <item m="1" x="519"/>
        <item m="1" x="540"/>
        <item m="1" x="352"/>
        <item m="1" x="364"/>
        <item m="1" x="488"/>
        <item m="1" x="502"/>
        <item m="1" x="346"/>
        <item m="1" x="607"/>
        <item m="1" x="572"/>
        <item m="1" x="396"/>
        <item m="1" x="596"/>
        <item m="1" x="387"/>
        <item m="1" x="493"/>
        <item m="1" x="603"/>
        <item m="1" x="605"/>
        <item m="1" x="367"/>
        <item m="1" x="460"/>
        <item m="1" x="381"/>
        <item m="1" x="515"/>
        <item m="1" x="437"/>
        <item m="1" x="451"/>
        <item m="1" x="410"/>
        <item m="1" x="338"/>
        <item m="1" x="449"/>
        <item m="1" x="339"/>
        <item m="1" x="532"/>
        <item m="1" x="553"/>
        <item m="1" x="358"/>
        <item m="1" x="546"/>
        <item m="1" x="501"/>
        <item m="1" x="528"/>
        <item m="1" x="395"/>
        <item m="1" x="423"/>
        <item m="1" x="571"/>
        <item m="1" x="485"/>
        <item m="1" x="454"/>
        <item m="1" x="461"/>
        <item m="1" x="366"/>
        <item m="1" x="610"/>
        <item m="1" x="469"/>
        <item m="1" x="636"/>
        <item m="1" x="592"/>
        <item m="1" x="645"/>
        <item m="1" x="562"/>
        <item m="1" x="372"/>
        <item m="1" x="507"/>
        <item m="1" x="543"/>
        <item m="1" x="598"/>
        <item m="1" x="386"/>
        <item m="1" x="599"/>
        <item m="1" x="551"/>
        <item m="1" x="623"/>
        <item m="1" x="535"/>
        <item m="1" x="521"/>
        <item m="1" x="397"/>
        <item m="1" x="638"/>
        <item m="1" x="542"/>
        <item m="1" x="559"/>
        <item m="1" x="617"/>
        <item m="1" x="500"/>
        <item m="1" x="350"/>
        <item m="1" x="539"/>
        <item m="1" x="429"/>
        <item m="1" x="439"/>
        <item m="1" x="624"/>
        <item m="1" x="505"/>
        <item m="1" x="436"/>
        <item m="1" x="335"/>
        <item m="1" x="427"/>
        <item m="1" x="525"/>
        <item m="1" x="434"/>
        <item m="1" x="473"/>
        <item m="1" x="578"/>
        <item m="1" x="392"/>
        <item m="1" x="458"/>
        <item m="1" x="361"/>
        <item m="1" x="611"/>
        <item m="1" x="565"/>
        <item m="1" x="370"/>
        <item m="1" x="369"/>
        <item m="1" x="547"/>
        <item m="1" x="477"/>
        <item m="1" x="390"/>
        <item m="1" x="398"/>
        <item m="1" x="555"/>
        <item m="1" x="544"/>
        <item m="1" x="614"/>
        <item m="1" x="635"/>
        <item m="1" x="600"/>
        <item m="1" x="332"/>
        <item m="1" x="526"/>
        <item m="1" x="629"/>
        <item m="1" x="545"/>
        <item m="1" x="491"/>
        <item m="1" x="405"/>
        <item m="1" x="589"/>
        <item m="1" x="440"/>
        <item m="1" x="587"/>
        <item m="1" x="516"/>
        <item m="1" x="496"/>
        <item m="1" x="570"/>
        <item m="1" x="618"/>
        <item m="1" x="349"/>
        <item m="1" x="343"/>
        <item m="1" x="348"/>
        <item m="1" x="472"/>
        <item m="1" x="462"/>
        <item m="1" x="506"/>
        <item m="1" x="514"/>
        <item m="1" x="371"/>
        <item m="1" x="626"/>
        <item m="1" x="594"/>
        <item m="1" x="380"/>
        <item x="39"/>
        <item m="1" x="443"/>
        <item m="1" x="510"/>
        <item m="1" x="517"/>
        <item m="1" x="416"/>
        <item m="1" x="484"/>
        <item m="1" x="475"/>
        <item m="1" x="489"/>
        <item m="1" x="413"/>
        <item m="1" x="641"/>
        <item m="1" x="625"/>
        <item m="1" x="552"/>
        <item m="1" x="527"/>
        <item m="1" x="536"/>
        <item m="1" x="445"/>
        <item m="1" x="478"/>
        <item m="1" x="492"/>
        <item m="1" x="465"/>
        <item m="1" x="441"/>
        <item x="53"/>
        <item m="1" x="376"/>
        <item m="1" x="422"/>
        <item m="1" x="432"/>
        <item m="1" x="430"/>
        <item m="1" x="522"/>
        <item m="1" x="476"/>
        <item m="1" x="464"/>
        <item m="1" x="568"/>
        <item m="1" x="474"/>
        <item m="1" x="608"/>
        <item m="1" x="409"/>
        <item m="1" x="530"/>
        <item m="1" x="356"/>
        <item m="1" x="622"/>
        <item m="1" x="644"/>
        <item m="1" x="420"/>
        <item m="1" x="433"/>
        <item m="1" x="504"/>
        <item m="1" x="558"/>
        <item m="1" x="631"/>
        <item m="1" x="529"/>
        <item m="1" x="602"/>
        <item m="1" x="377"/>
        <item m="1" x="520"/>
        <item m="1" x="531"/>
        <item m="1" x="557"/>
        <item x="33"/>
        <item m="1" x="407"/>
        <item m="1" x="590"/>
        <item m="1" x="414"/>
        <item m="1" x="452"/>
        <item m="1" x="642"/>
        <item x="34"/>
        <item m="1" x="630"/>
        <item m="1" x="336"/>
        <item m="1" x="453"/>
        <item m="1" x="446"/>
        <item m="1" x="362"/>
        <item m="1" x="342"/>
        <item m="1" x="588"/>
        <item m="1" x="357"/>
        <item m="1" x="524"/>
        <item m="1" x="616"/>
        <item m="1" x="359"/>
        <item m="1" x="585"/>
        <item m="1" x="383"/>
        <item m="1" x="595"/>
        <item m="1" x="384"/>
        <item m="1" x="401"/>
        <item m="1" x="639"/>
        <item m="1" x="351"/>
        <item m="1" x="455"/>
        <item m="1" x="330"/>
        <item m="1" x="479"/>
        <item m="1" x="426"/>
        <item m="1" x="373"/>
        <item m="1" x="365"/>
        <item m="1" x="406"/>
        <item m="1" x="399"/>
        <item m="1" x="494"/>
        <item m="1" x="508"/>
        <item m="1" x="389"/>
        <item m="1" x="388"/>
        <item x="2"/>
        <item m="1" x="497"/>
        <item m="1" x="355"/>
        <item m="1" x="554"/>
        <item m="1" x="353"/>
        <item m="1" x="550"/>
        <item m="1" x="468"/>
        <item m="1" x="573"/>
        <item m="1" x="640"/>
        <item m="1" x="613"/>
        <item m="1" x="483"/>
        <item x="38"/>
        <item m="1" x="374"/>
        <item m="1" x="632"/>
        <item m="1" x="428"/>
        <item m="1" x="620"/>
        <item m="1" x="606"/>
        <item m="1" x="533"/>
        <item m="1" x="619"/>
        <item m="1" x="403"/>
        <item m="1" x="637"/>
        <item m="1" x="375"/>
        <item m="1" x="456"/>
        <item m="1" x="579"/>
        <item x="167"/>
        <item m="1" x="418"/>
        <item m="1" x="628"/>
        <item m="1" x="548"/>
        <item m="1" x="643"/>
        <item m="1" x="561"/>
        <item m="1" x="593"/>
        <item m="1" x="537"/>
        <item m="1" x="481"/>
        <item m="1" x="333"/>
        <item m="1" x="394"/>
        <item m="1" x="591"/>
        <item m="1" x="615"/>
        <item m="1" x="509"/>
        <item m="1" x="438"/>
        <item m="1" x="569"/>
        <item m="1" x="523"/>
        <item m="1" x="575"/>
        <item m="1" x="393"/>
        <item m="1" x="513"/>
        <item m="1" x="563"/>
        <item m="1" x="411"/>
        <item m="1" x="490"/>
        <item m="1" x="402"/>
        <item m="1" x="408"/>
        <item m="1" x="447"/>
        <item x="139"/>
        <item m="1" x="511"/>
        <item m="1" x="549"/>
        <item m="1" x="385"/>
        <item m="1" x="457"/>
        <item m="1" x="498"/>
        <item m="1" x="354"/>
        <item x="16"/>
        <item m="1" x="556"/>
        <item m="1" x="482"/>
        <item m="1" x="463"/>
        <item m="1" x="566"/>
        <item m="1" x="486"/>
        <item m="1" x="470"/>
        <item m="1" x="417"/>
        <item m="1" x="363"/>
        <item m="1" x="340"/>
        <item m="1" x="448"/>
        <item m="1" x="495"/>
        <item m="1" x="597"/>
        <item m="1" x="581"/>
        <item x="5"/>
        <item m="1" x="347"/>
        <item m="1" x="560"/>
        <item m="1" x="442"/>
        <item m="1" x="564"/>
        <item m="1" x="368"/>
        <item m="1" x="583"/>
        <item m="1" x="518"/>
        <item x="262"/>
        <item m="1" x="378"/>
        <item m="1" x="337"/>
        <item m="1" x="450"/>
        <item m="1" x="633"/>
        <item m="1" x="329"/>
        <item m="1" x="621"/>
        <item m="1" x="360"/>
        <item m="1" x="379"/>
        <item m="1" x="391"/>
        <item m="1" x="601"/>
        <item m="1" x="634"/>
        <item m="1" x="412"/>
        <item m="1" x="419"/>
        <item m="1" x="444"/>
        <item m="1" x="421"/>
        <item m="1" x="574"/>
        <item m="1" x="466"/>
        <item x="0"/>
        <item m="1" x="567"/>
        <item m="1" x="612"/>
        <item m="1" x="480"/>
        <item m="1" x="503"/>
        <item m="1" x="538"/>
        <item m="1" x="344"/>
        <item m="1" x="415"/>
        <item m="1" x="431"/>
        <item m="1" x="586"/>
        <item m="1" x="627"/>
        <item m="1" x="487"/>
        <item m="1" x="609"/>
        <item m="1" x="534"/>
        <item m="1" x="541"/>
        <item m="1" x="582"/>
        <item m="1" x="404"/>
        <item m="1" x="580"/>
        <item m="1" x="435"/>
        <item m="1" x="584"/>
        <item m="1" x="576"/>
        <item m="1" x="334"/>
        <item m="1" x="499"/>
        <item m="1" x="512"/>
        <item m="1" x="471"/>
        <item m="1" x="577"/>
        <item m="1" x="424"/>
        <item m="1" x="345"/>
        <item m="1" x="425"/>
        <item m="1" x="382"/>
        <item x="1"/>
        <item x="3"/>
        <item x="4"/>
        <item x="6"/>
        <item x="7"/>
        <item x="8"/>
        <item x="9"/>
        <item x="10"/>
        <item x="11"/>
        <item x="12"/>
        <item x="13"/>
        <item x="14"/>
        <item x="15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5"/>
        <item x="36"/>
        <item x="37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t="default"/>
      </items>
    </pivotField>
    <pivotField showAll="0"/>
    <pivotField showAll="0"/>
    <pivotField showAll="0"/>
    <pivotField numFmtId="1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155">
    <i>
      <x v="329"/>
    </i>
    <i>
      <x v="334"/>
    </i>
    <i>
      <x v="345"/>
    </i>
    <i>
      <x v="346"/>
    </i>
    <i>
      <x v="357"/>
    </i>
    <i>
      <x v="358"/>
    </i>
    <i>
      <x v="359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99"/>
    </i>
    <i>
      <x v="400"/>
    </i>
    <i>
      <x v="402"/>
    </i>
    <i>
      <x v="405"/>
    </i>
    <i>
      <x v="406"/>
    </i>
    <i>
      <x v="412"/>
    </i>
    <i>
      <x v="413"/>
    </i>
    <i>
      <x v="414"/>
    </i>
    <i>
      <x v="415"/>
    </i>
    <i>
      <x v="416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8"/>
    </i>
    <i>
      <x v="432"/>
    </i>
    <i>
      <x v="433"/>
    </i>
    <i>
      <x v="434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6"/>
    </i>
    <i>
      <x v="457"/>
    </i>
    <i>
      <x v="459"/>
    </i>
    <i>
      <x v="474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503"/>
    </i>
    <i>
      <x v="504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34"/>
    </i>
    <i>
      <x v="543"/>
    </i>
    <i>
      <x v="544"/>
    </i>
    <i>
      <x v="548"/>
    </i>
    <i>
      <x v="549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2"/>
    </i>
    <i>
      <x v="587"/>
    </i>
    <i>
      <x v="588"/>
    </i>
    <i>
      <x v="590"/>
    </i>
    <i>
      <x v="591"/>
    </i>
    <i>
      <x v="592"/>
    </i>
    <i>
      <x v="603"/>
    </i>
    <i>
      <x v="604"/>
    </i>
    <i>
      <x v="616"/>
    </i>
    <i>
      <x v="617"/>
    </i>
    <i>
      <x v="618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4"/>
    </i>
    <i>
      <x v="635"/>
    </i>
    <i>
      <x v="636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 t="grand">
      <x/>
    </i>
  </rowItems>
  <colItems count="1">
    <i/>
  </colItems>
  <pageFields count="1">
    <pageField fld="5" item="0" hier="-1"/>
  </pageFields>
  <formats count="1">
    <format dxfId="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D8DFCE-1B98-43F6-9013-A12C48569549}" name="Tabela dinâmica9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M5:M335" firstHeaderRow="1" firstDataRow="1" firstDataCol="1" rowPageCount="1" colPageCount="1"/>
  <pivotFields count="35"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4" showAll="0"/>
    <pivotField numFmtId="3" showAll="0"/>
    <pivotField showAll="0"/>
    <pivotField showAll="0"/>
    <pivotField showAll="0"/>
    <pivotField showAll="0"/>
    <pivotField showAll="0"/>
    <pivotField numFmtId="3" showAll="0"/>
    <pivotField axis="axisRow" numFmtId="4" showAll="0">
      <items count="647">
        <item m="1" x="400"/>
        <item m="1" x="467"/>
        <item m="1" x="341"/>
        <item m="1" x="331"/>
        <item m="1" x="604"/>
        <item m="1" x="459"/>
        <item m="1" x="519"/>
        <item m="1" x="540"/>
        <item m="1" x="352"/>
        <item m="1" x="364"/>
        <item m="1" x="488"/>
        <item m="1" x="502"/>
        <item m="1" x="346"/>
        <item m="1" x="607"/>
        <item m="1" x="572"/>
        <item m="1" x="396"/>
        <item m="1" x="596"/>
        <item m="1" x="387"/>
        <item m="1" x="493"/>
        <item m="1" x="603"/>
        <item m="1" x="605"/>
        <item m="1" x="367"/>
        <item m="1" x="460"/>
        <item m="1" x="381"/>
        <item m="1" x="515"/>
        <item m="1" x="437"/>
        <item m="1" x="451"/>
        <item m="1" x="410"/>
        <item m="1" x="338"/>
        <item m="1" x="449"/>
        <item m="1" x="339"/>
        <item m="1" x="532"/>
        <item m="1" x="553"/>
        <item m="1" x="358"/>
        <item m="1" x="546"/>
        <item m="1" x="501"/>
        <item m="1" x="528"/>
        <item m="1" x="395"/>
        <item m="1" x="423"/>
        <item m="1" x="571"/>
        <item m="1" x="485"/>
        <item m="1" x="454"/>
        <item m="1" x="461"/>
        <item m="1" x="366"/>
        <item m="1" x="610"/>
        <item m="1" x="469"/>
        <item m="1" x="636"/>
        <item m="1" x="592"/>
        <item m="1" x="645"/>
        <item m="1" x="562"/>
        <item m="1" x="372"/>
        <item m="1" x="507"/>
        <item m="1" x="543"/>
        <item m="1" x="598"/>
        <item m="1" x="386"/>
        <item m="1" x="599"/>
        <item m="1" x="551"/>
        <item m="1" x="623"/>
        <item m="1" x="535"/>
        <item m="1" x="521"/>
        <item m="1" x="397"/>
        <item m="1" x="638"/>
        <item m="1" x="542"/>
        <item m="1" x="559"/>
        <item m="1" x="617"/>
        <item m="1" x="500"/>
        <item m="1" x="350"/>
        <item m="1" x="539"/>
        <item m="1" x="429"/>
        <item m="1" x="439"/>
        <item m="1" x="624"/>
        <item m="1" x="505"/>
        <item m="1" x="436"/>
        <item m="1" x="335"/>
        <item m="1" x="427"/>
        <item m="1" x="525"/>
        <item m="1" x="434"/>
        <item m="1" x="473"/>
        <item m="1" x="578"/>
        <item m="1" x="392"/>
        <item m="1" x="458"/>
        <item m="1" x="361"/>
        <item m="1" x="611"/>
        <item m="1" x="565"/>
        <item m="1" x="370"/>
        <item m="1" x="369"/>
        <item m="1" x="547"/>
        <item m="1" x="477"/>
        <item m="1" x="390"/>
        <item m="1" x="398"/>
        <item m="1" x="555"/>
        <item m="1" x="544"/>
        <item m="1" x="614"/>
        <item m="1" x="635"/>
        <item m="1" x="600"/>
        <item m="1" x="332"/>
        <item m="1" x="526"/>
        <item m="1" x="629"/>
        <item m="1" x="545"/>
        <item m="1" x="491"/>
        <item m="1" x="405"/>
        <item m="1" x="589"/>
        <item m="1" x="440"/>
        <item m="1" x="587"/>
        <item m="1" x="516"/>
        <item m="1" x="496"/>
        <item m="1" x="570"/>
        <item m="1" x="618"/>
        <item m="1" x="349"/>
        <item m="1" x="343"/>
        <item m="1" x="348"/>
        <item m="1" x="472"/>
        <item m="1" x="462"/>
        <item m="1" x="506"/>
        <item m="1" x="514"/>
        <item m="1" x="371"/>
        <item m="1" x="626"/>
        <item m="1" x="594"/>
        <item m="1" x="380"/>
        <item x="39"/>
        <item m="1" x="443"/>
        <item m="1" x="510"/>
        <item m="1" x="517"/>
        <item m="1" x="416"/>
        <item m="1" x="484"/>
        <item m="1" x="475"/>
        <item m="1" x="489"/>
        <item m="1" x="413"/>
        <item m="1" x="641"/>
        <item m="1" x="625"/>
        <item m="1" x="552"/>
        <item m="1" x="527"/>
        <item m="1" x="536"/>
        <item m="1" x="445"/>
        <item m="1" x="478"/>
        <item m="1" x="492"/>
        <item m="1" x="465"/>
        <item m="1" x="441"/>
        <item x="53"/>
        <item m="1" x="376"/>
        <item m="1" x="422"/>
        <item m="1" x="432"/>
        <item m="1" x="430"/>
        <item m="1" x="522"/>
        <item m="1" x="476"/>
        <item m="1" x="464"/>
        <item m="1" x="568"/>
        <item m="1" x="474"/>
        <item m="1" x="608"/>
        <item m="1" x="409"/>
        <item m="1" x="530"/>
        <item m="1" x="356"/>
        <item m="1" x="622"/>
        <item m="1" x="644"/>
        <item m="1" x="420"/>
        <item m="1" x="433"/>
        <item m="1" x="504"/>
        <item m="1" x="558"/>
        <item m="1" x="631"/>
        <item m="1" x="529"/>
        <item m="1" x="602"/>
        <item m="1" x="377"/>
        <item m="1" x="520"/>
        <item m="1" x="531"/>
        <item m="1" x="557"/>
        <item x="33"/>
        <item m="1" x="407"/>
        <item m="1" x="590"/>
        <item m="1" x="414"/>
        <item m="1" x="452"/>
        <item m="1" x="642"/>
        <item x="34"/>
        <item m="1" x="630"/>
        <item m="1" x="336"/>
        <item m="1" x="453"/>
        <item m="1" x="446"/>
        <item m="1" x="362"/>
        <item m="1" x="342"/>
        <item m="1" x="588"/>
        <item m="1" x="357"/>
        <item m="1" x="524"/>
        <item m="1" x="616"/>
        <item m="1" x="359"/>
        <item m="1" x="585"/>
        <item m="1" x="383"/>
        <item m="1" x="595"/>
        <item m="1" x="384"/>
        <item m="1" x="401"/>
        <item m="1" x="639"/>
        <item m="1" x="351"/>
        <item m="1" x="455"/>
        <item m="1" x="330"/>
        <item m="1" x="479"/>
        <item m="1" x="426"/>
        <item m="1" x="373"/>
        <item m="1" x="365"/>
        <item m="1" x="406"/>
        <item m="1" x="399"/>
        <item m="1" x="494"/>
        <item m="1" x="508"/>
        <item m="1" x="389"/>
        <item m="1" x="388"/>
        <item x="2"/>
        <item m="1" x="497"/>
        <item m="1" x="355"/>
        <item m="1" x="554"/>
        <item m="1" x="353"/>
        <item m="1" x="550"/>
        <item m="1" x="468"/>
        <item m="1" x="573"/>
        <item m="1" x="640"/>
        <item m="1" x="613"/>
        <item m="1" x="483"/>
        <item x="38"/>
        <item m="1" x="374"/>
        <item m="1" x="632"/>
        <item m="1" x="428"/>
        <item m="1" x="620"/>
        <item m="1" x="606"/>
        <item m="1" x="533"/>
        <item m="1" x="619"/>
        <item m="1" x="403"/>
        <item m="1" x="637"/>
        <item m="1" x="375"/>
        <item m="1" x="456"/>
        <item m="1" x="579"/>
        <item x="167"/>
        <item m="1" x="418"/>
        <item m="1" x="628"/>
        <item m="1" x="548"/>
        <item m="1" x="643"/>
        <item m="1" x="561"/>
        <item m="1" x="593"/>
        <item m="1" x="537"/>
        <item m="1" x="481"/>
        <item m="1" x="333"/>
        <item m="1" x="394"/>
        <item m="1" x="591"/>
        <item m="1" x="615"/>
        <item m="1" x="509"/>
        <item m="1" x="438"/>
        <item m="1" x="569"/>
        <item m="1" x="523"/>
        <item m="1" x="575"/>
        <item m="1" x="393"/>
        <item m="1" x="513"/>
        <item m="1" x="563"/>
        <item m="1" x="411"/>
        <item m="1" x="490"/>
        <item m="1" x="402"/>
        <item m="1" x="408"/>
        <item m="1" x="447"/>
        <item x="139"/>
        <item m="1" x="511"/>
        <item m="1" x="549"/>
        <item m="1" x="385"/>
        <item m="1" x="457"/>
        <item m="1" x="498"/>
        <item m="1" x="354"/>
        <item x="16"/>
        <item m="1" x="556"/>
        <item m="1" x="482"/>
        <item m="1" x="463"/>
        <item m="1" x="566"/>
        <item m="1" x="486"/>
        <item m="1" x="470"/>
        <item m="1" x="417"/>
        <item m="1" x="363"/>
        <item m="1" x="340"/>
        <item m="1" x="448"/>
        <item m="1" x="495"/>
        <item m="1" x="597"/>
        <item m="1" x="581"/>
        <item x="5"/>
        <item m="1" x="347"/>
        <item m="1" x="560"/>
        <item m="1" x="442"/>
        <item m="1" x="564"/>
        <item m="1" x="368"/>
        <item m="1" x="583"/>
        <item m="1" x="518"/>
        <item x="262"/>
        <item m="1" x="378"/>
        <item m="1" x="337"/>
        <item m="1" x="450"/>
        <item m="1" x="633"/>
        <item m="1" x="329"/>
        <item m="1" x="621"/>
        <item m="1" x="360"/>
        <item m="1" x="379"/>
        <item m="1" x="391"/>
        <item m="1" x="601"/>
        <item m="1" x="634"/>
        <item m="1" x="412"/>
        <item m="1" x="419"/>
        <item m="1" x="444"/>
        <item m="1" x="421"/>
        <item m="1" x="574"/>
        <item m="1" x="466"/>
        <item x="0"/>
        <item m="1" x="567"/>
        <item m="1" x="612"/>
        <item m="1" x="480"/>
        <item m="1" x="503"/>
        <item m="1" x="538"/>
        <item m="1" x="344"/>
        <item m="1" x="415"/>
        <item m="1" x="431"/>
        <item m="1" x="586"/>
        <item m="1" x="627"/>
        <item m="1" x="487"/>
        <item m="1" x="609"/>
        <item m="1" x="534"/>
        <item m="1" x="541"/>
        <item m="1" x="582"/>
        <item m="1" x="404"/>
        <item m="1" x="580"/>
        <item m="1" x="435"/>
        <item m="1" x="584"/>
        <item m="1" x="576"/>
        <item m="1" x="334"/>
        <item m="1" x="499"/>
        <item m="1" x="512"/>
        <item m="1" x="471"/>
        <item m="1" x="577"/>
        <item m="1" x="424"/>
        <item m="1" x="345"/>
        <item m="1" x="425"/>
        <item m="1" x="382"/>
        <item x="1"/>
        <item x="3"/>
        <item x="4"/>
        <item x="6"/>
        <item x="7"/>
        <item x="8"/>
        <item x="9"/>
        <item x="10"/>
        <item x="11"/>
        <item x="12"/>
        <item x="13"/>
        <item x="14"/>
        <item x="15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5"/>
        <item x="36"/>
        <item x="37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t="default"/>
      </items>
    </pivotField>
    <pivotField showAll="0"/>
    <pivotField showAll="0"/>
    <pivotField showAll="0"/>
    <pivotField numFmtId="1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330">
    <i>
      <x v="119"/>
    </i>
    <i>
      <x v="138"/>
    </i>
    <i>
      <x v="165"/>
    </i>
    <i>
      <x v="171"/>
    </i>
    <i>
      <x v="202"/>
    </i>
    <i>
      <x v="213"/>
    </i>
    <i>
      <x v="226"/>
    </i>
    <i>
      <x v="252"/>
    </i>
    <i>
      <x v="259"/>
    </i>
    <i>
      <x v="273"/>
    </i>
    <i>
      <x v="281"/>
    </i>
    <i>
      <x v="299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 t="grand">
      <x/>
    </i>
  </rowItems>
  <colItems count="1">
    <i/>
  </colItems>
  <pageFields count="1">
    <pageField fld="5" hier="-1"/>
  </pageFields>
  <formats count="1">
    <format dxfId="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3EEDB3-40DE-49B9-AA5C-682005D3EF0E}" name="Tabela dinâmica7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J5:J181" firstHeaderRow="1" firstDataRow="1" firstDataCol="1" rowPageCount="1" colPageCount="1"/>
  <pivotFields count="35"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4" showAll="0"/>
    <pivotField numFmtId="3" showAll="0"/>
    <pivotField showAll="0"/>
    <pivotField showAll="0"/>
    <pivotField showAll="0"/>
    <pivotField showAll="0"/>
    <pivotField showAll="0"/>
    <pivotField numFmtId="3" showAll="0"/>
    <pivotField axis="axisRow" numFmtId="4" showAll="0">
      <items count="647">
        <item m="1" x="400"/>
        <item m="1" x="467"/>
        <item m="1" x="341"/>
        <item m="1" x="331"/>
        <item m="1" x="604"/>
        <item m="1" x="459"/>
        <item m="1" x="519"/>
        <item m="1" x="540"/>
        <item m="1" x="352"/>
        <item m="1" x="364"/>
        <item m="1" x="488"/>
        <item m="1" x="502"/>
        <item m="1" x="346"/>
        <item m="1" x="607"/>
        <item m="1" x="572"/>
        <item m="1" x="396"/>
        <item m="1" x="596"/>
        <item m="1" x="387"/>
        <item m="1" x="493"/>
        <item m="1" x="603"/>
        <item m="1" x="605"/>
        <item m="1" x="367"/>
        <item m="1" x="460"/>
        <item m="1" x="381"/>
        <item m="1" x="515"/>
        <item m="1" x="437"/>
        <item m="1" x="451"/>
        <item m="1" x="410"/>
        <item m="1" x="338"/>
        <item m="1" x="449"/>
        <item m="1" x="339"/>
        <item m="1" x="532"/>
        <item m="1" x="553"/>
        <item m="1" x="358"/>
        <item m="1" x="546"/>
        <item m="1" x="501"/>
        <item m="1" x="528"/>
        <item m="1" x="395"/>
        <item m="1" x="423"/>
        <item m="1" x="571"/>
        <item m="1" x="485"/>
        <item m="1" x="454"/>
        <item m="1" x="461"/>
        <item m="1" x="366"/>
        <item m="1" x="610"/>
        <item m="1" x="469"/>
        <item m="1" x="636"/>
        <item m="1" x="592"/>
        <item m="1" x="645"/>
        <item m="1" x="562"/>
        <item m="1" x="372"/>
        <item m="1" x="507"/>
        <item m="1" x="543"/>
        <item m="1" x="598"/>
        <item m="1" x="386"/>
        <item m="1" x="599"/>
        <item m="1" x="551"/>
        <item m="1" x="623"/>
        <item m="1" x="535"/>
        <item m="1" x="521"/>
        <item m="1" x="397"/>
        <item m="1" x="638"/>
        <item m="1" x="542"/>
        <item m="1" x="559"/>
        <item m="1" x="617"/>
        <item m="1" x="500"/>
        <item m="1" x="350"/>
        <item m="1" x="539"/>
        <item m="1" x="429"/>
        <item m="1" x="439"/>
        <item m="1" x="624"/>
        <item m="1" x="505"/>
        <item m="1" x="436"/>
        <item m="1" x="335"/>
        <item m="1" x="427"/>
        <item m="1" x="525"/>
        <item m="1" x="434"/>
        <item m="1" x="473"/>
        <item m="1" x="578"/>
        <item m="1" x="392"/>
        <item m="1" x="458"/>
        <item m="1" x="361"/>
        <item m="1" x="611"/>
        <item m="1" x="565"/>
        <item m="1" x="370"/>
        <item m="1" x="369"/>
        <item m="1" x="547"/>
        <item m="1" x="477"/>
        <item m="1" x="390"/>
        <item m="1" x="398"/>
        <item m="1" x="555"/>
        <item m="1" x="544"/>
        <item m="1" x="614"/>
        <item m="1" x="635"/>
        <item m="1" x="600"/>
        <item m="1" x="332"/>
        <item m="1" x="526"/>
        <item m="1" x="629"/>
        <item m="1" x="545"/>
        <item m="1" x="491"/>
        <item m="1" x="405"/>
        <item m="1" x="589"/>
        <item m="1" x="440"/>
        <item m="1" x="587"/>
        <item m="1" x="516"/>
        <item m="1" x="496"/>
        <item m="1" x="570"/>
        <item m="1" x="618"/>
        <item m="1" x="349"/>
        <item m="1" x="343"/>
        <item m="1" x="348"/>
        <item m="1" x="472"/>
        <item m="1" x="462"/>
        <item m="1" x="506"/>
        <item m="1" x="514"/>
        <item m="1" x="371"/>
        <item m="1" x="626"/>
        <item m="1" x="594"/>
        <item m="1" x="380"/>
        <item x="39"/>
        <item m="1" x="443"/>
        <item m="1" x="510"/>
        <item m="1" x="517"/>
        <item m="1" x="416"/>
        <item m="1" x="484"/>
        <item m="1" x="475"/>
        <item m="1" x="489"/>
        <item m="1" x="413"/>
        <item m="1" x="641"/>
        <item m="1" x="625"/>
        <item m="1" x="552"/>
        <item m="1" x="527"/>
        <item m="1" x="536"/>
        <item m="1" x="445"/>
        <item m="1" x="478"/>
        <item m="1" x="492"/>
        <item m="1" x="465"/>
        <item m="1" x="441"/>
        <item x="53"/>
        <item m="1" x="376"/>
        <item m="1" x="422"/>
        <item m="1" x="432"/>
        <item m="1" x="430"/>
        <item m="1" x="522"/>
        <item m="1" x="476"/>
        <item m="1" x="464"/>
        <item m="1" x="568"/>
        <item m="1" x="474"/>
        <item m="1" x="608"/>
        <item m="1" x="409"/>
        <item m="1" x="530"/>
        <item m="1" x="356"/>
        <item m="1" x="622"/>
        <item m="1" x="644"/>
        <item m="1" x="420"/>
        <item m="1" x="433"/>
        <item m="1" x="504"/>
        <item m="1" x="558"/>
        <item m="1" x="631"/>
        <item m="1" x="529"/>
        <item m="1" x="602"/>
        <item m="1" x="377"/>
        <item m="1" x="520"/>
        <item m="1" x="531"/>
        <item m="1" x="557"/>
        <item x="33"/>
        <item m="1" x="407"/>
        <item m="1" x="590"/>
        <item m="1" x="414"/>
        <item m="1" x="452"/>
        <item m="1" x="642"/>
        <item x="34"/>
        <item m="1" x="630"/>
        <item m="1" x="336"/>
        <item m="1" x="453"/>
        <item m="1" x="446"/>
        <item m="1" x="362"/>
        <item m="1" x="342"/>
        <item m="1" x="588"/>
        <item m="1" x="357"/>
        <item m="1" x="524"/>
        <item m="1" x="616"/>
        <item m="1" x="359"/>
        <item m="1" x="585"/>
        <item m="1" x="383"/>
        <item m="1" x="595"/>
        <item m="1" x="384"/>
        <item m="1" x="401"/>
        <item m="1" x="639"/>
        <item m="1" x="351"/>
        <item m="1" x="455"/>
        <item m="1" x="330"/>
        <item m="1" x="479"/>
        <item m="1" x="426"/>
        <item m="1" x="373"/>
        <item m="1" x="365"/>
        <item m="1" x="406"/>
        <item m="1" x="399"/>
        <item m="1" x="494"/>
        <item m="1" x="508"/>
        <item m="1" x="389"/>
        <item m="1" x="388"/>
        <item x="2"/>
        <item m="1" x="497"/>
        <item m="1" x="355"/>
        <item m="1" x="554"/>
        <item m="1" x="353"/>
        <item m="1" x="550"/>
        <item m="1" x="468"/>
        <item m="1" x="573"/>
        <item m="1" x="640"/>
        <item m="1" x="613"/>
        <item m="1" x="483"/>
        <item x="38"/>
        <item m="1" x="374"/>
        <item m="1" x="632"/>
        <item m="1" x="428"/>
        <item m="1" x="620"/>
        <item m="1" x="606"/>
        <item m="1" x="533"/>
        <item m="1" x="619"/>
        <item m="1" x="403"/>
        <item m="1" x="637"/>
        <item m="1" x="375"/>
        <item m="1" x="456"/>
        <item m="1" x="579"/>
        <item x="167"/>
        <item m="1" x="418"/>
        <item m="1" x="628"/>
        <item m="1" x="548"/>
        <item m="1" x="643"/>
        <item m="1" x="561"/>
        <item m="1" x="593"/>
        <item m="1" x="537"/>
        <item m="1" x="481"/>
        <item m="1" x="333"/>
        <item m="1" x="394"/>
        <item m="1" x="591"/>
        <item m="1" x="615"/>
        <item m="1" x="509"/>
        <item m="1" x="438"/>
        <item m="1" x="569"/>
        <item m="1" x="523"/>
        <item m="1" x="575"/>
        <item m="1" x="393"/>
        <item m="1" x="513"/>
        <item m="1" x="563"/>
        <item m="1" x="411"/>
        <item m="1" x="490"/>
        <item m="1" x="402"/>
        <item m="1" x="408"/>
        <item m="1" x="447"/>
        <item x="139"/>
        <item m="1" x="511"/>
        <item m="1" x="549"/>
        <item m="1" x="385"/>
        <item m="1" x="457"/>
        <item m="1" x="498"/>
        <item m="1" x="354"/>
        <item x="16"/>
        <item m="1" x="556"/>
        <item m="1" x="482"/>
        <item m="1" x="463"/>
        <item m="1" x="566"/>
        <item m="1" x="486"/>
        <item m="1" x="470"/>
        <item m="1" x="417"/>
        <item m="1" x="363"/>
        <item m="1" x="340"/>
        <item m="1" x="448"/>
        <item m="1" x="495"/>
        <item m="1" x="597"/>
        <item m="1" x="581"/>
        <item x="5"/>
        <item m="1" x="347"/>
        <item m="1" x="560"/>
        <item m="1" x="442"/>
        <item m="1" x="564"/>
        <item m="1" x="368"/>
        <item m="1" x="583"/>
        <item m="1" x="518"/>
        <item x="262"/>
        <item m="1" x="378"/>
        <item m="1" x="337"/>
        <item m="1" x="450"/>
        <item m="1" x="633"/>
        <item m="1" x="329"/>
        <item m="1" x="621"/>
        <item m="1" x="360"/>
        <item m="1" x="379"/>
        <item m="1" x="391"/>
        <item m="1" x="601"/>
        <item m="1" x="634"/>
        <item m="1" x="412"/>
        <item m="1" x="419"/>
        <item m="1" x="444"/>
        <item m="1" x="421"/>
        <item m="1" x="574"/>
        <item m="1" x="466"/>
        <item x="0"/>
        <item m="1" x="567"/>
        <item m="1" x="612"/>
        <item m="1" x="480"/>
        <item m="1" x="503"/>
        <item m="1" x="538"/>
        <item m="1" x="344"/>
        <item m="1" x="415"/>
        <item m="1" x="431"/>
        <item m="1" x="586"/>
        <item m="1" x="627"/>
        <item m="1" x="487"/>
        <item m="1" x="609"/>
        <item m="1" x="534"/>
        <item m="1" x="541"/>
        <item m="1" x="582"/>
        <item m="1" x="404"/>
        <item m="1" x="580"/>
        <item m="1" x="435"/>
        <item m="1" x="584"/>
        <item m="1" x="576"/>
        <item m="1" x="334"/>
        <item m="1" x="499"/>
        <item m="1" x="512"/>
        <item m="1" x="471"/>
        <item m="1" x="577"/>
        <item m="1" x="424"/>
        <item m="1" x="345"/>
        <item m="1" x="425"/>
        <item m="1" x="382"/>
        <item x="1"/>
        <item x="3"/>
        <item x="4"/>
        <item x="6"/>
        <item x="7"/>
        <item x="8"/>
        <item x="9"/>
        <item x="10"/>
        <item x="11"/>
        <item x="12"/>
        <item x="13"/>
        <item x="14"/>
        <item x="15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5"/>
        <item x="36"/>
        <item x="37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t="default"/>
      </items>
    </pivotField>
    <pivotField showAll="0"/>
    <pivotField showAll="0"/>
    <pivotField showAll="0"/>
    <pivotField numFmtId="1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176">
    <i>
      <x v="119"/>
    </i>
    <i>
      <x v="138"/>
    </i>
    <i>
      <x v="165"/>
    </i>
    <i>
      <x v="171"/>
    </i>
    <i>
      <x v="202"/>
    </i>
    <i>
      <x v="213"/>
    </i>
    <i>
      <x v="226"/>
    </i>
    <i>
      <x v="252"/>
    </i>
    <i>
      <x v="259"/>
    </i>
    <i>
      <x v="273"/>
    </i>
    <i>
      <x v="281"/>
    </i>
    <i>
      <x v="299"/>
    </i>
    <i>
      <x v="330"/>
    </i>
    <i>
      <x v="331"/>
    </i>
    <i>
      <x v="332"/>
    </i>
    <i>
      <x v="333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60"/>
    </i>
    <i>
      <x v="361"/>
    </i>
    <i>
      <x v="362"/>
    </i>
    <i>
      <x v="374"/>
    </i>
    <i>
      <x v="375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401"/>
    </i>
    <i>
      <x v="403"/>
    </i>
    <i>
      <x v="404"/>
    </i>
    <i>
      <x v="407"/>
    </i>
    <i>
      <x v="408"/>
    </i>
    <i>
      <x v="409"/>
    </i>
    <i>
      <x v="410"/>
    </i>
    <i>
      <x v="411"/>
    </i>
    <i>
      <x v="417"/>
    </i>
    <i>
      <x v="418"/>
    </i>
    <i>
      <x v="427"/>
    </i>
    <i>
      <x v="429"/>
    </i>
    <i>
      <x v="430"/>
    </i>
    <i>
      <x v="431"/>
    </i>
    <i>
      <x v="435"/>
    </i>
    <i>
      <x v="436"/>
    </i>
    <i>
      <x v="444"/>
    </i>
    <i>
      <x v="445"/>
    </i>
    <i>
      <x v="446"/>
    </i>
    <i>
      <x v="447"/>
    </i>
    <i>
      <x v="455"/>
    </i>
    <i>
      <x v="458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5"/>
    </i>
    <i>
      <x v="476"/>
    </i>
    <i>
      <x v="477"/>
    </i>
    <i>
      <x v="478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5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5"/>
    </i>
    <i>
      <x v="546"/>
    </i>
    <i>
      <x v="547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80"/>
    </i>
    <i>
      <x v="581"/>
    </i>
    <i>
      <x v="583"/>
    </i>
    <i>
      <x v="584"/>
    </i>
    <i>
      <x v="585"/>
    </i>
    <i>
      <x v="586"/>
    </i>
    <i>
      <x v="589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9"/>
    </i>
    <i>
      <x v="620"/>
    </i>
    <i>
      <x v="633"/>
    </i>
    <i>
      <x v="637"/>
    </i>
    <i t="grand">
      <x/>
    </i>
  </rowItems>
  <colItems count="1">
    <i/>
  </colItems>
  <pageFields count="1">
    <pageField fld="5" item="1" hier="-1"/>
  </pageFields>
  <formats count="1">
    <format dxfId="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FFA4E8-9223-4777-8258-6DF77E077E1E}" name="Tabela dinâmica3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H5:H164" firstHeaderRow="1" firstDataRow="1" firstDataCol="1" rowPageCount="1" colPageCount="1"/>
  <pivotFields count="35"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4" showAll="0"/>
    <pivotField numFmtId="3" showAll="0"/>
    <pivotField showAll="0"/>
    <pivotField showAll="0"/>
    <pivotField showAll="0"/>
    <pivotField showAll="0"/>
    <pivotField showAll="0"/>
    <pivotField numFmtId="3" showAll="0"/>
    <pivotField numFmtId="4" showAll="0"/>
    <pivotField showAll="0"/>
    <pivotField showAll="0"/>
    <pivotField showAll="0"/>
    <pivotField axis="axisRow" numFmtId="10" showAll="0">
      <items count="383">
        <item x="254"/>
        <item x="262"/>
        <item x="259"/>
        <item x="287"/>
        <item x="174"/>
        <item x="258"/>
        <item x="284"/>
        <item x="73"/>
        <item x="359"/>
        <item x="361"/>
        <item x="77"/>
        <item x="260"/>
        <item x="263"/>
        <item x="69"/>
        <item x="315"/>
        <item x="368"/>
        <item x="363"/>
        <item x="261"/>
        <item x="338"/>
        <item x="364"/>
        <item x="102"/>
        <item x="301"/>
        <item x="100"/>
        <item x="320"/>
        <item x="76"/>
        <item x="286"/>
        <item x="203"/>
        <item x="298"/>
        <item x="136"/>
        <item x="87"/>
        <item x="318"/>
        <item x="106"/>
        <item x="86"/>
        <item x="141"/>
        <item x="66"/>
        <item x="354"/>
        <item x="35"/>
        <item x="257"/>
        <item x="265"/>
        <item x="140"/>
        <item x="138"/>
        <item x="306"/>
        <item x="280"/>
        <item x="142"/>
        <item x="63"/>
        <item x="344"/>
        <item x="264"/>
        <item x="316"/>
        <item x="321"/>
        <item x="81"/>
        <item x="128"/>
        <item x="300"/>
        <item x="242"/>
        <item x="101"/>
        <item x="51"/>
        <item x="319"/>
        <item x="360"/>
        <item x="32"/>
        <item x="362"/>
        <item x="343"/>
        <item x="308"/>
        <item x="181"/>
        <item x="70"/>
        <item x="82"/>
        <item x="356"/>
        <item x="199"/>
        <item x="240"/>
        <item x="89"/>
        <item x="352"/>
        <item x="281"/>
        <item x="373"/>
        <item x="285"/>
        <item x="379"/>
        <item x="243"/>
        <item x="93"/>
        <item x="297"/>
        <item x="88"/>
        <item x="303"/>
        <item x="296"/>
        <item x="244"/>
        <item x="252"/>
        <item x="143"/>
        <item x="332"/>
        <item x="175"/>
        <item x="241"/>
        <item x="95"/>
        <item x="135"/>
        <item x="370"/>
        <item x="36"/>
        <item x="247"/>
        <item x="130"/>
        <item x="129"/>
        <item x="29"/>
        <item x="293"/>
        <item x="116"/>
        <item x="305"/>
        <item x="15"/>
        <item x="117"/>
        <item x="246"/>
        <item x="83"/>
        <item x="375"/>
        <item x="164"/>
        <item x="245"/>
        <item x="353"/>
        <item x="187"/>
        <item x="202"/>
        <item x="169"/>
        <item x="182"/>
        <item x="188"/>
        <item x="21"/>
        <item x="8"/>
        <item x="0"/>
        <item x="131"/>
        <item x="248"/>
        <item x="132"/>
        <item x="148"/>
        <item x="366"/>
        <item x="378"/>
        <item x="253"/>
        <item x="147"/>
        <item x="341"/>
        <item x="167"/>
        <item x="160"/>
        <item x="166"/>
        <item x="159"/>
        <item x="288"/>
        <item x="52"/>
        <item x="312"/>
        <item x="16"/>
        <item x="249"/>
        <item x="177"/>
        <item x="291"/>
        <item x="165"/>
        <item x="345"/>
        <item x="14"/>
        <item x="134"/>
        <item x="198"/>
        <item x="113"/>
        <item x="18"/>
        <item x="19"/>
        <item x="310"/>
        <item x="62"/>
        <item x="4"/>
        <item x="103"/>
        <item x="12"/>
        <item x="168"/>
        <item x="163"/>
        <item x="172"/>
        <item x="146"/>
        <item x="144"/>
        <item x="94"/>
        <item x="72"/>
        <item x="23"/>
        <item x="337"/>
        <item x="114"/>
        <item x="47"/>
        <item x="22"/>
        <item x="24"/>
        <item x="65"/>
        <item x="191"/>
        <item x="20"/>
        <item x="99"/>
        <item x="61"/>
        <item x="377"/>
        <item x="237"/>
        <item x="279"/>
        <item x="91"/>
        <item x="56"/>
        <item x="180"/>
        <item x="170"/>
        <item x="173"/>
        <item x="271"/>
        <item x="348"/>
        <item x="107"/>
        <item x="64"/>
        <item x="90"/>
        <item x="292"/>
        <item x="346"/>
        <item x="26"/>
        <item x="85"/>
        <item x="309"/>
        <item x="311"/>
        <item x="374"/>
        <item x="376"/>
        <item x="220"/>
        <item x="5"/>
        <item x="272"/>
        <item x="365"/>
        <item x="251"/>
        <item x="1"/>
        <item x="255"/>
        <item x="367"/>
        <item x="112"/>
        <item x="57"/>
        <item x="201"/>
        <item x="109"/>
        <item x="137"/>
        <item x="223"/>
        <item x="371"/>
        <item x="326"/>
        <item x="80"/>
        <item x="7"/>
        <item x="290"/>
        <item x="219"/>
        <item x="313"/>
        <item x="227"/>
        <item x="78"/>
        <item x="55"/>
        <item x="10"/>
        <item x="342"/>
        <item x="13"/>
        <item x="328"/>
        <item x="108"/>
        <item x="327"/>
        <item x="133"/>
        <item x="179"/>
        <item x="325"/>
        <item x="229"/>
        <item x="9"/>
        <item x="355"/>
        <item x="304"/>
        <item x="74"/>
        <item x="17"/>
        <item x="323"/>
        <item x="299"/>
        <item x="218"/>
        <item x="6"/>
        <item x="104"/>
        <item x="282"/>
        <item x="250"/>
        <item x="324"/>
        <item x="196"/>
        <item x="331"/>
        <item x="295"/>
        <item x="351"/>
        <item x="105"/>
        <item x="372"/>
        <item x="111"/>
        <item x="330"/>
        <item x="3"/>
        <item x="329"/>
        <item x="162"/>
        <item x="41"/>
        <item x="200"/>
        <item x="278"/>
        <item x="269"/>
        <item x="124"/>
        <item x="307"/>
        <item x="45"/>
        <item x="208"/>
        <item x="42"/>
        <item x="233"/>
        <item x="192"/>
        <item x="221"/>
        <item x="314"/>
        <item x="276"/>
        <item x="30"/>
        <item x="369"/>
        <item x="189"/>
        <item x="120"/>
        <item x="210"/>
        <item x="71"/>
        <item x="110"/>
        <item x="96"/>
        <item x="235"/>
        <item x="230"/>
        <item x="115"/>
        <item x="27"/>
        <item x="184"/>
        <item x="190"/>
        <item x="46"/>
        <item x="317"/>
        <item x="194"/>
        <item x="31"/>
        <item x="236"/>
        <item x="273"/>
        <item x="40"/>
        <item x="207"/>
        <item x="2"/>
        <item x="205"/>
        <item x="28"/>
        <item x="37"/>
        <item x="204"/>
        <item x="380"/>
        <item x="11"/>
        <item x="176"/>
        <item x="339"/>
        <item x="152"/>
        <item x="44"/>
        <item x="59"/>
        <item x="161"/>
        <item x="234"/>
        <item x="358"/>
        <item x="266"/>
        <item x="211"/>
        <item x="239"/>
        <item x="277"/>
        <item x="209"/>
        <item x="231"/>
        <item x="43"/>
        <item x="216"/>
        <item x="153"/>
        <item x="149"/>
        <item x="67"/>
        <item x="333"/>
        <item x="274"/>
        <item x="238"/>
        <item x="350"/>
        <item x="206"/>
        <item x="322"/>
        <item x="58"/>
        <item x="335"/>
        <item x="357"/>
        <item x="267"/>
        <item x="145"/>
        <item x="126"/>
        <item x="349"/>
        <item x="289"/>
        <item x="302"/>
        <item x="340"/>
        <item x="268"/>
        <item x="197"/>
        <item x="334"/>
        <item x="228"/>
        <item x="212"/>
        <item x="225"/>
        <item x="25"/>
        <item x="171"/>
        <item x="232"/>
        <item x="381"/>
        <item x="122"/>
        <item x="54"/>
        <item x="213"/>
        <item x="270"/>
        <item x="193"/>
        <item x="125"/>
        <item x="121"/>
        <item x="127"/>
        <item x="79"/>
        <item x="185"/>
        <item x="60"/>
        <item x="75"/>
        <item x="178"/>
        <item x="38"/>
        <item x="53"/>
        <item x="186"/>
        <item x="217"/>
        <item x="222"/>
        <item x="118"/>
        <item x="283"/>
        <item x="195"/>
        <item x="347"/>
        <item x="336"/>
        <item x="151"/>
        <item x="98"/>
        <item x="183"/>
        <item x="275"/>
        <item x="92"/>
        <item x="84"/>
        <item x="50"/>
        <item x="157"/>
        <item x="34"/>
        <item x="119"/>
        <item x="48"/>
        <item x="123"/>
        <item x="150"/>
        <item x="294"/>
        <item x="256"/>
        <item x="33"/>
        <item x="97"/>
        <item x="49"/>
        <item x="155"/>
        <item x="156"/>
        <item x="139"/>
        <item x="39"/>
        <item x="154"/>
        <item x="214"/>
        <item x="158"/>
        <item x="68"/>
        <item x="215"/>
        <item x="224"/>
        <item x="22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23"/>
  </rowFields>
  <rowItems count="159">
    <i>
      <x v="3"/>
    </i>
    <i>
      <x v="6"/>
    </i>
    <i>
      <x v="7"/>
    </i>
    <i>
      <x v="10"/>
    </i>
    <i>
      <x v="13"/>
    </i>
    <i>
      <x v="15"/>
    </i>
    <i>
      <x v="21"/>
    </i>
    <i>
      <x v="22"/>
    </i>
    <i>
      <x v="24"/>
    </i>
    <i>
      <x v="25"/>
    </i>
    <i>
      <x v="34"/>
    </i>
    <i>
      <x v="42"/>
    </i>
    <i>
      <x v="44"/>
    </i>
    <i>
      <x v="45"/>
    </i>
    <i>
      <x v="59"/>
    </i>
    <i>
      <x v="61"/>
    </i>
    <i>
      <x v="64"/>
    </i>
    <i>
      <x v="69"/>
    </i>
    <i>
      <x v="71"/>
    </i>
    <i>
      <x v="78"/>
    </i>
    <i>
      <x v="81"/>
    </i>
    <i>
      <x v="86"/>
    </i>
    <i>
      <x v="106"/>
    </i>
    <i>
      <x v="107"/>
    </i>
    <i>
      <x v="115"/>
    </i>
    <i>
      <x v="116"/>
    </i>
    <i>
      <x v="119"/>
    </i>
    <i>
      <x v="120"/>
    </i>
    <i>
      <x v="125"/>
    </i>
    <i>
      <x v="133"/>
    </i>
    <i>
      <x v="135"/>
    </i>
    <i>
      <x v="137"/>
    </i>
    <i>
      <x v="140"/>
    </i>
    <i>
      <x v="141"/>
    </i>
    <i>
      <x v="143"/>
    </i>
    <i>
      <x v="148"/>
    </i>
    <i>
      <x v="149"/>
    </i>
    <i>
      <x v="154"/>
    </i>
    <i>
      <x v="158"/>
    </i>
    <i>
      <x v="162"/>
    </i>
    <i>
      <x v="165"/>
    </i>
    <i>
      <x v="168"/>
    </i>
    <i>
      <x v="170"/>
    </i>
    <i>
      <x v="171"/>
    </i>
    <i>
      <x v="172"/>
    </i>
    <i>
      <x v="174"/>
    </i>
    <i>
      <x v="177"/>
    </i>
    <i>
      <x v="180"/>
    </i>
    <i>
      <x v="181"/>
    </i>
    <i>
      <x v="184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7"/>
    </i>
    <i>
      <x v="200"/>
    </i>
    <i>
      <x v="203"/>
    </i>
    <i>
      <x v="206"/>
    </i>
    <i>
      <x v="209"/>
    </i>
    <i>
      <x v="214"/>
    </i>
    <i>
      <x v="215"/>
    </i>
    <i>
      <x v="218"/>
    </i>
    <i>
      <x v="219"/>
    </i>
    <i>
      <x v="221"/>
    </i>
    <i>
      <x v="223"/>
    </i>
    <i>
      <x v="225"/>
    </i>
    <i>
      <x v="228"/>
    </i>
    <i>
      <x v="229"/>
    </i>
    <i>
      <x v="234"/>
    </i>
    <i>
      <x v="237"/>
    </i>
    <i>
      <x v="241"/>
    </i>
    <i>
      <x v="244"/>
    </i>
    <i>
      <x v="245"/>
    </i>
    <i>
      <x v="246"/>
    </i>
    <i>
      <x v="249"/>
    </i>
    <i>
      <x v="253"/>
    </i>
    <i>
      <x v="255"/>
    </i>
    <i>
      <x v="257"/>
    </i>
    <i>
      <x v="259"/>
    </i>
    <i>
      <x v="260"/>
    </i>
    <i>
      <x v="266"/>
    </i>
    <i>
      <x v="267"/>
    </i>
    <i>
      <x v="268"/>
    </i>
    <i>
      <x v="275"/>
    </i>
    <i>
      <x v="279"/>
    </i>
    <i>
      <x v="280"/>
    </i>
    <i>
      <x v="282"/>
    </i>
    <i>
      <x v="283"/>
    </i>
    <i>
      <x v="285"/>
    </i>
    <i>
      <x v="286"/>
    </i>
    <i>
      <x v="287"/>
    </i>
    <i>
      <x v="289"/>
    </i>
    <i>
      <x v="290"/>
    </i>
    <i>
      <x v="292"/>
    </i>
    <i>
      <x v="293"/>
    </i>
    <i>
      <x v="294"/>
    </i>
    <i>
      <x v="295"/>
    </i>
    <i>
      <x v="296"/>
    </i>
    <i>
      <x v="297"/>
    </i>
    <i>
      <x v="300"/>
    </i>
    <i>
      <x v="301"/>
    </i>
    <i>
      <x v="303"/>
    </i>
    <i>
      <x v="305"/>
    </i>
    <i>
      <x v="306"/>
    </i>
    <i>
      <x v="307"/>
    </i>
    <i>
      <x v="309"/>
    </i>
    <i>
      <x v="311"/>
    </i>
    <i>
      <x v="312"/>
    </i>
    <i>
      <x v="313"/>
    </i>
    <i>
      <x v="314"/>
    </i>
    <i>
      <x v="316"/>
    </i>
    <i>
      <x v="318"/>
    </i>
    <i>
      <x v="319"/>
    </i>
    <i>
      <x v="320"/>
    </i>
    <i>
      <x v="322"/>
    </i>
    <i>
      <x v="324"/>
    </i>
    <i>
      <x v="325"/>
    </i>
    <i>
      <x v="329"/>
    </i>
    <i>
      <x v="330"/>
    </i>
    <i>
      <x v="332"/>
    </i>
    <i>
      <x v="333"/>
    </i>
    <i>
      <x v="335"/>
    </i>
    <i>
      <x v="336"/>
    </i>
    <i>
      <x v="337"/>
    </i>
    <i>
      <x v="338"/>
    </i>
    <i>
      <x v="340"/>
    </i>
    <i>
      <x v="341"/>
    </i>
    <i>
      <x v="342"/>
    </i>
    <i>
      <x v="346"/>
    </i>
    <i>
      <x v="347"/>
    </i>
    <i>
      <x v="348"/>
    </i>
    <i>
      <x v="349"/>
    </i>
    <i>
      <x v="351"/>
    </i>
    <i>
      <x v="352"/>
    </i>
    <i>
      <x v="354"/>
    </i>
    <i>
      <x v="355"/>
    </i>
    <i>
      <x v="356"/>
    </i>
    <i>
      <x v="359"/>
    </i>
    <i>
      <x v="360"/>
    </i>
    <i>
      <x v="362"/>
    </i>
    <i>
      <x v="364"/>
    </i>
    <i>
      <x v="367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 t="grand">
      <x/>
    </i>
  </rowItems>
  <colItems count="1">
    <i/>
  </colItems>
  <pageFields count="1">
    <pageField fld="5" item="0" hier="-1"/>
  </page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432971-8840-463E-B871-82851E7EAC1E}" name="Tabela dinâmica7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K5:K230" firstHeaderRow="1" firstDataRow="1" firstDataCol="1" rowPageCount="1" colPageCount="1"/>
  <pivotFields count="35"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4" showAll="0"/>
    <pivotField numFmtId="3" showAll="0"/>
    <pivotField showAll="0"/>
    <pivotField showAll="0"/>
    <pivotField showAll="0"/>
    <pivotField showAll="0"/>
    <pivotField showAll="0"/>
    <pivotField numFmtId="3" showAll="0"/>
    <pivotField numFmtId="4" showAll="0"/>
    <pivotField showAll="0"/>
    <pivotField showAll="0"/>
    <pivotField showAll="0"/>
    <pivotField axis="axisRow" numFmtId="10" showAll="0">
      <items count="383">
        <item x="254"/>
        <item x="262"/>
        <item x="259"/>
        <item x="287"/>
        <item x="174"/>
        <item x="258"/>
        <item x="284"/>
        <item x="73"/>
        <item x="359"/>
        <item x="361"/>
        <item x="77"/>
        <item x="260"/>
        <item x="263"/>
        <item x="69"/>
        <item x="315"/>
        <item x="368"/>
        <item x="363"/>
        <item x="261"/>
        <item x="338"/>
        <item x="364"/>
        <item x="102"/>
        <item x="301"/>
        <item x="100"/>
        <item x="320"/>
        <item x="76"/>
        <item x="286"/>
        <item x="203"/>
        <item x="298"/>
        <item x="136"/>
        <item x="87"/>
        <item x="318"/>
        <item x="106"/>
        <item x="86"/>
        <item x="141"/>
        <item x="66"/>
        <item x="354"/>
        <item x="35"/>
        <item x="257"/>
        <item x="265"/>
        <item x="140"/>
        <item x="138"/>
        <item x="306"/>
        <item x="280"/>
        <item x="142"/>
        <item x="63"/>
        <item x="344"/>
        <item x="264"/>
        <item x="316"/>
        <item x="321"/>
        <item x="81"/>
        <item x="128"/>
        <item x="300"/>
        <item x="242"/>
        <item x="101"/>
        <item x="51"/>
        <item x="319"/>
        <item x="360"/>
        <item x="32"/>
        <item x="362"/>
        <item x="343"/>
        <item x="308"/>
        <item x="181"/>
        <item x="70"/>
        <item x="82"/>
        <item x="356"/>
        <item x="199"/>
        <item x="240"/>
        <item x="89"/>
        <item x="352"/>
        <item x="281"/>
        <item x="373"/>
        <item x="285"/>
        <item x="379"/>
        <item x="243"/>
        <item x="93"/>
        <item x="297"/>
        <item x="88"/>
        <item x="303"/>
        <item x="296"/>
        <item x="244"/>
        <item x="252"/>
        <item x="143"/>
        <item x="332"/>
        <item x="175"/>
        <item x="241"/>
        <item x="95"/>
        <item x="135"/>
        <item x="370"/>
        <item x="36"/>
        <item x="247"/>
        <item x="130"/>
        <item x="129"/>
        <item x="29"/>
        <item x="293"/>
        <item x="116"/>
        <item x="305"/>
        <item x="15"/>
        <item x="117"/>
        <item x="246"/>
        <item x="83"/>
        <item x="375"/>
        <item x="164"/>
        <item x="245"/>
        <item x="353"/>
        <item x="187"/>
        <item x="202"/>
        <item x="169"/>
        <item x="182"/>
        <item x="188"/>
        <item x="21"/>
        <item x="8"/>
        <item x="0"/>
        <item x="131"/>
        <item x="248"/>
        <item x="132"/>
        <item x="148"/>
        <item x="366"/>
        <item x="378"/>
        <item x="253"/>
        <item x="147"/>
        <item x="341"/>
        <item x="167"/>
        <item x="160"/>
        <item x="166"/>
        <item x="159"/>
        <item x="288"/>
        <item x="52"/>
        <item x="312"/>
        <item x="16"/>
        <item x="249"/>
        <item x="177"/>
        <item x="291"/>
        <item x="165"/>
        <item x="345"/>
        <item x="14"/>
        <item x="134"/>
        <item x="198"/>
        <item x="113"/>
        <item x="18"/>
        <item x="19"/>
        <item x="310"/>
        <item x="62"/>
        <item x="4"/>
        <item x="103"/>
        <item x="12"/>
        <item x="168"/>
        <item x="163"/>
        <item x="172"/>
        <item x="146"/>
        <item x="144"/>
        <item x="94"/>
        <item x="72"/>
        <item x="23"/>
        <item x="337"/>
        <item x="114"/>
        <item x="47"/>
        <item x="22"/>
        <item x="24"/>
        <item x="65"/>
        <item x="191"/>
        <item x="20"/>
        <item x="99"/>
        <item x="61"/>
        <item x="377"/>
        <item x="237"/>
        <item x="279"/>
        <item x="91"/>
        <item x="56"/>
        <item x="180"/>
        <item x="170"/>
        <item x="173"/>
        <item x="271"/>
        <item x="348"/>
        <item x="107"/>
        <item x="64"/>
        <item x="90"/>
        <item x="292"/>
        <item x="346"/>
        <item x="26"/>
        <item x="85"/>
        <item x="309"/>
        <item x="311"/>
        <item x="374"/>
        <item x="376"/>
        <item x="220"/>
        <item x="5"/>
        <item x="272"/>
        <item x="365"/>
        <item x="251"/>
        <item x="1"/>
        <item x="255"/>
        <item x="367"/>
        <item x="112"/>
        <item x="57"/>
        <item x="201"/>
        <item x="109"/>
        <item x="137"/>
        <item x="223"/>
        <item x="371"/>
        <item x="326"/>
        <item x="80"/>
        <item x="7"/>
        <item x="290"/>
        <item x="219"/>
        <item x="313"/>
        <item x="227"/>
        <item x="78"/>
        <item x="55"/>
        <item x="10"/>
        <item x="342"/>
        <item x="13"/>
        <item x="328"/>
        <item x="108"/>
        <item x="327"/>
        <item x="133"/>
        <item x="179"/>
        <item x="325"/>
        <item x="229"/>
        <item x="9"/>
        <item x="355"/>
        <item x="304"/>
        <item x="74"/>
        <item x="17"/>
        <item x="323"/>
        <item x="299"/>
        <item x="218"/>
        <item x="6"/>
        <item x="104"/>
        <item x="282"/>
        <item x="250"/>
        <item x="324"/>
        <item x="196"/>
        <item x="331"/>
        <item x="295"/>
        <item x="351"/>
        <item x="105"/>
        <item x="372"/>
        <item x="111"/>
        <item x="330"/>
        <item x="3"/>
        <item x="329"/>
        <item x="162"/>
        <item x="41"/>
        <item x="200"/>
        <item x="278"/>
        <item x="269"/>
        <item x="124"/>
        <item x="307"/>
        <item x="45"/>
        <item x="208"/>
        <item x="42"/>
        <item x="233"/>
        <item x="192"/>
        <item x="221"/>
        <item x="314"/>
        <item x="276"/>
        <item x="30"/>
        <item x="369"/>
        <item x="189"/>
        <item x="120"/>
        <item x="210"/>
        <item x="71"/>
        <item x="110"/>
        <item x="96"/>
        <item x="235"/>
        <item x="230"/>
        <item x="115"/>
        <item x="27"/>
        <item x="184"/>
        <item x="190"/>
        <item x="46"/>
        <item x="317"/>
        <item x="194"/>
        <item x="31"/>
        <item x="236"/>
        <item x="273"/>
        <item x="40"/>
        <item x="207"/>
        <item x="2"/>
        <item x="205"/>
        <item x="28"/>
        <item x="37"/>
        <item x="204"/>
        <item x="380"/>
        <item x="11"/>
        <item x="176"/>
        <item x="339"/>
        <item x="152"/>
        <item x="44"/>
        <item x="59"/>
        <item x="161"/>
        <item x="234"/>
        <item x="358"/>
        <item x="266"/>
        <item x="211"/>
        <item x="239"/>
        <item x="277"/>
        <item x="209"/>
        <item x="231"/>
        <item x="43"/>
        <item x="216"/>
        <item x="153"/>
        <item x="149"/>
        <item x="67"/>
        <item x="333"/>
        <item x="274"/>
        <item x="238"/>
        <item x="350"/>
        <item x="206"/>
        <item x="322"/>
        <item x="58"/>
        <item x="335"/>
        <item x="357"/>
        <item x="267"/>
        <item x="145"/>
        <item x="126"/>
        <item x="349"/>
        <item x="289"/>
        <item x="302"/>
        <item x="340"/>
        <item x="268"/>
        <item x="197"/>
        <item x="334"/>
        <item x="228"/>
        <item x="212"/>
        <item x="225"/>
        <item x="25"/>
        <item x="171"/>
        <item x="232"/>
        <item x="381"/>
        <item x="122"/>
        <item x="54"/>
        <item x="213"/>
        <item x="270"/>
        <item x="193"/>
        <item x="125"/>
        <item x="121"/>
        <item x="127"/>
        <item x="79"/>
        <item x="185"/>
        <item x="60"/>
        <item x="75"/>
        <item x="178"/>
        <item x="38"/>
        <item x="53"/>
        <item x="186"/>
        <item x="217"/>
        <item x="222"/>
        <item x="118"/>
        <item x="283"/>
        <item x="195"/>
        <item x="347"/>
        <item x="336"/>
        <item x="151"/>
        <item x="98"/>
        <item x="183"/>
        <item x="275"/>
        <item x="92"/>
        <item x="84"/>
        <item x="50"/>
        <item x="157"/>
        <item x="34"/>
        <item x="119"/>
        <item x="48"/>
        <item x="123"/>
        <item x="150"/>
        <item x="294"/>
        <item x="256"/>
        <item x="33"/>
        <item x="97"/>
        <item x="49"/>
        <item x="155"/>
        <item x="156"/>
        <item x="139"/>
        <item x="39"/>
        <item x="154"/>
        <item x="214"/>
        <item x="158"/>
        <item x="68"/>
        <item x="215"/>
        <item x="224"/>
        <item x="22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23"/>
  </rowFields>
  <rowItems count="225">
    <i>
      <x/>
    </i>
    <i>
      <x v="1"/>
    </i>
    <i>
      <x v="2"/>
    </i>
    <i>
      <x v="4"/>
    </i>
    <i>
      <x v="5"/>
    </i>
    <i>
      <x v="8"/>
    </i>
    <i>
      <x v="9"/>
    </i>
    <i>
      <x v="11"/>
    </i>
    <i>
      <x v="12"/>
    </i>
    <i>
      <x v="14"/>
    </i>
    <i>
      <x v="16"/>
    </i>
    <i>
      <x v="17"/>
    </i>
    <i>
      <x v="18"/>
    </i>
    <i>
      <x v="19"/>
    </i>
    <i>
      <x v="20"/>
    </i>
    <i>
      <x v="23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5"/>
    </i>
    <i>
      <x v="36"/>
    </i>
    <i>
      <x v="37"/>
    </i>
    <i>
      <x v="38"/>
    </i>
    <i>
      <x v="39"/>
    </i>
    <i>
      <x v="40"/>
    </i>
    <i>
      <x v="41"/>
    </i>
    <i>
      <x v="43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60"/>
    </i>
    <i>
      <x v="62"/>
    </i>
    <i>
      <x v="63"/>
    </i>
    <i>
      <x v="65"/>
    </i>
    <i>
      <x v="66"/>
    </i>
    <i>
      <x v="67"/>
    </i>
    <i>
      <x v="68"/>
    </i>
    <i>
      <x v="70"/>
    </i>
    <i>
      <x v="72"/>
    </i>
    <i>
      <x v="73"/>
    </i>
    <i>
      <x v="74"/>
    </i>
    <i>
      <x v="75"/>
    </i>
    <i>
      <x v="76"/>
    </i>
    <i>
      <x v="77"/>
    </i>
    <i>
      <x v="79"/>
    </i>
    <i>
      <x v="80"/>
    </i>
    <i>
      <x v="82"/>
    </i>
    <i>
      <x v="83"/>
    </i>
    <i>
      <x v="84"/>
    </i>
    <i>
      <x v="85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7"/>
    </i>
    <i>
      <x v="118"/>
    </i>
    <i>
      <x v="121"/>
    </i>
    <i>
      <x v="122"/>
    </i>
    <i>
      <x v="123"/>
    </i>
    <i>
      <x v="124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4"/>
    </i>
    <i>
      <x v="136"/>
    </i>
    <i>
      <x v="138"/>
    </i>
    <i>
      <x v="139"/>
    </i>
    <i>
      <x v="142"/>
    </i>
    <i>
      <x v="144"/>
    </i>
    <i>
      <x v="145"/>
    </i>
    <i>
      <x v="146"/>
    </i>
    <i>
      <x v="147"/>
    </i>
    <i>
      <x v="150"/>
    </i>
    <i>
      <x v="151"/>
    </i>
    <i>
      <x v="152"/>
    </i>
    <i>
      <x v="153"/>
    </i>
    <i>
      <x v="155"/>
    </i>
    <i>
      <x v="156"/>
    </i>
    <i>
      <x v="157"/>
    </i>
    <i>
      <x v="159"/>
    </i>
    <i>
      <x v="160"/>
    </i>
    <i>
      <x v="161"/>
    </i>
    <i>
      <x v="163"/>
    </i>
    <i>
      <x v="164"/>
    </i>
    <i>
      <x v="166"/>
    </i>
    <i>
      <x v="167"/>
    </i>
    <i>
      <x v="169"/>
    </i>
    <i>
      <x v="173"/>
    </i>
    <i>
      <x v="175"/>
    </i>
    <i>
      <x v="176"/>
    </i>
    <i>
      <x v="178"/>
    </i>
    <i>
      <x v="179"/>
    </i>
    <i>
      <x v="182"/>
    </i>
    <i>
      <x v="183"/>
    </i>
    <i>
      <x v="185"/>
    </i>
    <i>
      <x v="193"/>
    </i>
    <i>
      <x v="194"/>
    </i>
    <i>
      <x v="195"/>
    </i>
    <i>
      <x v="196"/>
    </i>
    <i>
      <x v="198"/>
    </i>
    <i>
      <x v="199"/>
    </i>
    <i>
      <x v="201"/>
    </i>
    <i>
      <x v="202"/>
    </i>
    <i>
      <x v="204"/>
    </i>
    <i>
      <x v="205"/>
    </i>
    <i>
      <x v="207"/>
    </i>
    <i>
      <x v="208"/>
    </i>
    <i>
      <x v="210"/>
    </i>
    <i>
      <x v="211"/>
    </i>
    <i>
      <x v="212"/>
    </i>
    <i>
      <x v="213"/>
    </i>
    <i>
      <x v="216"/>
    </i>
    <i>
      <x v="217"/>
    </i>
    <i>
      <x v="220"/>
    </i>
    <i>
      <x v="222"/>
    </i>
    <i>
      <x v="224"/>
    </i>
    <i>
      <x v="226"/>
    </i>
    <i>
      <x v="227"/>
    </i>
    <i>
      <x v="230"/>
    </i>
    <i>
      <x v="231"/>
    </i>
    <i>
      <x v="232"/>
    </i>
    <i>
      <x v="233"/>
    </i>
    <i>
      <x v="235"/>
    </i>
    <i>
      <x v="236"/>
    </i>
    <i>
      <x v="238"/>
    </i>
    <i>
      <x v="239"/>
    </i>
    <i>
      <x v="240"/>
    </i>
    <i>
      <x v="242"/>
    </i>
    <i>
      <x v="243"/>
    </i>
    <i>
      <x v="247"/>
    </i>
    <i>
      <x v="248"/>
    </i>
    <i>
      <x v="250"/>
    </i>
    <i>
      <x v="251"/>
    </i>
    <i>
      <x v="252"/>
    </i>
    <i>
      <x v="254"/>
    </i>
    <i>
      <x v="256"/>
    </i>
    <i>
      <x v="258"/>
    </i>
    <i>
      <x v="261"/>
    </i>
    <i>
      <x v="262"/>
    </i>
    <i>
      <x v="263"/>
    </i>
    <i>
      <x v="264"/>
    </i>
    <i>
      <x v="265"/>
    </i>
    <i>
      <x v="269"/>
    </i>
    <i>
      <x v="270"/>
    </i>
    <i>
      <x v="271"/>
    </i>
    <i>
      <x v="272"/>
    </i>
    <i>
      <x v="273"/>
    </i>
    <i>
      <x v="274"/>
    </i>
    <i>
      <x v="276"/>
    </i>
    <i>
      <x v="277"/>
    </i>
    <i>
      <x v="278"/>
    </i>
    <i>
      <x v="281"/>
    </i>
    <i>
      <x v="284"/>
    </i>
    <i>
      <x v="288"/>
    </i>
    <i>
      <x v="291"/>
    </i>
    <i>
      <x v="298"/>
    </i>
    <i>
      <x v="299"/>
    </i>
    <i>
      <x v="302"/>
    </i>
    <i>
      <x v="304"/>
    </i>
    <i>
      <x v="308"/>
    </i>
    <i>
      <x v="310"/>
    </i>
    <i>
      <x v="315"/>
    </i>
    <i>
      <x v="317"/>
    </i>
    <i>
      <x v="321"/>
    </i>
    <i>
      <x v="323"/>
    </i>
    <i>
      <x v="326"/>
    </i>
    <i>
      <x v="327"/>
    </i>
    <i>
      <x v="328"/>
    </i>
    <i>
      <x v="331"/>
    </i>
    <i>
      <x v="334"/>
    </i>
    <i>
      <x v="339"/>
    </i>
    <i>
      <x v="343"/>
    </i>
    <i>
      <x v="344"/>
    </i>
    <i>
      <x v="345"/>
    </i>
    <i>
      <x v="350"/>
    </i>
    <i>
      <x v="353"/>
    </i>
    <i>
      <x v="357"/>
    </i>
    <i>
      <x v="358"/>
    </i>
    <i>
      <x v="361"/>
    </i>
    <i>
      <x v="363"/>
    </i>
    <i>
      <x v="365"/>
    </i>
    <i>
      <x v="366"/>
    </i>
    <i>
      <x v="368"/>
    </i>
    <i t="grand">
      <x/>
    </i>
  </rowItems>
  <colItems count="1">
    <i/>
  </colItems>
  <pageFields count="1">
    <pageField fld="5" item="1" hier="-1"/>
  </page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201398-76A9-474A-8DAF-918E886D1C7D}" name="Tabela dinâmica9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N5:N388" firstHeaderRow="1" firstDataRow="1" firstDataCol="1" rowPageCount="1" colPageCount="1"/>
  <pivotFields count="35"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4" showAll="0"/>
    <pivotField numFmtId="3" showAll="0"/>
    <pivotField showAll="0"/>
    <pivotField showAll="0"/>
    <pivotField showAll="0"/>
    <pivotField showAll="0"/>
    <pivotField showAll="0"/>
    <pivotField numFmtId="3" showAll="0"/>
    <pivotField numFmtId="4" showAll="0"/>
    <pivotField showAll="0"/>
    <pivotField showAll="0"/>
    <pivotField showAll="0"/>
    <pivotField axis="axisRow" numFmtId="10" showAll="0">
      <items count="383">
        <item x="254"/>
        <item x="262"/>
        <item x="259"/>
        <item x="287"/>
        <item x="174"/>
        <item x="258"/>
        <item x="284"/>
        <item x="73"/>
        <item x="359"/>
        <item x="361"/>
        <item x="77"/>
        <item x="260"/>
        <item x="263"/>
        <item x="69"/>
        <item x="315"/>
        <item x="368"/>
        <item x="363"/>
        <item x="261"/>
        <item x="338"/>
        <item x="364"/>
        <item x="102"/>
        <item x="301"/>
        <item x="100"/>
        <item x="320"/>
        <item x="76"/>
        <item x="286"/>
        <item x="203"/>
        <item x="298"/>
        <item x="136"/>
        <item x="87"/>
        <item x="318"/>
        <item x="106"/>
        <item x="86"/>
        <item x="141"/>
        <item x="66"/>
        <item x="354"/>
        <item x="35"/>
        <item x="257"/>
        <item x="265"/>
        <item x="140"/>
        <item x="138"/>
        <item x="306"/>
        <item x="280"/>
        <item x="142"/>
        <item x="63"/>
        <item x="344"/>
        <item x="264"/>
        <item x="316"/>
        <item x="321"/>
        <item x="81"/>
        <item x="128"/>
        <item x="300"/>
        <item x="242"/>
        <item x="101"/>
        <item x="51"/>
        <item x="319"/>
        <item x="360"/>
        <item x="32"/>
        <item x="362"/>
        <item x="343"/>
        <item x="308"/>
        <item x="181"/>
        <item x="70"/>
        <item x="82"/>
        <item x="356"/>
        <item x="199"/>
        <item x="240"/>
        <item x="89"/>
        <item x="352"/>
        <item x="281"/>
        <item x="373"/>
        <item x="285"/>
        <item x="379"/>
        <item x="243"/>
        <item x="93"/>
        <item x="297"/>
        <item x="88"/>
        <item x="303"/>
        <item x="296"/>
        <item x="244"/>
        <item x="252"/>
        <item x="143"/>
        <item x="332"/>
        <item x="175"/>
        <item x="241"/>
        <item x="95"/>
        <item x="135"/>
        <item x="370"/>
        <item x="36"/>
        <item x="247"/>
        <item x="130"/>
        <item x="129"/>
        <item x="29"/>
        <item x="293"/>
        <item x="116"/>
        <item x="305"/>
        <item x="15"/>
        <item x="117"/>
        <item x="246"/>
        <item x="83"/>
        <item x="375"/>
        <item x="164"/>
        <item x="245"/>
        <item x="353"/>
        <item x="187"/>
        <item x="202"/>
        <item x="169"/>
        <item x="182"/>
        <item x="188"/>
        <item x="21"/>
        <item x="8"/>
        <item x="0"/>
        <item x="131"/>
        <item x="248"/>
        <item x="132"/>
        <item x="148"/>
        <item x="366"/>
        <item x="378"/>
        <item x="253"/>
        <item x="147"/>
        <item x="341"/>
        <item x="167"/>
        <item x="160"/>
        <item x="166"/>
        <item x="159"/>
        <item x="288"/>
        <item x="52"/>
        <item x="312"/>
        <item x="16"/>
        <item x="249"/>
        <item x="177"/>
        <item x="291"/>
        <item x="165"/>
        <item x="345"/>
        <item x="14"/>
        <item x="134"/>
        <item x="198"/>
        <item x="113"/>
        <item x="18"/>
        <item x="19"/>
        <item x="310"/>
        <item x="62"/>
        <item x="4"/>
        <item x="103"/>
        <item x="12"/>
        <item x="168"/>
        <item x="163"/>
        <item x="172"/>
        <item x="146"/>
        <item x="144"/>
        <item x="94"/>
        <item x="72"/>
        <item x="23"/>
        <item x="337"/>
        <item x="114"/>
        <item x="47"/>
        <item x="22"/>
        <item x="24"/>
        <item x="65"/>
        <item x="191"/>
        <item x="20"/>
        <item x="99"/>
        <item x="61"/>
        <item x="377"/>
        <item x="237"/>
        <item x="279"/>
        <item x="91"/>
        <item x="56"/>
        <item x="180"/>
        <item x="170"/>
        <item x="173"/>
        <item x="271"/>
        <item x="348"/>
        <item x="107"/>
        <item x="64"/>
        <item x="90"/>
        <item x="292"/>
        <item x="346"/>
        <item x="26"/>
        <item x="85"/>
        <item x="309"/>
        <item x="311"/>
        <item x="374"/>
        <item x="376"/>
        <item x="220"/>
        <item x="5"/>
        <item x="272"/>
        <item x="365"/>
        <item x="251"/>
        <item x="1"/>
        <item x="255"/>
        <item x="367"/>
        <item x="112"/>
        <item x="57"/>
        <item x="201"/>
        <item x="109"/>
        <item x="137"/>
        <item x="223"/>
        <item x="371"/>
        <item x="326"/>
        <item x="80"/>
        <item x="7"/>
        <item x="290"/>
        <item x="219"/>
        <item x="313"/>
        <item x="227"/>
        <item x="78"/>
        <item x="55"/>
        <item x="10"/>
        <item x="342"/>
        <item x="13"/>
        <item x="328"/>
        <item x="108"/>
        <item x="327"/>
        <item x="133"/>
        <item x="179"/>
        <item x="325"/>
        <item x="229"/>
        <item x="9"/>
        <item x="355"/>
        <item x="304"/>
        <item x="74"/>
        <item x="17"/>
        <item x="323"/>
        <item x="299"/>
        <item x="218"/>
        <item x="6"/>
        <item x="104"/>
        <item x="282"/>
        <item x="250"/>
        <item x="324"/>
        <item x="196"/>
        <item x="331"/>
        <item x="295"/>
        <item x="351"/>
        <item x="105"/>
        <item x="372"/>
        <item x="111"/>
        <item x="330"/>
        <item x="3"/>
        <item x="329"/>
        <item x="162"/>
        <item x="41"/>
        <item x="200"/>
        <item x="278"/>
        <item x="269"/>
        <item x="124"/>
        <item x="307"/>
        <item x="45"/>
        <item x="208"/>
        <item x="42"/>
        <item x="233"/>
        <item x="192"/>
        <item x="221"/>
        <item x="314"/>
        <item x="276"/>
        <item x="30"/>
        <item x="369"/>
        <item x="189"/>
        <item x="120"/>
        <item x="210"/>
        <item x="71"/>
        <item x="110"/>
        <item x="96"/>
        <item x="235"/>
        <item x="230"/>
        <item x="115"/>
        <item x="27"/>
        <item x="184"/>
        <item x="190"/>
        <item x="46"/>
        <item x="317"/>
        <item x="194"/>
        <item x="31"/>
        <item x="236"/>
        <item x="273"/>
        <item x="40"/>
        <item x="207"/>
        <item x="2"/>
        <item x="205"/>
        <item x="28"/>
        <item x="37"/>
        <item x="204"/>
        <item x="380"/>
        <item x="11"/>
        <item x="176"/>
        <item x="339"/>
        <item x="152"/>
        <item x="44"/>
        <item x="59"/>
        <item x="161"/>
        <item x="234"/>
        <item x="358"/>
        <item x="266"/>
        <item x="211"/>
        <item x="239"/>
        <item x="277"/>
        <item x="209"/>
        <item x="231"/>
        <item x="43"/>
        <item x="216"/>
        <item x="153"/>
        <item x="149"/>
        <item x="67"/>
        <item x="333"/>
        <item x="274"/>
        <item x="238"/>
        <item x="350"/>
        <item x="206"/>
        <item x="322"/>
        <item x="58"/>
        <item x="335"/>
        <item x="357"/>
        <item x="267"/>
        <item x="145"/>
        <item x="126"/>
        <item x="349"/>
        <item x="289"/>
        <item x="302"/>
        <item x="340"/>
        <item x="268"/>
        <item x="197"/>
        <item x="334"/>
        <item x="228"/>
        <item x="212"/>
        <item x="225"/>
        <item x="25"/>
        <item x="171"/>
        <item x="232"/>
        <item x="381"/>
        <item x="122"/>
        <item x="54"/>
        <item x="213"/>
        <item x="270"/>
        <item x="193"/>
        <item x="125"/>
        <item x="121"/>
        <item x="127"/>
        <item x="79"/>
        <item x="185"/>
        <item x="60"/>
        <item x="75"/>
        <item x="178"/>
        <item x="38"/>
        <item x="53"/>
        <item x="186"/>
        <item x="217"/>
        <item x="222"/>
        <item x="118"/>
        <item x="283"/>
        <item x="195"/>
        <item x="347"/>
        <item x="336"/>
        <item x="151"/>
        <item x="98"/>
        <item x="183"/>
        <item x="275"/>
        <item x="92"/>
        <item x="84"/>
        <item x="50"/>
        <item x="157"/>
        <item x="34"/>
        <item x="119"/>
        <item x="48"/>
        <item x="123"/>
        <item x="150"/>
        <item x="294"/>
        <item x="256"/>
        <item x="33"/>
        <item x="97"/>
        <item x="49"/>
        <item x="155"/>
        <item x="156"/>
        <item x="139"/>
        <item x="39"/>
        <item x="154"/>
        <item x="214"/>
        <item x="158"/>
        <item x="68"/>
        <item x="215"/>
        <item x="224"/>
        <item x="22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23"/>
  </rowFields>
  <rowItems count="38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 t="grand">
      <x/>
    </i>
  </rowItems>
  <colItems count="1">
    <i/>
  </colItems>
  <pageFields count="1">
    <pageField fld="5" hier="-1"/>
  </pageFields>
  <formats count="1"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www.ipeadata.gov.br/doc/Metodologia%20Embi.doc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6" Type="http://schemas.openxmlformats.org/officeDocument/2006/relationships/pivotTable" Target="../pivotTables/pivotTable9.xml"/><Relationship Id="rId5" Type="http://schemas.openxmlformats.org/officeDocument/2006/relationships/pivotTable" Target="../pivotTables/pivotTable8.xml"/><Relationship Id="rId4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2.xm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4.xml"/><Relationship Id="rId1" Type="http://schemas.openxmlformats.org/officeDocument/2006/relationships/pivotTable" Target="../pivotTables/pivotTable13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22.xml"/><Relationship Id="rId3" Type="http://schemas.openxmlformats.org/officeDocument/2006/relationships/pivotTable" Target="../pivotTables/pivotTable17.xml"/><Relationship Id="rId7" Type="http://schemas.openxmlformats.org/officeDocument/2006/relationships/pivotTable" Target="../pivotTables/pivotTable21.xml"/><Relationship Id="rId2" Type="http://schemas.openxmlformats.org/officeDocument/2006/relationships/pivotTable" Target="../pivotTables/pivotTable16.xml"/><Relationship Id="rId1" Type="http://schemas.openxmlformats.org/officeDocument/2006/relationships/pivotTable" Target="../pivotTables/pivotTable15.xml"/><Relationship Id="rId6" Type="http://schemas.openxmlformats.org/officeDocument/2006/relationships/pivotTable" Target="../pivotTables/pivotTable20.xml"/><Relationship Id="rId5" Type="http://schemas.openxmlformats.org/officeDocument/2006/relationships/pivotTable" Target="../pivotTables/pivotTable19.xml"/><Relationship Id="rId4" Type="http://schemas.openxmlformats.org/officeDocument/2006/relationships/pivotTable" Target="../pivotTables/pivotTable18.xml"/><Relationship Id="rId9" Type="http://schemas.openxmlformats.org/officeDocument/2006/relationships/pivotTable" Target="../pivotTables/pivotTable23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26.xml"/><Relationship Id="rId2" Type="http://schemas.openxmlformats.org/officeDocument/2006/relationships/pivotTable" Target="../pivotTables/pivotTable25.xml"/><Relationship Id="rId1" Type="http://schemas.openxmlformats.org/officeDocument/2006/relationships/pivotTable" Target="../pivotTables/pivotTable24.xml"/><Relationship Id="rId6" Type="http://schemas.openxmlformats.org/officeDocument/2006/relationships/pivotTable" Target="../pivotTables/pivotTable29.xml"/><Relationship Id="rId5" Type="http://schemas.openxmlformats.org/officeDocument/2006/relationships/pivotTable" Target="../pivotTables/pivotTable28.xml"/><Relationship Id="rId4" Type="http://schemas.openxmlformats.org/officeDocument/2006/relationships/pivotTable" Target="../pivotTables/pivotTable27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2.xml"/><Relationship Id="rId2" Type="http://schemas.openxmlformats.org/officeDocument/2006/relationships/pivotTable" Target="../pivotTables/pivotTable31.xml"/><Relationship Id="rId1" Type="http://schemas.openxmlformats.org/officeDocument/2006/relationships/pivotTable" Target="../pivotTables/pivotTable30.xml"/><Relationship Id="rId5" Type="http://schemas.openxmlformats.org/officeDocument/2006/relationships/pivotTable" Target="../pivotTables/pivotTable34.xml"/><Relationship Id="rId4" Type="http://schemas.openxmlformats.org/officeDocument/2006/relationships/pivotTable" Target="../pivotTables/pivotTable3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5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8.xml"/><Relationship Id="rId2" Type="http://schemas.openxmlformats.org/officeDocument/2006/relationships/pivotTable" Target="../pivotTables/pivotTable37.xml"/><Relationship Id="rId1" Type="http://schemas.openxmlformats.org/officeDocument/2006/relationships/pivotTable" Target="../pivotTables/pivotTable36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1.xml"/><Relationship Id="rId2" Type="http://schemas.openxmlformats.org/officeDocument/2006/relationships/pivotTable" Target="../pivotTables/pivotTable40.xml"/><Relationship Id="rId1" Type="http://schemas.openxmlformats.org/officeDocument/2006/relationships/pivotTable" Target="../pivotTables/pivotTable3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28197-EB48-4179-8186-C2F7B2176C43}">
  <dimension ref="A1:AN557"/>
  <sheetViews>
    <sheetView tabSelected="1" topLeftCell="P1" workbookViewId="0">
      <pane ySplit="2" topLeftCell="A524" activePane="bottomLeft" state="frozen"/>
      <selection pane="bottomLeft" activeCell="AF2" sqref="AF2"/>
    </sheetView>
  </sheetViews>
  <sheetFormatPr defaultRowHeight="14.5" outlineLevelCol="1" x14ac:dyDescent="0.35"/>
  <cols>
    <col min="2" max="2" width="8.26953125" bestFit="1" customWidth="1"/>
    <col min="3" max="3" width="37.453125" bestFit="1" customWidth="1"/>
    <col min="4" max="4" width="10.6328125" bestFit="1" customWidth="1"/>
    <col min="5" max="5" width="61.6328125" bestFit="1" customWidth="1"/>
    <col min="6" max="6" width="22.90625" bestFit="1" customWidth="1"/>
    <col min="7" max="7" width="13.7265625" customWidth="1"/>
    <col min="8" max="8" width="13.7265625" customWidth="1" outlineLevel="1"/>
    <col min="9" max="9" width="16.26953125" customWidth="1" outlineLevel="1"/>
    <col min="10" max="10" width="7.6328125" style="34" customWidth="1" outlineLevel="1"/>
    <col min="11" max="11" width="14.6328125" style="28" bestFit="1" customWidth="1"/>
    <col min="12" max="12" width="18.26953125" bestFit="1" customWidth="1"/>
    <col min="13" max="13" width="18.26953125" customWidth="1"/>
    <col min="14" max="14" width="18.26953125" customWidth="1" outlineLevel="1"/>
    <col min="15" max="16" width="15.08984375" customWidth="1" outlineLevel="1"/>
    <col min="17" max="17" width="17.54296875" customWidth="1" outlineLevel="1"/>
    <col min="18" max="19" width="22.7265625" customWidth="1" outlineLevel="1"/>
    <col min="20" max="20" width="17.08984375" bestFit="1" customWidth="1"/>
    <col min="21" max="21" width="16.453125" bestFit="1" customWidth="1"/>
    <col min="22" max="22" width="14.453125" style="43" bestFit="1" customWidth="1"/>
    <col min="23" max="23" width="34" style="45" bestFit="1" customWidth="1"/>
    <col min="24" max="24" width="22.36328125" style="53" bestFit="1" customWidth="1"/>
    <col min="25" max="25" width="22.36328125" customWidth="1"/>
    <col min="26" max="26" width="23.08984375" bestFit="1" customWidth="1"/>
    <col min="27" max="27" width="24.6328125" bestFit="1" customWidth="1"/>
    <col min="28" max="28" width="21.1796875" bestFit="1" customWidth="1"/>
    <col min="29" max="29" width="21.1796875" customWidth="1"/>
    <col min="30" max="30" width="17.36328125" bestFit="1" customWidth="1"/>
    <col min="32" max="32" width="11.7265625" bestFit="1" customWidth="1"/>
    <col min="34" max="34" width="9" bestFit="1" customWidth="1"/>
    <col min="38" max="38" width="22.90625" bestFit="1" customWidth="1"/>
    <col min="39" max="40" width="10.453125" bestFit="1" customWidth="1"/>
    <col min="41" max="41" width="37.453125" bestFit="1" customWidth="1"/>
    <col min="42" max="42" width="11.81640625" bestFit="1" customWidth="1"/>
  </cols>
  <sheetData>
    <row r="1" spans="1:40" x14ac:dyDescent="0.35">
      <c r="V1"/>
      <c r="W1" s="5"/>
      <c r="X1" s="52"/>
    </row>
    <row r="2" spans="1:40" x14ac:dyDescent="0.35">
      <c r="A2" t="s">
        <v>791</v>
      </c>
      <c r="B2" t="s">
        <v>759</v>
      </c>
      <c r="C2" t="s">
        <v>766</v>
      </c>
      <c r="D2" s="2" t="s">
        <v>0</v>
      </c>
      <c r="E2" t="s">
        <v>1</v>
      </c>
      <c r="F2" t="s">
        <v>2</v>
      </c>
      <c r="G2" t="s">
        <v>3</v>
      </c>
      <c r="H2" s="1" t="s">
        <v>4</v>
      </c>
      <c r="I2" t="s">
        <v>5</v>
      </c>
      <c r="J2" s="56" t="s">
        <v>767</v>
      </c>
      <c r="K2" t="s">
        <v>6</v>
      </c>
      <c r="L2" t="s">
        <v>7</v>
      </c>
      <c r="M2" t="s">
        <v>790</v>
      </c>
      <c r="N2" s="1" t="s">
        <v>8</v>
      </c>
      <c r="O2" t="s">
        <v>9</v>
      </c>
      <c r="P2" s="1" t="s">
        <v>10</v>
      </c>
      <c r="Q2" t="s">
        <v>11</v>
      </c>
      <c r="R2" t="s">
        <v>12</v>
      </c>
      <c r="S2" t="s">
        <v>762</v>
      </c>
      <c r="T2" s="55" t="s">
        <v>763</v>
      </c>
      <c r="U2" s="3" t="s">
        <v>792</v>
      </c>
      <c r="V2" t="s">
        <v>13</v>
      </c>
      <c r="W2" s="5" t="s">
        <v>14</v>
      </c>
      <c r="X2" s="52" t="s">
        <v>15</v>
      </c>
      <c r="Y2" s="42" t="s">
        <v>758</v>
      </c>
      <c r="Z2" t="s">
        <v>16</v>
      </c>
      <c r="AA2" t="s">
        <v>17</v>
      </c>
      <c r="AB2" t="s">
        <v>18</v>
      </c>
      <c r="AC2" s="2" t="s">
        <v>19</v>
      </c>
      <c r="AD2" t="s">
        <v>20</v>
      </c>
      <c r="AE2" s="2" t="s">
        <v>695</v>
      </c>
      <c r="AF2" t="s">
        <v>21</v>
      </c>
      <c r="AG2" s="2" t="s">
        <v>22</v>
      </c>
      <c r="AH2" s="3" t="s">
        <v>793</v>
      </c>
    </row>
    <row r="3" spans="1:40" x14ac:dyDescent="0.35">
      <c r="A3">
        <v>1</v>
      </c>
      <c r="B3">
        <f>IF(G3="Bonds",COUNTIF($G$3:G3,"Bonds"),0)</f>
        <v>0</v>
      </c>
      <c r="C3" t="str">
        <f t="shared" ref="C3:C4" si="0">F3&amp;K3&amp;L3</f>
        <v>Adecoagro4415046371</v>
      </c>
      <c r="D3">
        <f>IF(F3&lt;&gt;F2,D1+1,D1)</f>
        <v>1</v>
      </c>
      <c r="E3" s="43" t="s">
        <v>23</v>
      </c>
      <c r="F3" s="43" t="s">
        <v>24</v>
      </c>
      <c r="G3" s="43" t="s">
        <v>25</v>
      </c>
      <c r="H3">
        <f t="shared" ref="H3:H68" si="1">IF(G3="Bonds",1,0)</f>
        <v>0</v>
      </c>
      <c r="I3" s="43" t="s">
        <v>26</v>
      </c>
      <c r="J3" s="34">
        <f t="shared" ref="J3:J66" si="2">IF(F3=F2,J2+1,1)</f>
        <v>1</v>
      </c>
      <c r="K3" s="28">
        <v>44150</v>
      </c>
      <c r="L3" s="28">
        <v>46371</v>
      </c>
      <c r="M3" s="60">
        <f t="shared" ref="M3:M68" si="3">(L3-K3)/365</f>
        <v>6.0849315068493155</v>
      </c>
      <c r="N3" s="4">
        <f t="shared" ref="N3:N68" si="4">IF(M3&gt;5,1,0)</f>
        <v>1</v>
      </c>
      <c r="O3" s="43" t="s">
        <v>27</v>
      </c>
      <c r="P3" t="str">
        <f>IF(OR(O3="Real",O3="Flutuante",O3="SR SECURED"),"1","0")</f>
        <v>1</v>
      </c>
      <c r="Q3" s="44">
        <v>400000</v>
      </c>
      <c r="R3" s="43">
        <v>1000</v>
      </c>
      <c r="S3" s="34" t="str">
        <f>IF($V3="USD",INDEX('Dólar Spot'!$B:$B,MATCH(Base!$K3,'Dólar Spot'!$A:$A,0)),"")</f>
        <v/>
      </c>
      <c r="T3" s="4">
        <f>Q3*R3</f>
        <v>400000000</v>
      </c>
      <c r="U3" s="8">
        <f>IF(V3="USD",T3*S3/100000000,Q3*R3/100000000)</f>
        <v>4</v>
      </c>
      <c r="V3" s="43" t="s">
        <v>28</v>
      </c>
      <c r="W3" s="45" t="s">
        <v>29</v>
      </c>
      <c r="X3" s="46">
        <v>4.24</v>
      </c>
      <c r="Y3" s="9">
        <f>IF(AND(V3="DI",$W3=100),$X3/100,
IF(AND(V3="DI",$W3&lt;&gt;100,$X3=""),INDEX('Debs %CDI'!$Q:$Q,MATCH(Base!$C3,'Debs %CDI'!$A:$A,0)),
IF($V3="USD",INDEX(Bonds!$AF:$AF,MATCH(Base!$C3,Bonds!$B:$B,0)),
IF($V3="IPCA",INDEX('Debs IPCA'!$Z:$Z,MATCH(Base!$C3,'Debs IPCA'!$A:$A,0))))))</f>
        <v>1.1940699254376463E-2</v>
      </c>
      <c r="Z3" s="43">
        <v>252</v>
      </c>
      <c r="AA3" s="43" t="s">
        <v>30</v>
      </c>
      <c r="AB3" s="43" t="s">
        <v>31</v>
      </c>
      <c r="AC3">
        <f t="shared" ref="AC3:AC68" si="5">IF(AB3="S",1,0)</f>
        <v>1</v>
      </c>
      <c r="AD3" s="43" t="s">
        <v>32</v>
      </c>
      <c r="AE3">
        <f t="shared" ref="AE3:AE68" si="6">IF(OR(AD3="N",AD3="AT MATURITY"),0,1)</f>
        <v>0</v>
      </c>
      <c r="AF3" s="34" t="str" cm="1">
        <f t="array" ref="AF3">INDEX(Ratings!$B$2:$M$40,_xlfn.XMATCH(Base!F3,Ratings!$A$2:$A$40),_xlfn.XMATCH(YEAR(Base!K3),Ratings!$B$1:$M$1))</f>
        <v>BB</v>
      </c>
      <c r="AG3">
        <f t="shared" ref="AG3" si="7">IF(AND(AF3&lt;&gt;"BBB-",AF3&lt;&gt;"BBB",AF3&lt;&gt;"BBB+"),0,1)</f>
        <v>0</v>
      </c>
      <c r="AH3">
        <f>IFERROR(IFERROR(IFERROR(INDEX('EMBI+'!$B:$B,MATCH(Base!$K3,'EMBI+'!$A:$A,0)),INDEX('EMBI+'!$B:$B,MATCH(Base!$K3+1,'EMBI+'!$A:$A,0))),INDEX('EMBI+'!$B:$B,MATCH(Base!$K3+2,'EMBI+'!$A:$A,0))),INDEX('EMBI+'!$B:$B,MATCH(Base!$K3+3,'EMBI+'!$A:$A,0)))/100</f>
        <v>2.76</v>
      </c>
      <c r="AL3" s="43"/>
      <c r="AM3" s="28"/>
      <c r="AN3" s="28"/>
    </row>
    <row r="4" spans="1:40" x14ac:dyDescent="0.35">
      <c r="A4">
        <f t="shared" ref="A4:A70" si="8">+A3+1</f>
        <v>2</v>
      </c>
      <c r="B4">
        <f>IF(G4="Bonds",COUNTIF($G$3:G4,"Bonds"),0)</f>
        <v>1</v>
      </c>
      <c r="C4" t="str">
        <f t="shared" si="0"/>
        <v>Adecoagro4299921/09/2027</v>
      </c>
      <c r="D4">
        <f t="shared" ref="D4" si="9">IF(F4&lt;&gt;F3,D3+1,D3)</f>
        <v>1</v>
      </c>
      <c r="E4" s="43" t="s">
        <v>33</v>
      </c>
      <c r="F4" s="43" t="s">
        <v>24</v>
      </c>
      <c r="G4" s="43" t="s">
        <v>34</v>
      </c>
      <c r="H4">
        <f t="shared" si="1"/>
        <v>1</v>
      </c>
      <c r="I4" s="43"/>
      <c r="J4" s="34">
        <f t="shared" si="2"/>
        <v>2</v>
      </c>
      <c r="K4" s="28">
        <v>42999</v>
      </c>
      <c r="L4" s="28" t="s">
        <v>35</v>
      </c>
      <c r="M4" s="60">
        <f t="shared" si="3"/>
        <v>10.005479452054795</v>
      </c>
      <c r="N4" s="4">
        <f t="shared" si="4"/>
        <v>1</v>
      </c>
      <c r="O4" s="43" t="s">
        <v>36</v>
      </c>
      <c r="P4" t="str">
        <f t="shared" ref="P4:P68" si="10">IF(OR(O4="Real",O4="Flutuante",O4="SR SECURED"),"1","0")</f>
        <v>0</v>
      </c>
      <c r="Q4" s="43"/>
      <c r="R4" s="43"/>
      <c r="S4" s="34">
        <f>IF($V4="USD",INDEX('Dólar Spot'!$B:$B,MATCH(Base!$K4,'Dólar Spot'!$A:$A,0)),"")</f>
        <v>3.1341000000000001</v>
      </c>
      <c r="T4" s="44">
        <v>500000000</v>
      </c>
      <c r="U4" s="8">
        <f t="shared" ref="U4:U68" si="11">IF(V4="USD",T4*S4/100000000,Q4*R4/100000000)</f>
        <v>15.670500000000001</v>
      </c>
      <c r="V4" s="43" t="s">
        <v>651</v>
      </c>
      <c r="W4" s="45" t="s">
        <v>29</v>
      </c>
      <c r="X4" s="53">
        <v>6</v>
      </c>
      <c r="Y4" s="9">
        <f>IF(AND(V4="DI",$W4=100),$X4/100,
IF(AND(V4="DI",$W4&lt;&gt;100,$X4=""),INDEX('Debs %CDI'!$Q:$Q,MATCH(Base!$C4,'Debs %CDI'!$A:$A,0)),
IF($V4="USD",INDEX(Bonds!$AF:$AF,MATCH(Base!$C4,Bonds!$B:$B,0)),
IF($V4="IPCA",INDEX('Debs IPCA'!$Z:$Z,MATCH(Base!$C4,'Debs IPCA'!$A:$A,0))))))</f>
        <v>1.8243284135623039E-2</v>
      </c>
      <c r="Z4" s="43">
        <v>360</v>
      </c>
      <c r="AA4" s="43" t="s">
        <v>37</v>
      </c>
      <c r="AB4" s="43" t="s">
        <v>32</v>
      </c>
      <c r="AC4">
        <f t="shared" si="5"/>
        <v>0</v>
      </c>
      <c r="AD4" s="43" t="s">
        <v>31</v>
      </c>
      <c r="AE4">
        <f t="shared" si="6"/>
        <v>1</v>
      </c>
      <c r="AF4" s="34" t="str" cm="1">
        <f t="array" ref="AF4">INDEX(Ratings!$B$2:$M$40,_xlfn.XMATCH(Base!F4,Ratings!$A$2:$A$40),_xlfn.XMATCH(YEAR(Base!K4),Ratings!$B$1:$M$1))</f>
        <v>BB</v>
      </c>
      <c r="AG4">
        <f t="shared" ref="AG4:AG67" si="12">IF(AND(AF4&lt;&gt;"BBB-",AF4&lt;&gt;"BBB",AF4&lt;&gt;"BBB+"),0,1)</f>
        <v>0</v>
      </c>
      <c r="AH4">
        <f>IFERROR(IFERROR(IFERROR(INDEX('EMBI+'!$B:$B,MATCH(Base!$K4,'EMBI+'!$A:$A,0)),INDEX('EMBI+'!$B:$B,MATCH(Base!$K4+1,'EMBI+'!$A:$A,0))),INDEX('EMBI+'!$B:$B,MATCH(Base!$K4+2,'EMBI+'!$A:$A,0))),INDEX('EMBI+'!$B:$B,MATCH(Base!$K4+3,'EMBI+'!$A:$A,0)))/100</f>
        <v>2.5499999999999998</v>
      </c>
      <c r="AL4" s="43"/>
      <c r="AM4" s="28"/>
      <c r="AN4" s="28"/>
    </row>
    <row r="5" spans="1:40" x14ac:dyDescent="0.35">
      <c r="A5">
        <f t="shared" si="8"/>
        <v>3</v>
      </c>
      <c r="B5">
        <f>IF(G5="Bonds",COUNTIF($G$3:G5,"Bonds"),0)</f>
        <v>0</v>
      </c>
      <c r="C5" t="str">
        <f t="shared" ref="C5:C14" si="13">F5&amp;K5&amp;L5</f>
        <v>Aegea4121241572</v>
      </c>
      <c r="D5">
        <f t="shared" ref="D5:D14" si="14">IF(F5&lt;&gt;F4,D4+1,D4)</f>
        <v>2</v>
      </c>
      <c r="E5" s="43" t="s">
        <v>38</v>
      </c>
      <c r="F5" s="43" t="s">
        <v>39</v>
      </c>
      <c r="G5" s="43" t="s">
        <v>25</v>
      </c>
      <c r="H5">
        <f t="shared" si="1"/>
        <v>0</v>
      </c>
      <c r="I5" s="43" t="s">
        <v>40</v>
      </c>
      <c r="J5" s="34">
        <f t="shared" si="2"/>
        <v>1</v>
      </c>
      <c r="K5" s="28">
        <v>41212</v>
      </c>
      <c r="L5" s="28">
        <v>41572</v>
      </c>
      <c r="M5" s="60">
        <f t="shared" si="3"/>
        <v>0.98630136986301364</v>
      </c>
      <c r="N5" s="4">
        <f t="shared" si="4"/>
        <v>0</v>
      </c>
      <c r="O5" s="43" t="s">
        <v>27</v>
      </c>
      <c r="P5" t="str">
        <f t="shared" si="10"/>
        <v>1</v>
      </c>
      <c r="Q5" s="44">
        <v>300</v>
      </c>
      <c r="R5" s="43">
        <v>500000</v>
      </c>
      <c r="S5" s="34" t="str">
        <f>IF($V5="USD",INDEX('Dólar Spot'!$B:$B,MATCH(Base!$K5,'Dólar Spot'!$A:$A,0)),"")</f>
        <v/>
      </c>
      <c r="T5" s="4">
        <f t="shared" ref="T5:T13" si="15">Q5*R5</f>
        <v>150000000</v>
      </c>
      <c r="U5" s="8">
        <f t="shared" si="11"/>
        <v>1.5</v>
      </c>
      <c r="V5" s="43" t="s">
        <v>41</v>
      </c>
      <c r="W5" s="45">
        <v>100</v>
      </c>
      <c r="X5" s="46">
        <v>3</v>
      </c>
      <c r="Y5" s="9">
        <f>IF(AND(V5="DI",$W5=100),$X5/100,
IF(AND(V5="DI",$W5&lt;&gt;100,$X5=""),INDEX('Debs %CDI'!$Q:$Q,MATCH(Base!$C5,'Debs %CDI'!$A:$A,0)),
IF($V5="USD",INDEX(Bonds!$AF:$AF,MATCH(Base!$C5,Bonds!$B:$B,0)),
IF($V5="IPCA",INDEX('Debs IPCA'!$Z:$Z,MATCH(Base!$C5,'Debs IPCA'!$A:$A,0))))))</f>
        <v>0.03</v>
      </c>
      <c r="Z5" s="43">
        <v>252</v>
      </c>
      <c r="AA5" s="43" t="s">
        <v>30</v>
      </c>
      <c r="AB5" s="43" t="s">
        <v>32</v>
      </c>
      <c r="AC5">
        <f t="shared" si="5"/>
        <v>0</v>
      </c>
      <c r="AD5" s="43" t="s">
        <v>31</v>
      </c>
      <c r="AE5">
        <f t="shared" si="6"/>
        <v>1</v>
      </c>
      <c r="AF5" s="34" t="str" cm="1">
        <f t="array" ref="AF5">INDEX(Ratings!$B$2:$M$40,_xlfn.XMATCH(Base!F5,Ratings!$A$2:$A$40),_xlfn.XMATCH(YEAR(Base!K5),Ratings!$B$1:$M$1))</f>
        <v>NR</v>
      </c>
      <c r="AG5">
        <f t="shared" si="12"/>
        <v>0</v>
      </c>
      <c r="AH5">
        <f>IFERROR(IFERROR(IFERROR(INDEX('EMBI+'!$B:$B,MATCH(Base!$K5,'EMBI+'!$A:$A,0)),INDEX('EMBI+'!$B:$B,MATCH(Base!$K5+1,'EMBI+'!$A:$A,0))),INDEX('EMBI+'!$B:$B,MATCH(Base!$K5+2,'EMBI+'!$A:$A,0))),INDEX('EMBI+'!$B:$B,MATCH(Base!$K5+3,'EMBI+'!$A:$A,0)))/100</f>
        <v>1.57</v>
      </c>
      <c r="AL5" s="43"/>
      <c r="AM5" s="28"/>
      <c r="AN5" s="28"/>
    </row>
    <row r="6" spans="1:40" x14ac:dyDescent="0.35">
      <c r="A6">
        <f t="shared" si="8"/>
        <v>4</v>
      </c>
      <c r="B6">
        <f>IF(G6="Bonds",COUNTIF($G$3:G6,"Bonds"),0)</f>
        <v>0</v>
      </c>
      <c r="C6" t="str">
        <f t="shared" si="13"/>
        <v>Aegea4157242119</v>
      </c>
      <c r="D6">
        <f t="shared" si="14"/>
        <v>2</v>
      </c>
      <c r="E6" s="43" t="s">
        <v>38</v>
      </c>
      <c r="F6" s="43" t="s">
        <v>39</v>
      </c>
      <c r="G6" s="43" t="s">
        <v>25</v>
      </c>
      <c r="H6">
        <f t="shared" si="1"/>
        <v>0</v>
      </c>
      <c r="I6" s="43" t="s">
        <v>42</v>
      </c>
      <c r="J6" s="34">
        <f t="shared" si="2"/>
        <v>2</v>
      </c>
      <c r="K6" s="28">
        <v>41572</v>
      </c>
      <c r="L6" s="28">
        <v>42119</v>
      </c>
      <c r="M6" s="60">
        <f t="shared" si="3"/>
        <v>1.4986301369863013</v>
      </c>
      <c r="N6" s="4">
        <f t="shared" si="4"/>
        <v>0</v>
      </c>
      <c r="O6" s="43" t="s">
        <v>27</v>
      </c>
      <c r="P6" t="str">
        <f t="shared" si="10"/>
        <v>1</v>
      </c>
      <c r="Q6" s="44">
        <v>150000</v>
      </c>
      <c r="R6" s="43">
        <v>1000</v>
      </c>
      <c r="S6" s="34" t="str">
        <f>IF($V6="USD",INDEX('Dólar Spot'!$B:$B,MATCH(Base!$K6,'Dólar Spot'!$A:$A,0)),"")</f>
        <v/>
      </c>
      <c r="T6" s="4">
        <f t="shared" si="15"/>
        <v>150000000</v>
      </c>
      <c r="U6" s="8">
        <f t="shared" si="11"/>
        <v>1.5</v>
      </c>
      <c r="V6" s="43" t="s">
        <v>41</v>
      </c>
      <c r="W6" s="45">
        <v>100</v>
      </c>
      <c r="X6" s="46">
        <v>2.2999999999999998</v>
      </c>
      <c r="Y6" s="9">
        <f>IF(AND(V6="DI",$W6=100),$X6/100,
IF(AND(V6="DI",$W6&lt;&gt;100,$X6=""),INDEX('Debs %CDI'!$Q:$Q,MATCH(Base!$C6,'Debs %CDI'!$A:$A,0)),
IF($V6="USD",INDEX(Bonds!$AF:$AF,MATCH(Base!$C6,Bonds!$B:$B,0)),
IF($V6="IPCA",INDEX('Debs IPCA'!$Z:$Z,MATCH(Base!$C6,'Debs IPCA'!$A:$A,0))))))</f>
        <v>2.3E-2</v>
      </c>
      <c r="Z6" s="43">
        <v>252</v>
      </c>
      <c r="AA6" s="43" t="s">
        <v>30</v>
      </c>
      <c r="AB6" s="43" t="s">
        <v>32</v>
      </c>
      <c r="AC6">
        <f t="shared" si="5"/>
        <v>0</v>
      </c>
      <c r="AD6" s="43" t="s">
        <v>31</v>
      </c>
      <c r="AE6">
        <f t="shared" si="6"/>
        <v>1</v>
      </c>
      <c r="AF6" s="34" t="str" cm="1">
        <f t="array" ref="AF6">INDEX(Ratings!$B$2:$M$40,_xlfn.XMATCH(Base!F6,Ratings!$A$2:$A$40),_xlfn.XMATCH(YEAR(Base!K6),Ratings!$B$1:$M$1))</f>
        <v>NR</v>
      </c>
      <c r="AG6">
        <f t="shared" si="12"/>
        <v>0</v>
      </c>
      <c r="AH6">
        <f>IFERROR(IFERROR(IFERROR(INDEX('EMBI+'!$B:$B,MATCH(Base!$K6,'EMBI+'!$A:$A,0)),INDEX('EMBI+'!$B:$B,MATCH(Base!$K6+1,'EMBI+'!$A:$A,0))),INDEX('EMBI+'!$B:$B,MATCH(Base!$K6+2,'EMBI+'!$A:$A,0))),INDEX('EMBI+'!$B:$B,MATCH(Base!$K6+3,'EMBI+'!$A:$A,0)))/100</f>
        <v>2.19</v>
      </c>
      <c r="AL6" s="43"/>
      <c r="AM6" s="28"/>
      <c r="AN6" s="28"/>
    </row>
    <row r="7" spans="1:40" x14ac:dyDescent="0.35">
      <c r="A7">
        <f t="shared" si="8"/>
        <v>5</v>
      </c>
      <c r="B7">
        <f>IF(G7="Bonds",COUNTIF($G$3:G7,"Bonds"),0)</f>
        <v>0</v>
      </c>
      <c r="C7" t="str">
        <f t="shared" si="13"/>
        <v>Aegea4329645122</v>
      </c>
      <c r="D7">
        <f t="shared" si="14"/>
        <v>2</v>
      </c>
      <c r="E7" s="43" t="s">
        <v>38</v>
      </c>
      <c r="F7" s="43" t="s">
        <v>39</v>
      </c>
      <c r="G7" s="43" t="s">
        <v>25</v>
      </c>
      <c r="H7">
        <f t="shared" si="1"/>
        <v>0</v>
      </c>
      <c r="I7" s="43" t="s">
        <v>43</v>
      </c>
      <c r="J7" s="34">
        <f t="shared" si="2"/>
        <v>3</v>
      </c>
      <c r="K7" s="28">
        <v>43296</v>
      </c>
      <c r="L7" s="28">
        <v>45122</v>
      </c>
      <c r="M7" s="60">
        <f t="shared" si="3"/>
        <v>5.0027397260273974</v>
      </c>
      <c r="N7" s="4">
        <f t="shared" si="4"/>
        <v>1</v>
      </c>
      <c r="O7" s="43" t="s">
        <v>44</v>
      </c>
      <c r="P7" t="str">
        <f t="shared" si="10"/>
        <v>0</v>
      </c>
      <c r="Q7" s="44">
        <v>53350</v>
      </c>
      <c r="R7" s="43">
        <v>10000</v>
      </c>
      <c r="S7" s="34" t="str">
        <f>IF($V7="USD",INDEX('Dólar Spot'!$B:$B,MATCH(Base!$K7,'Dólar Spot'!$A:$A,0)),"")</f>
        <v/>
      </c>
      <c r="T7" s="4">
        <f t="shared" si="15"/>
        <v>533500000</v>
      </c>
      <c r="U7" s="8">
        <f t="shared" si="11"/>
        <v>5.335</v>
      </c>
      <c r="V7" s="43" t="s">
        <v>41</v>
      </c>
      <c r="W7" s="45">
        <v>100</v>
      </c>
      <c r="X7" s="46">
        <v>1.4</v>
      </c>
      <c r="Y7" s="9">
        <f>IF(AND(V7="DI",$W7=100),$X7/100,
IF(AND(V7="DI",$W7&lt;&gt;100,$X7=""),INDEX('Debs %CDI'!$Q:$Q,MATCH(Base!$C7,'Debs %CDI'!$A:$A,0)),
IF($V7="USD",INDEX(Bonds!$AF:$AF,MATCH(Base!$C7,Bonds!$B:$B,0)),
IF($V7="IPCA",INDEX('Debs IPCA'!$Z:$Z,MATCH(Base!$C7,'Debs IPCA'!$A:$A,0))))))</f>
        <v>1.3999999999999999E-2</v>
      </c>
      <c r="Z7" s="43">
        <v>252</v>
      </c>
      <c r="AA7" s="43" t="s">
        <v>30</v>
      </c>
      <c r="AB7" s="43" t="s">
        <v>32</v>
      </c>
      <c r="AC7">
        <f t="shared" si="5"/>
        <v>0</v>
      </c>
      <c r="AD7" s="43" t="s">
        <v>31</v>
      </c>
      <c r="AE7">
        <f t="shared" si="6"/>
        <v>1</v>
      </c>
      <c r="AF7" s="34" t="str" cm="1">
        <f t="array" ref="AF7">INDEX(Ratings!$B$2:$M$40,_xlfn.XMATCH(Base!F7,Ratings!$A$2:$A$40),_xlfn.XMATCH(YEAR(Base!K7),Ratings!$B$1:$M$1))</f>
        <v>BB</v>
      </c>
      <c r="AG7">
        <f t="shared" si="12"/>
        <v>0</v>
      </c>
      <c r="AH7">
        <f>IFERROR(IFERROR(IFERROR(INDEX('EMBI+'!$B:$B,MATCH(Base!$K7,'EMBI+'!$A:$A,0)),INDEX('EMBI+'!$B:$B,MATCH(Base!$K7+1,'EMBI+'!$A:$A,0))),INDEX('EMBI+'!$B:$B,MATCH(Base!$K7+2,'EMBI+'!$A:$A,0))),INDEX('EMBI+'!$B:$B,MATCH(Base!$K7+3,'EMBI+'!$A:$A,0)))/100</f>
        <v>2.95</v>
      </c>
      <c r="AL7" s="43"/>
      <c r="AM7" s="28"/>
      <c r="AN7" s="28"/>
    </row>
    <row r="8" spans="1:40" x14ac:dyDescent="0.35">
      <c r="A8">
        <f t="shared" si="8"/>
        <v>6</v>
      </c>
      <c r="B8">
        <f>IF(G8="Bonds",COUNTIF($G$3:G8,"Bonds"),0)</f>
        <v>0</v>
      </c>
      <c r="C8" t="str">
        <f t="shared" si="13"/>
        <v>Aegea4386645693</v>
      </c>
      <c r="D8">
        <f t="shared" si="14"/>
        <v>2</v>
      </c>
      <c r="E8" s="43" t="s">
        <v>38</v>
      </c>
      <c r="F8" s="43" t="s">
        <v>39</v>
      </c>
      <c r="G8" s="43" t="s">
        <v>25</v>
      </c>
      <c r="H8">
        <f t="shared" si="1"/>
        <v>0</v>
      </c>
      <c r="I8" s="43" t="s">
        <v>45</v>
      </c>
      <c r="J8" s="34">
        <f t="shared" si="2"/>
        <v>4</v>
      </c>
      <c r="K8" s="28">
        <v>43866</v>
      </c>
      <c r="L8" s="28">
        <v>45693</v>
      </c>
      <c r="M8" s="60">
        <f t="shared" si="3"/>
        <v>5.0054794520547947</v>
      </c>
      <c r="N8" s="4">
        <f t="shared" si="4"/>
        <v>1</v>
      </c>
      <c r="O8" s="43" t="s">
        <v>44</v>
      </c>
      <c r="P8" t="str">
        <f t="shared" si="10"/>
        <v>0</v>
      </c>
      <c r="Q8" s="44">
        <v>305000</v>
      </c>
      <c r="R8" s="43">
        <v>1000</v>
      </c>
      <c r="S8" s="34" t="str">
        <f>IF($V8="USD",INDEX('Dólar Spot'!$B:$B,MATCH(Base!$K8,'Dólar Spot'!$A:$A,0)),"")</f>
        <v/>
      </c>
      <c r="T8" s="4">
        <f t="shared" si="15"/>
        <v>305000000</v>
      </c>
      <c r="U8" s="8">
        <f t="shared" si="11"/>
        <v>3.05</v>
      </c>
      <c r="V8" s="43" t="s">
        <v>41</v>
      </c>
      <c r="W8" s="45">
        <v>100</v>
      </c>
      <c r="X8" s="46">
        <v>1.8</v>
      </c>
      <c r="Y8" s="9">
        <f>IF(AND(V8="DI",$W8=100),$X8/100,
IF(AND(V8="DI",$W8&lt;&gt;100,$X8=""),INDEX('Debs %CDI'!$Q:$Q,MATCH(Base!$C8,'Debs %CDI'!$A:$A,0)),
IF($V8="USD",INDEX(Bonds!$AF:$AF,MATCH(Base!$C8,Bonds!$B:$B,0)),
IF($V8="IPCA",INDEX('Debs IPCA'!$Z:$Z,MATCH(Base!$C8,'Debs IPCA'!$A:$A,0))))))</f>
        <v>1.8000000000000002E-2</v>
      </c>
      <c r="Z8" s="43">
        <v>252</v>
      </c>
      <c r="AA8" s="43" t="s">
        <v>30</v>
      </c>
      <c r="AB8" s="43" t="s">
        <v>32</v>
      </c>
      <c r="AC8">
        <f t="shared" si="5"/>
        <v>0</v>
      </c>
      <c r="AD8" s="43" t="s">
        <v>31</v>
      </c>
      <c r="AE8">
        <f t="shared" si="6"/>
        <v>1</v>
      </c>
      <c r="AF8" s="34" t="str" cm="1">
        <f t="array" ref="AF8">INDEX(Ratings!$B$2:$M$40,_xlfn.XMATCH(Base!F8,Ratings!$A$2:$A$40),_xlfn.XMATCH(YEAR(Base!K8),Ratings!$B$1:$M$1))</f>
        <v>BB</v>
      </c>
      <c r="AG8">
        <f t="shared" si="12"/>
        <v>0</v>
      </c>
      <c r="AH8">
        <f>IFERROR(IFERROR(IFERROR(INDEX('EMBI+'!$B:$B,MATCH(Base!$K8,'EMBI+'!$A:$A,0)),INDEX('EMBI+'!$B:$B,MATCH(Base!$K8+1,'EMBI+'!$A:$A,0))),INDEX('EMBI+'!$B:$B,MATCH(Base!$K8+2,'EMBI+'!$A:$A,0))),INDEX('EMBI+'!$B:$B,MATCH(Base!$K8+3,'EMBI+'!$A:$A,0)))/100</f>
        <v>2.14</v>
      </c>
      <c r="AL8" s="43"/>
      <c r="AM8" s="28"/>
      <c r="AN8" s="28"/>
    </row>
    <row r="9" spans="1:40" x14ac:dyDescent="0.35">
      <c r="A9">
        <f t="shared" si="8"/>
        <v>7</v>
      </c>
      <c r="B9">
        <f>IF(G9="Bonds",COUNTIF($G$3:G9,"Bonds"),0)</f>
        <v>0</v>
      </c>
      <c r="C9" t="str">
        <f t="shared" si="13"/>
        <v>Aegea4408545180</v>
      </c>
      <c r="D9">
        <f t="shared" si="14"/>
        <v>2</v>
      </c>
      <c r="E9" s="43" t="s">
        <v>38</v>
      </c>
      <c r="F9" s="43" t="s">
        <v>39</v>
      </c>
      <c r="G9" s="43" t="s">
        <v>25</v>
      </c>
      <c r="H9">
        <f t="shared" si="1"/>
        <v>0</v>
      </c>
      <c r="I9" s="43" t="s">
        <v>46</v>
      </c>
      <c r="J9" s="34">
        <f t="shared" si="2"/>
        <v>5</v>
      </c>
      <c r="K9" s="28">
        <v>44085</v>
      </c>
      <c r="L9" s="28">
        <v>45180</v>
      </c>
      <c r="M9" s="60">
        <f t="shared" si="3"/>
        <v>3</v>
      </c>
      <c r="N9" s="4">
        <f t="shared" si="4"/>
        <v>0</v>
      </c>
      <c r="O9" s="43" t="s">
        <v>44</v>
      </c>
      <c r="P9" t="str">
        <f t="shared" si="10"/>
        <v>0</v>
      </c>
      <c r="Q9" s="44">
        <v>300000</v>
      </c>
      <c r="R9" s="43">
        <v>1000</v>
      </c>
      <c r="S9" s="34" t="str">
        <f>IF($V9="USD",INDEX('Dólar Spot'!$B:$B,MATCH(Base!$K9,'Dólar Spot'!$A:$A,0)),"")</f>
        <v/>
      </c>
      <c r="T9" s="4">
        <f t="shared" si="15"/>
        <v>300000000</v>
      </c>
      <c r="U9" s="8">
        <f t="shared" si="11"/>
        <v>3</v>
      </c>
      <c r="V9" s="43" t="s">
        <v>41</v>
      </c>
      <c r="W9" s="45">
        <v>100</v>
      </c>
      <c r="X9" s="46">
        <v>3</v>
      </c>
      <c r="Y9" s="9">
        <f>IF(AND(V9="DI",$W9=100),$X9/100,
IF(AND(V9="DI",$W9&lt;&gt;100,$X9=""),INDEX('Debs %CDI'!$Q:$Q,MATCH(Base!$C9,'Debs %CDI'!$A:$A,0)),
IF($V9="USD",INDEX(Bonds!$AF:$AF,MATCH(Base!$C9,Bonds!$B:$B,0)),
IF($V9="IPCA",INDEX('Debs IPCA'!$Z:$Z,MATCH(Base!$C9,'Debs IPCA'!$A:$A,0))))))</f>
        <v>0.03</v>
      </c>
      <c r="Z9" s="43">
        <v>252</v>
      </c>
      <c r="AA9" s="43" t="s">
        <v>30</v>
      </c>
      <c r="AB9" s="43" t="s">
        <v>32</v>
      </c>
      <c r="AC9">
        <f t="shared" si="5"/>
        <v>0</v>
      </c>
      <c r="AD9" s="43" t="s">
        <v>31</v>
      </c>
      <c r="AE9">
        <f t="shared" si="6"/>
        <v>1</v>
      </c>
      <c r="AF9" s="34" t="str" cm="1">
        <f t="array" ref="AF9">INDEX(Ratings!$B$2:$M$40,_xlfn.XMATCH(Base!F9,Ratings!$A$2:$A$40),_xlfn.XMATCH(YEAR(Base!K9),Ratings!$B$1:$M$1))</f>
        <v>BB</v>
      </c>
      <c r="AG9">
        <f t="shared" si="12"/>
        <v>0</v>
      </c>
      <c r="AH9">
        <f>IFERROR(IFERROR(IFERROR(INDEX('EMBI+'!$B:$B,MATCH(Base!$K9,'EMBI+'!$A:$A,0)),INDEX('EMBI+'!$B:$B,MATCH(Base!$K9+1,'EMBI+'!$A:$A,0))),INDEX('EMBI+'!$B:$B,MATCH(Base!$K9+2,'EMBI+'!$A:$A,0))),INDEX('EMBI+'!$B:$B,MATCH(Base!$K9+3,'EMBI+'!$A:$A,0)))/100</f>
        <v>3.11</v>
      </c>
      <c r="AL9" s="43"/>
      <c r="AM9" s="28"/>
      <c r="AN9" s="28"/>
    </row>
    <row r="10" spans="1:40" x14ac:dyDescent="0.35">
      <c r="A10">
        <f t="shared" si="8"/>
        <v>8</v>
      </c>
      <c r="B10">
        <f>IF(G10="Bonds",COUNTIF($G$3:G10,"Bonds"),0)</f>
        <v>0</v>
      </c>
      <c r="C10" t="str">
        <f t="shared" si="13"/>
        <v>Aegea4429846489</v>
      </c>
      <c r="D10">
        <f t="shared" si="14"/>
        <v>2</v>
      </c>
      <c r="E10" s="43" t="s">
        <v>38</v>
      </c>
      <c r="F10" s="43" t="s">
        <v>39</v>
      </c>
      <c r="G10" s="43" t="s">
        <v>25</v>
      </c>
      <c r="H10">
        <f t="shared" si="1"/>
        <v>0</v>
      </c>
      <c r="I10" s="43" t="s">
        <v>47</v>
      </c>
      <c r="J10" s="34">
        <f t="shared" si="2"/>
        <v>6</v>
      </c>
      <c r="K10" s="28">
        <v>44298</v>
      </c>
      <c r="L10" s="28">
        <v>46489</v>
      </c>
      <c r="M10" s="60">
        <f t="shared" si="3"/>
        <v>6.0027397260273974</v>
      </c>
      <c r="N10" s="4">
        <f t="shared" si="4"/>
        <v>1</v>
      </c>
      <c r="O10" s="43" t="s">
        <v>44</v>
      </c>
      <c r="P10" t="str">
        <f t="shared" si="10"/>
        <v>0</v>
      </c>
      <c r="Q10" s="44">
        <v>400000</v>
      </c>
      <c r="R10" s="43">
        <v>1000</v>
      </c>
      <c r="S10" s="34" t="str">
        <f>IF($V10="USD",INDEX('Dólar Spot'!$B:$B,MATCH(Base!$K10,'Dólar Spot'!$A:$A,0)),"")</f>
        <v/>
      </c>
      <c r="T10" s="4">
        <f t="shared" si="15"/>
        <v>400000000</v>
      </c>
      <c r="U10" s="8">
        <f t="shared" si="11"/>
        <v>4</v>
      </c>
      <c r="V10" s="43" t="s">
        <v>41</v>
      </c>
      <c r="W10" s="45">
        <v>100</v>
      </c>
      <c r="X10" s="46">
        <v>2.15</v>
      </c>
      <c r="Y10" s="9">
        <f>IF(AND(V10="DI",$W10=100),$X10/100,
IF(AND(V10="DI",$W10&lt;&gt;100,$X10=""),INDEX('Debs %CDI'!$Q:$Q,MATCH(Base!$C10,'Debs %CDI'!$A:$A,0)),
IF($V10="USD",INDEX(Bonds!$AF:$AF,MATCH(Base!$C10,Bonds!$B:$B,0)),
IF($V10="IPCA",INDEX('Debs IPCA'!$Z:$Z,MATCH(Base!$C10,'Debs IPCA'!$A:$A,0))))))</f>
        <v>2.1499999999999998E-2</v>
      </c>
      <c r="Z10" s="43">
        <v>252</v>
      </c>
      <c r="AA10" s="43" t="s">
        <v>30</v>
      </c>
      <c r="AB10" s="43" t="s">
        <v>32</v>
      </c>
      <c r="AC10">
        <f t="shared" si="5"/>
        <v>0</v>
      </c>
      <c r="AD10" s="43" t="s">
        <v>31</v>
      </c>
      <c r="AE10">
        <f t="shared" si="6"/>
        <v>1</v>
      </c>
      <c r="AF10" s="34" t="str" cm="1">
        <f t="array" ref="AF10">INDEX(Ratings!$B$2:$M$40,_xlfn.XMATCH(Base!F10,Ratings!$A$2:$A$40),_xlfn.XMATCH(YEAR(Base!K10),Ratings!$B$1:$M$1))</f>
        <v>BB</v>
      </c>
      <c r="AG10">
        <f t="shared" si="12"/>
        <v>0</v>
      </c>
      <c r="AH10">
        <f>IFERROR(IFERROR(IFERROR(INDEX('EMBI+'!$B:$B,MATCH(Base!$K10,'EMBI+'!$A:$A,0)),INDEX('EMBI+'!$B:$B,MATCH(Base!$K10+1,'EMBI+'!$A:$A,0))),INDEX('EMBI+'!$B:$B,MATCH(Base!$K10+2,'EMBI+'!$A:$A,0))),INDEX('EMBI+'!$B:$B,MATCH(Base!$K10+3,'EMBI+'!$A:$A,0)))/100</f>
        <v>2.92</v>
      </c>
      <c r="AL10" s="43"/>
      <c r="AM10" s="28"/>
      <c r="AN10" s="28"/>
    </row>
    <row r="11" spans="1:40" x14ac:dyDescent="0.35">
      <c r="A11">
        <f t="shared" si="8"/>
        <v>9</v>
      </c>
      <c r="B11">
        <f>IF(G11="Bonds",COUNTIF($G$3:G11,"Bonds"),0)</f>
        <v>0</v>
      </c>
      <c r="C11" t="str">
        <f t="shared" si="13"/>
        <v>Aegea4447347030</v>
      </c>
      <c r="D11">
        <f t="shared" si="14"/>
        <v>2</v>
      </c>
      <c r="E11" s="43" t="s">
        <v>38</v>
      </c>
      <c r="F11" s="43" t="s">
        <v>39</v>
      </c>
      <c r="G11" s="43" t="s">
        <v>25</v>
      </c>
      <c r="H11">
        <f t="shared" si="1"/>
        <v>0</v>
      </c>
      <c r="I11" s="43" t="s">
        <v>48</v>
      </c>
      <c r="J11" s="34">
        <f t="shared" si="2"/>
        <v>7</v>
      </c>
      <c r="K11" s="28">
        <v>44473</v>
      </c>
      <c r="L11" s="28">
        <v>47030</v>
      </c>
      <c r="M11" s="60">
        <f t="shared" si="3"/>
        <v>7.0054794520547947</v>
      </c>
      <c r="N11" s="4">
        <f t="shared" si="4"/>
        <v>1</v>
      </c>
      <c r="O11" s="43" t="s">
        <v>44</v>
      </c>
      <c r="P11" t="str">
        <f t="shared" si="10"/>
        <v>0</v>
      </c>
      <c r="Q11" s="44">
        <v>800000</v>
      </c>
      <c r="R11" s="43">
        <v>1000</v>
      </c>
      <c r="S11" s="34" t="str">
        <f>IF($V11="USD",INDEX('Dólar Spot'!$B:$B,MATCH(Base!$K11,'Dólar Spot'!$A:$A,0)),"")</f>
        <v/>
      </c>
      <c r="T11" s="4">
        <f t="shared" si="15"/>
        <v>800000000</v>
      </c>
      <c r="U11" s="8">
        <f t="shared" si="11"/>
        <v>8</v>
      </c>
      <c r="V11" s="43" t="s">
        <v>41</v>
      </c>
      <c r="W11" s="45">
        <v>100</v>
      </c>
      <c r="X11" s="46">
        <v>1.9</v>
      </c>
      <c r="Y11" s="9">
        <f>IF(AND(V11="DI",$W11=100),$X11/100,
IF(AND(V11="DI",$W11&lt;&gt;100,$X11=""),INDEX('Debs %CDI'!$Q:$Q,MATCH(Base!$C11,'Debs %CDI'!$A:$A,0)),
IF($V11="USD",INDEX(Bonds!$AF:$AF,MATCH(Base!$C11,Bonds!$B:$B,0)),
IF($V11="IPCA",INDEX('Debs IPCA'!$Z:$Z,MATCH(Base!$C11,'Debs IPCA'!$A:$A,0))))))</f>
        <v>1.9E-2</v>
      </c>
      <c r="Z11" s="43">
        <v>252</v>
      </c>
      <c r="AA11" s="43" t="s">
        <v>30</v>
      </c>
      <c r="AB11" s="43" t="s">
        <v>32</v>
      </c>
      <c r="AC11">
        <f t="shared" si="5"/>
        <v>0</v>
      </c>
      <c r="AD11" s="43" t="s">
        <v>31</v>
      </c>
      <c r="AE11">
        <f t="shared" si="6"/>
        <v>1</v>
      </c>
      <c r="AF11" s="34" t="str" cm="1">
        <f t="array" ref="AF11">INDEX(Ratings!$B$2:$M$40,_xlfn.XMATCH(Base!F11,Ratings!$A$2:$A$40),_xlfn.XMATCH(YEAR(Base!K11),Ratings!$B$1:$M$1))</f>
        <v>BB</v>
      </c>
      <c r="AG11">
        <f t="shared" si="12"/>
        <v>0</v>
      </c>
      <c r="AH11">
        <f>IFERROR(IFERROR(IFERROR(INDEX('EMBI+'!$B:$B,MATCH(Base!$K11,'EMBI+'!$A:$A,0)),INDEX('EMBI+'!$B:$B,MATCH(Base!$K11+1,'EMBI+'!$A:$A,0))),INDEX('EMBI+'!$B:$B,MATCH(Base!$K11+2,'EMBI+'!$A:$A,0))),INDEX('EMBI+'!$B:$B,MATCH(Base!$K11+3,'EMBI+'!$A:$A,0)))/100</f>
        <v>3.34</v>
      </c>
      <c r="AL11" s="43"/>
      <c r="AM11" s="28"/>
      <c r="AN11" s="28"/>
    </row>
    <row r="12" spans="1:40" x14ac:dyDescent="0.35">
      <c r="A12">
        <f t="shared" si="8"/>
        <v>10</v>
      </c>
      <c r="B12">
        <f>IF(G12="Bonds",COUNTIF($G$3:G12,"Bonds"),0)</f>
        <v>0</v>
      </c>
      <c r="C12" t="str">
        <f t="shared" si="13"/>
        <v>Aegea4329645853</v>
      </c>
      <c r="D12">
        <f t="shared" si="14"/>
        <v>2</v>
      </c>
      <c r="E12" s="43" t="s">
        <v>38</v>
      </c>
      <c r="F12" s="43" t="s">
        <v>39</v>
      </c>
      <c r="G12" s="43" t="s">
        <v>25</v>
      </c>
      <c r="H12">
        <f t="shared" si="1"/>
        <v>0</v>
      </c>
      <c r="I12" s="43" t="s">
        <v>49</v>
      </c>
      <c r="J12" s="34">
        <f t="shared" si="2"/>
        <v>8</v>
      </c>
      <c r="K12" s="28">
        <v>43296</v>
      </c>
      <c r="L12" s="28">
        <v>45853</v>
      </c>
      <c r="M12" s="60">
        <f t="shared" si="3"/>
        <v>7.0054794520547947</v>
      </c>
      <c r="N12" s="4">
        <f t="shared" si="4"/>
        <v>1</v>
      </c>
      <c r="O12" s="43" t="s">
        <v>44</v>
      </c>
      <c r="P12" t="str">
        <f t="shared" si="10"/>
        <v>0</v>
      </c>
      <c r="Q12" s="44">
        <v>6650</v>
      </c>
      <c r="R12" s="43">
        <v>10000</v>
      </c>
      <c r="S12" s="34" t="str">
        <f>IF($V12="USD",INDEX('Dólar Spot'!$B:$B,MATCH(Base!$K12,'Dólar Spot'!$A:$A,0)),"")</f>
        <v/>
      </c>
      <c r="T12" s="4">
        <f t="shared" si="15"/>
        <v>66500000</v>
      </c>
      <c r="U12" s="8">
        <f t="shared" si="11"/>
        <v>0.66500000000000004</v>
      </c>
      <c r="V12" s="43" t="s">
        <v>28</v>
      </c>
      <c r="W12" s="45" t="s">
        <v>29</v>
      </c>
      <c r="X12" s="46">
        <v>7.0824999999999996</v>
      </c>
      <c r="Y12" s="9">
        <f>IF(AND(V12="DI",$W12=100),$X12/100,
IF(AND(V12="DI",$W12&lt;&gt;100,$X12=""),INDEX('Debs %CDI'!$Q:$Q,MATCH(Base!$C12,'Debs %CDI'!$A:$A,0)),
IF($V12="USD",INDEX(Bonds!$AF:$AF,MATCH(Base!$C12,Bonds!$B:$B,0)),
IF($V12="IPCA",INDEX('Debs IPCA'!$Z:$Z,MATCH(Base!$C12,'Debs IPCA'!$A:$A,0))))))</f>
        <v>1.192847043520584E-2</v>
      </c>
      <c r="Z12" s="43">
        <v>252</v>
      </c>
      <c r="AA12" s="43" t="s">
        <v>30</v>
      </c>
      <c r="AB12" s="43" t="s">
        <v>32</v>
      </c>
      <c r="AC12">
        <f t="shared" si="5"/>
        <v>0</v>
      </c>
      <c r="AD12" s="43" t="s">
        <v>31</v>
      </c>
      <c r="AE12">
        <f t="shared" si="6"/>
        <v>1</v>
      </c>
      <c r="AF12" s="34" t="str" cm="1">
        <f t="array" ref="AF12">INDEX(Ratings!$B$2:$M$40,_xlfn.XMATCH(Base!F12,Ratings!$A$2:$A$40),_xlfn.XMATCH(YEAR(Base!K12),Ratings!$B$1:$M$1))</f>
        <v>BB</v>
      </c>
      <c r="AG12">
        <f t="shared" si="12"/>
        <v>0</v>
      </c>
      <c r="AH12">
        <f>IFERROR(IFERROR(IFERROR(INDEX('EMBI+'!$B:$B,MATCH(Base!$K12,'EMBI+'!$A:$A,0)),INDEX('EMBI+'!$B:$B,MATCH(Base!$K12+1,'EMBI+'!$A:$A,0))),INDEX('EMBI+'!$B:$B,MATCH(Base!$K12+2,'EMBI+'!$A:$A,0))),INDEX('EMBI+'!$B:$B,MATCH(Base!$K12+3,'EMBI+'!$A:$A,0)))/100</f>
        <v>2.95</v>
      </c>
      <c r="AL12" s="43"/>
      <c r="AM12" s="28"/>
      <c r="AN12" s="28"/>
    </row>
    <row r="13" spans="1:40" x14ac:dyDescent="0.35">
      <c r="A13">
        <f t="shared" si="8"/>
        <v>11</v>
      </c>
      <c r="B13">
        <f>IF(G13="Bonds",COUNTIF($G$3:G13,"Bonds"),0)</f>
        <v>0</v>
      </c>
      <c r="C13" t="str">
        <f t="shared" si="13"/>
        <v>Aegea4480647363</v>
      </c>
      <c r="D13">
        <f t="shared" si="14"/>
        <v>2</v>
      </c>
      <c r="E13" s="43" t="s">
        <v>38</v>
      </c>
      <c r="F13" s="43" t="s">
        <v>39</v>
      </c>
      <c r="G13" s="43" t="s">
        <v>25</v>
      </c>
      <c r="H13">
        <f t="shared" si="1"/>
        <v>0</v>
      </c>
      <c r="I13" s="43" t="s">
        <v>826</v>
      </c>
      <c r="J13" s="34">
        <f t="shared" si="2"/>
        <v>9</v>
      </c>
      <c r="K13" s="28">
        <v>44806</v>
      </c>
      <c r="L13" s="28">
        <v>47363</v>
      </c>
      <c r="M13" s="60">
        <f t="shared" si="3"/>
        <v>7.0054794520547947</v>
      </c>
      <c r="N13" s="4">
        <f t="shared" si="4"/>
        <v>1</v>
      </c>
      <c r="O13" s="43" t="s">
        <v>58</v>
      </c>
      <c r="P13" t="str">
        <f t="shared" si="10"/>
        <v>1</v>
      </c>
      <c r="Q13" s="44">
        <v>800000</v>
      </c>
      <c r="R13" s="43">
        <v>1000</v>
      </c>
      <c r="S13" s="34" t="str">
        <f>IF($V13="USD",INDEX('Dólar Spot'!$B:$B,MATCH(Base!$K13,'Dólar Spot'!$A:$A,0)),"")</f>
        <v/>
      </c>
      <c r="T13" s="4">
        <f t="shared" si="15"/>
        <v>800000000</v>
      </c>
      <c r="U13" s="8">
        <f t="shared" si="11"/>
        <v>8</v>
      </c>
      <c r="V13" s="43" t="s">
        <v>41</v>
      </c>
      <c r="W13" s="45">
        <v>100</v>
      </c>
      <c r="X13" s="46">
        <v>2.4500000000000002</v>
      </c>
      <c r="Y13" s="9">
        <f>IF(AND(V13="DI",$W13=100),$X13/100,
IF(AND(V13="DI",$W13&lt;&gt;100,$X13=""),INDEX('Debs %CDI'!$Q:$Q,MATCH(Base!$C13,'Debs %CDI'!$A:$A,0)),
IF($V13="USD",INDEX(Bonds!$AF:$AF,MATCH(Base!$C13,Bonds!$B:$B,0)),
IF($V13="IPCA",INDEX('Debs IPCA'!$Z:$Z,MATCH(Base!$C13,'Debs IPCA'!$A:$A,0))))))</f>
        <v>2.4500000000000001E-2</v>
      </c>
      <c r="Z13" s="43">
        <v>252</v>
      </c>
      <c r="AA13" s="43" t="s">
        <v>30</v>
      </c>
      <c r="AB13" s="43" t="s">
        <v>32</v>
      </c>
      <c r="AC13">
        <f t="shared" si="5"/>
        <v>0</v>
      </c>
      <c r="AD13" s="43" t="s">
        <v>31</v>
      </c>
      <c r="AE13">
        <f t="shared" si="6"/>
        <v>1</v>
      </c>
      <c r="AF13" s="34" t="str" cm="1">
        <f t="array" ref="AF13">INDEX(Ratings!$B$2:$M$40,_xlfn.XMATCH(Base!F13,Ratings!$A$2:$A$40),_xlfn.XMATCH(YEAR(Base!K13),Ratings!$B$1:$M$1))</f>
        <v>BB</v>
      </c>
      <c r="AG13">
        <f t="shared" si="12"/>
        <v>0</v>
      </c>
      <c r="AH13">
        <f>IFERROR(IFERROR(IFERROR(INDEX('EMBI+'!$B:$B,MATCH(Base!$K13,'EMBI+'!$A:$A,0)),INDEX('EMBI+'!$B:$B,MATCH(Base!$K13+1,'EMBI+'!$A:$A,0))),INDEX('EMBI+'!$B:$B,MATCH(Base!$K13+2,'EMBI+'!$A:$A,0))),INDEX('EMBI+'!$B:$B,MATCH(Base!$K13+3,'EMBI+'!$A:$A,0)))/100</f>
        <v>2.81</v>
      </c>
      <c r="AL13" s="43"/>
      <c r="AM13" s="28"/>
      <c r="AN13" s="28"/>
    </row>
    <row r="14" spans="1:40" x14ac:dyDescent="0.35">
      <c r="A14">
        <f t="shared" si="8"/>
        <v>12</v>
      </c>
      <c r="B14">
        <f>IF(G14="Bonds",COUNTIF($G$3:G14,"Bonds"),0)</f>
        <v>2</v>
      </c>
      <c r="C14" t="str">
        <f t="shared" si="13"/>
        <v>Aegea4301810/10/2024</v>
      </c>
      <c r="D14">
        <f t="shared" si="14"/>
        <v>2</v>
      </c>
      <c r="E14" s="43" t="s">
        <v>50</v>
      </c>
      <c r="F14" s="43" t="s">
        <v>39</v>
      </c>
      <c r="G14" s="43" t="s">
        <v>34</v>
      </c>
      <c r="H14">
        <f t="shared" si="1"/>
        <v>1</v>
      </c>
      <c r="I14" s="43"/>
      <c r="J14" s="34">
        <f t="shared" si="2"/>
        <v>10</v>
      </c>
      <c r="K14" s="28">
        <v>43018</v>
      </c>
      <c r="L14" s="28" t="s">
        <v>51</v>
      </c>
      <c r="M14" s="60">
        <f t="shared" si="3"/>
        <v>7.0054794520547947</v>
      </c>
      <c r="N14" s="4">
        <f t="shared" si="4"/>
        <v>1</v>
      </c>
      <c r="O14" s="43" t="s">
        <v>36</v>
      </c>
      <c r="P14" t="str">
        <f t="shared" si="10"/>
        <v>0</v>
      </c>
      <c r="Q14" s="43"/>
      <c r="R14" s="43"/>
      <c r="S14" s="34">
        <f>IF($V14="USD",INDEX('Dólar Spot'!$B:$B,MATCH(Base!$K14,'Dólar Spot'!$A:$A,0)),"")</f>
        <v>3.1682000000000001</v>
      </c>
      <c r="T14" s="44">
        <v>400000000</v>
      </c>
      <c r="U14" s="8">
        <f t="shared" si="11"/>
        <v>12.672800000000001</v>
      </c>
      <c r="V14" s="43" t="s">
        <v>651</v>
      </c>
      <c r="W14" s="45" t="s">
        <v>29</v>
      </c>
      <c r="X14" s="46">
        <v>5.75</v>
      </c>
      <c r="Y14" s="9">
        <f>IF(AND(V14="DI",$W14=100),$X14/100,
IF(AND(V14="DI",$W14&lt;&gt;100,$X14=""),INDEX('Debs %CDI'!$Q:$Q,MATCH(Base!$C14,'Debs %CDI'!$A:$A,0)),
IF($V14="USD",INDEX(Bonds!$AF:$AF,MATCH(Base!$C14,Bonds!$B:$B,0)),
IF($V14="IPCA",INDEX('Debs IPCA'!$Z:$Z,MATCH(Base!$C14,'Debs IPCA'!$A:$A,0))))))</f>
        <v>2.0530424709657602E-2</v>
      </c>
      <c r="Z14" s="43">
        <v>360</v>
      </c>
      <c r="AA14" s="43" t="s">
        <v>37</v>
      </c>
      <c r="AB14" s="43" t="s">
        <v>32</v>
      </c>
      <c r="AC14">
        <f t="shared" si="5"/>
        <v>0</v>
      </c>
      <c r="AD14" s="43" t="s">
        <v>31</v>
      </c>
      <c r="AE14">
        <f t="shared" si="6"/>
        <v>1</v>
      </c>
      <c r="AF14" s="34" t="str" cm="1">
        <f t="array" ref="AF14">INDEX(Ratings!$B$2:$M$40,_xlfn.XMATCH(Base!F14,Ratings!$A$2:$A$40),_xlfn.XMATCH(YEAR(Base!K14),Ratings!$B$1:$M$1))</f>
        <v>BB</v>
      </c>
      <c r="AG14">
        <f t="shared" si="12"/>
        <v>0</v>
      </c>
      <c r="AH14">
        <f>IFERROR(IFERROR(IFERROR(INDEX('EMBI+'!$B:$B,MATCH(Base!$K14,'EMBI+'!$A:$A,0)),INDEX('EMBI+'!$B:$B,MATCH(Base!$K14+1,'EMBI+'!$A:$A,0))),INDEX('EMBI+'!$B:$B,MATCH(Base!$K14+2,'EMBI+'!$A:$A,0))),INDEX('EMBI+'!$B:$B,MATCH(Base!$K14+3,'EMBI+'!$A:$A,0)))/100</f>
        <v>2.48</v>
      </c>
      <c r="AL14" s="43"/>
      <c r="AM14" s="28"/>
      <c r="AN14" s="28"/>
    </row>
    <row r="15" spans="1:40" x14ac:dyDescent="0.35">
      <c r="A15">
        <f t="shared" si="8"/>
        <v>13</v>
      </c>
      <c r="B15">
        <f>IF(G15="Bonds",COUNTIF($G$3:G15,"Bonds"),0)</f>
        <v>3</v>
      </c>
      <c r="C15" t="str">
        <f t="shared" ref="C15:C78" si="16">F15&amp;K15&amp;L15</f>
        <v>Aegea4467847258</v>
      </c>
      <c r="D15">
        <f t="shared" ref="D15:D78" si="17">IF(F15&lt;&gt;F14,D14+1,D14)</f>
        <v>2</v>
      </c>
      <c r="E15" s="43" t="s">
        <v>50</v>
      </c>
      <c r="F15" s="43" t="s">
        <v>39</v>
      </c>
      <c r="G15" s="43" t="s">
        <v>34</v>
      </c>
      <c r="H15">
        <f t="shared" ref="H15" si="18">IF(G15="Bonds",1,0)</f>
        <v>1</v>
      </c>
      <c r="I15" s="43"/>
      <c r="J15" s="34">
        <f t="shared" si="2"/>
        <v>11</v>
      </c>
      <c r="K15" s="28">
        <v>44678</v>
      </c>
      <c r="L15" s="28">
        <v>47258</v>
      </c>
      <c r="M15" s="60">
        <f t="shared" si="3"/>
        <v>7.0684931506849313</v>
      </c>
      <c r="N15" s="4">
        <f t="shared" si="4"/>
        <v>1</v>
      </c>
      <c r="O15" s="43" t="s">
        <v>36</v>
      </c>
      <c r="P15" t="str">
        <f t="shared" si="10"/>
        <v>0</v>
      </c>
      <c r="Q15" s="43"/>
      <c r="R15" s="43"/>
      <c r="S15" s="34">
        <f>IF($V15="USD",INDEX('Dólar Spot'!$B:$B,MATCH(Base!$K15,'Dólar Spot'!$A:$A,0)),"")</f>
        <v>4.9650999999999996</v>
      </c>
      <c r="T15" s="44">
        <v>500000000</v>
      </c>
      <c r="U15" s="8">
        <f t="shared" ref="U15" si="19">IF(V15="USD",T15*S15/100000000,Q15*R15/100000000)</f>
        <v>24.825500000000002</v>
      </c>
      <c r="V15" s="43" t="s">
        <v>651</v>
      </c>
      <c r="W15" s="45" t="s">
        <v>29</v>
      </c>
      <c r="X15" s="46">
        <v>6.75</v>
      </c>
      <c r="Y15" s="9">
        <f>IF(AND(V15="DI",$W15=100),$X15/100,
IF(AND(V15="DI",$W15&lt;&gt;100,$X15=""),INDEX('Debs %CDI'!$Q:$Q,MATCH(Base!$C15,'Debs %CDI'!$A:$A,0)),
IF($V15="USD",INDEX(Bonds!$AF:$AF,MATCH(Base!$C15,Bonds!$B:$B,0)),
IF($V15="IPCA",INDEX('Debs IPCA'!$Z:$Z,MATCH(Base!$C15,'Debs IPCA'!$A:$A,0))))))</f>
        <v>3.2351179197091851E-2</v>
      </c>
      <c r="Z15" s="43">
        <v>360</v>
      </c>
      <c r="AA15" s="43" t="s">
        <v>37</v>
      </c>
      <c r="AB15" s="43" t="s">
        <v>32</v>
      </c>
      <c r="AC15">
        <f t="shared" ref="AC15" si="20">IF(AB15="S",1,0)</f>
        <v>0</v>
      </c>
      <c r="AD15" s="43" t="s">
        <v>31</v>
      </c>
      <c r="AE15">
        <f t="shared" ref="AE15" si="21">IF(OR(AD15="N",AD15="AT MATURITY"),0,1)</f>
        <v>1</v>
      </c>
      <c r="AF15" s="34" t="str" cm="1">
        <f t="array" ref="AF15">INDEX(Ratings!$B$2:$M$40,_xlfn.XMATCH(Base!F15,Ratings!$A$2:$A$40),_xlfn.XMATCH(YEAR(Base!K15),Ratings!$B$1:$M$1))</f>
        <v>BB</v>
      </c>
      <c r="AG15">
        <f t="shared" si="12"/>
        <v>0</v>
      </c>
      <c r="AH15">
        <f>IFERROR(IFERROR(IFERROR(INDEX('EMBI+'!$B:$B,MATCH(Base!$K15,'EMBI+'!$A:$A,0)),INDEX('EMBI+'!$B:$B,MATCH(Base!$K15+1,'EMBI+'!$A:$A,0))),INDEX('EMBI+'!$B:$B,MATCH(Base!$K15+2,'EMBI+'!$A:$A,0))),INDEX('EMBI+'!$B:$B,MATCH(Base!$K15+3,'EMBI+'!$A:$A,0)))/100</f>
        <v>2.97</v>
      </c>
      <c r="AL15" s="43"/>
      <c r="AM15" s="28"/>
      <c r="AN15" s="28"/>
    </row>
    <row r="16" spans="1:40" x14ac:dyDescent="0.35">
      <c r="A16">
        <f t="shared" si="8"/>
        <v>14</v>
      </c>
      <c r="B16">
        <f>IF(G16="Bonds",COUNTIF($G$3:G16,"Bonds"),0)</f>
        <v>0</v>
      </c>
      <c r="C16" t="str">
        <f t="shared" si="16"/>
        <v>Americanas4107342899</v>
      </c>
      <c r="D16">
        <f t="shared" si="17"/>
        <v>3</v>
      </c>
      <c r="E16" s="43" t="s">
        <v>52</v>
      </c>
      <c r="F16" s="43" t="s">
        <v>53</v>
      </c>
      <c r="G16" s="43" t="s">
        <v>25</v>
      </c>
      <c r="H16">
        <f t="shared" si="1"/>
        <v>0</v>
      </c>
      <c r="I16" s="43" t="s">
        <v>54</v>
      </c>
      <c r="J16" s="34">
        <f t="shared" si="2"/>
        <v>1</v>
      </c>
      <c r="K16" s="28">
        <v>41073</v>
      </c>
      <c r="L16" s="28">
        <v>42899</v>
      </c>
      <c r="M16" s="60">
        <f t="shared" si="3"/>
        <v>5.0027397260273974</v>
      </c>
      <c r="N16" s="4">
        <f t="shared" si="4"/>
        <v>1</v>
      </c>
      <c r="O16" s="43" t="s">
        <v>44</v>
      </c>
      <c r="P16" t="str">
        <f t="shared" si="10"/>
        <v>0</v>
      </c>
      <c r="Q16" s="44">
        <v>30000</v>
      </c>
      <c r="R16" s="43">
        <v>10000</v>
      </c>
      <c r="S16" s="34" t="str">
        <f>IF($V16="USD",INDEX('Dólar Spot'!$B:$B,MATCH(Base!$K16,'Dólar Spot'!$A:$A,0)),"")</f>
        <v/>
      </c>
      <c r="T16" s="4">
        <f t="shared" ref="T16:T37" si="22">Q16*R16</f>
        <v>300000000</v>
      </c>
      <c r="U16" s="8">
        <f t="shared" si="11"/>
        <v>3</v>
      </c>
      <c r="V16" s="43" t="s">
        <v>41</v>
      </c>
      <c r="W16" s="45">
        <v>120</v>
      </c>
      <c r="X16" s="46"/>
      <c r="Y16" s="9">
        <f>IF(AND(V16="DI",$W16=100),$X16/100,
IF(AND(V16="DI",$W16&lt;&gt;100,$X16=""),INDEX('Debs %CDI'!$Q:$Q,MATCH(Base!$C16,'Debs %CDI'!$A:$A,0)),
IF($V16="USD",INDEX(Bonds!$AF:$AF,MATCH(Base!$C16,Bonds!$B:$B,0)),
IF($V16="IPCA",INDEX('Debs IPCA'!$Z:$Z,MATCH(Base!$C16,'Debs IPCA'!$A:$A,0))))))</f>
        <v>1.9581088218107286E-2</v>
      </c>
      <c r="Z16" s="43">
        <v>252</v>
      </c>
      <c r="AA16" s="43" t="s">
        <v>30</v>
      </c>
      <c r="AB16" s="43" t="s">
        <v>32</v>
      </c>
      <c r="AC16">
        <f t="shared" si="5"/>
        <v>0</v>
      </c>
      <c r="AD16" s="43" t="s">
        <v>31</v>
      </c>
      <c r="AE16">
        <f t="shared" si="6"/>
        <v>1</v>
      </c>
      <c r="AF16" s="34" t="str" cm="1">
        <f t="array" ref="AF16">INDEX(Ratings!$B$2:$M$40,_xlfn.XMATCH(Base!F16,Ratings!$A$2:$A$40),_xlfn.XMATCH(YEAR(Base!K16),Ratings!$B$1:$M$1))</f>
        <v>NR</v>
      </c>
      <c r="AG16">
        <f t="shared" si="12"/>
        <v>0</v>
      </c>
      <c r="AH16">
        <f>IFERROR(IFERROR(IFERROR(INDEX('EMBI+'!$B:$B,MATCH(Base!$K16,'EMBI+'!$A:$A,0)),INDEX('EMBI+'!$B:$B,MATCH(Base!$K16+1,'EMBI+'!$A:$A,0))),INDEX('EMBI+'!$B:$B,MATCH(Base!$K16+2,'EMBI+'!$A:$A,0))),INDEX('EMBI+'!$B:$B,MATCH(Base!$K16+3,'EMBI+'!$A:$A,0)))/100</f>
        <v>2.14</v>
      </c>
      <c r="AL16" s="43"/>
      <c r="AM16" s="28"/>
      <c r="AN16" s="28"/>
    </row>
    <row r="17" spans="1:40" x14ac:dyDescent="0.35">
      <c r="A17">
        <f t="shared" si="8"/>
        <v>15</v>
      </c>
      <c r="B17">
        <f>IF(G17="Bonds",COUNTIF($G$3:G17,"Bonds"),0)</f>
        <v>0</v>
      </c>
      <c r="C17" t="str">
        <f t="shared" si="16"/>
        <v>Americanas4415047832</v>
      </c>
      <c r="D17">
        <f t="shared" si="17"/>
        <v>3</v>
      </c>
      <c r="E17" s="43" t="s">
        <v>52</v>
      </c>
      <c r="F17" s="43" t="s">
        <v>53</v>
      </c>
      <c r="G17" s="43" t="s">
        <v>25</v>
      </c>
      <c r="H17">
        <f t="shared" si="1"/>
        <v>0</v>
      </c>
      <c r="I17" s="43" t="s">
        <v>55</v>
      </c>
      <c r="J17" s="34">
        <f t="shared" si="2"/>
        <v>2</v>
      </c>
      <c r="K17" s="28">
        <v>44150</v>
      </c>
      <c r="L17" s="28">
        <v>47832</v>
      </c>
      <c r="M17" s="60">
        <f t="shared" si="3"/>
        <v>10.087671232876712</v>
      </c>
      <c r="N17" s="4">
        <f t="shared" si="4"/>
        <v>1</v>
      </c>
      <c r="O17" s="43" t="s">
        <v>44</v>
      </c>
      <c r="P17" t="str">
        <f t="shared" si="10"/>
        <v>0</v>
      </c>
      <c r="Q17" s="44">
        <v>3100000</v>
      </c>
      <c r="R17" s="43">
        <v>1000</v>
      </c>
      <c r="S17" s="34" t="str">
        <f>IF($V17="USD",INDEX('Dólar Spot'!$B:$B,MATCH(Base!$K17,'Dólar Spot'!$A:$A,0)),"")</f>
        <v/>
      </c>
      <c r="T17" s="4">
        <f t="shared" si="22"/>
        <v>3100000000</v>
      </c>
      <c r="U17" s="8">
        <f t="shared" si="11"/>
        <v>31</v>
      </c>
      <c r="V17" s="43" t="s">
        <v>28</v>
      </c>
      <c r="W17" s="45" t="s">
        <v>29</v>
      </c>
      <c r="X17" s="46">
        <v>6.9569999999999999</v>
      </c>
      <c r="Y17" s="9">
        <f>IF(AND(V17="DI",$W17=100),$X17/100,
IF(AND(V17="DI",$W17&lt;&gt;100,$X17=""),INDEX('Debs %CDI'!$Q:$Q,MATCH(Base!$C17,'Debs %CDI'!$A:$A,0)),
IF($V17="USD",INDEX(Bonds!$AF:$AF,MATCH(Base!$C17,Bonds!$B:$B,0)),
IF($V17="IPCA",INDEX('Debs IPCA'!$Z:$Z,MATCH(Base!$C17,'Debs IPCA'!$A:$A,0))))))</f>
        <v>3.0695966659125551E-2</v>
      </c>
      <c r="Z17" s="43">
        <v>252</v>
      </c>
      <c r="AA17" s="43" t="s">
        <v>30</v>
      </c>
      <c r="AB17" s="43" t="s">
        <v>31</v>
      </c>
      <c r="AC17">
        <f t="shared" si="5"/>
        <v>1</v>
      </c>
      <c r="AD17" s="43" t="s">
        <v>32</v>
      </c>
      <c r="AE17">
        <f t="shared" si="6"/>
        <v>0</v>
      </c>
      <c r="AF17" s="34" t="str" cm="1">
        <f t="array" ref="AF17">INDEX(Ratings!$B$2:$M$40,_xlfn.XMATCH(Base!F17,Ratings!$A$2:$A$40),_xlfn.XMATCH(YEAR(Base!K17),Ratings!$B$1:$M$1))</f>
        <v>BB</v>
      </c>
      <c r="AG17">
        <f t="shared" si="12"/>
        <v>0</v>
      </c>
      <c r="AH17">
        <f>IFERROR(IFERROR(IFERROR(INDEX('EMBI+'!$B:$B,MATCH(Base!$K17,'EMBI+'!$A:$A,0)),INDEX('EMBI+'!$B:$B,MATCH(Base!$K17+1,'EMBI+'!$A:$A,0))),INDEX('EMBI+'!$B:$B,MATCH(Base!$K17+2,'EMBI+'!$A:$A,0))),INDEX('EMBI+'!$B:$B,MATCH(Base!$K17+3,'EMBI+'!$A:$A,0)))/100</f>
        <v>2.76</v>
      </c>
      <c r="AL17" s="43"/>
      <c r="AM17" s="28"/>
      <c r="AN17" s="28"/>
    </row>
    <row r="18" spans="1:40" x14ac:dyDescent="0.35">
      <c r="A18">
        <f t="shared" si="8"/>
        <v>16</v>
      </c>
      <c r="B18">
        <f>IF(G18="Bonds",COUNTIF($G$3:G18,"Bonds"),0)</f>
        <v>0</v>
      </c>
      <c r="C18" t="str">
        <f t="shared" si="16"/>
        <v>Americanas4269543790</v>
      </c>
      <c r="D18">
        <f t="shared" si="17"/>
        <v>3</v>
      </c>
      <c r="E18" s="43" t="s">
        <v>52</v>
      </c>
      <c r="F18" s="43" t="s">
        <v>53</v>
      </c>
      <c r="G18" s="43" t="s">
        <v>25</v>
      </c>
      <c r="H18">
        <f t="shared" si="1"/>
        <v>0</v>
      </c>
      <c r="I18" s="43" t="s">
        <v>56</v>
      </c>
      <c r="J18" s="34">
        <f t="shared" si="2"/>
        <v>3</v>
      </c>
      <c r="K18" s="28">
        <v>42695</v>
      </c>
      <c r="L18" s="28">
        <v>43790</v>
      </c>
      <c r="M18" s="60">
        <f t="shared" si="3"/>
        <v>3</v>
      </c>
      <c r="N18" s="4">
        <f t="shared" si="4"/>
        <v>0</v>
      </c>
      <c r="O18" s="43" t="s">
        <v>44</v>
      </c>
      <c r="P18" t="str">
        <f t="shared" si="10"/>
        <v>0</v>
      </c>
      <c r="Q18" s="44">
        <v>30000</v>
      </c>
      <c r="R18" s="43">
        <v>10000</v>
      </c>
      <c r="S18" s="34" t="str">
        <f>IF($V18="USD",INDEX('Dólar Spot'!$B:$B,MATCH(Base!$K18,'Dólar Spot'!$A:$A,0)),"")</f>
        <v/>
      </c>
      <c r="T18" s="4">
        <f t="shared" si="22"/>
        <v>300000000</v>
      </c>
      <c r="U18" s="8">
        <f t="shared" si="11"/>
        <v>3</v>
      </c>
      <c r="V18" s="43" t="s">
        <v>41</v>
      </c>
      <c r="W18" s="45">
        <v>112</v>
      </c>
      <c r="X18" s="46"/>
      <c r="Y18" s="9">
        <f>IF(AND(V18="DI",$W18=100),$X18/100,
IF(AND(V18="DI",$W18&lt;&gt;100,$X18=""),INDEX('Debs %CDI'!$Q:$Q,MATCH(Base!$C18,'Debs %CDI'!$A:$A,0)),
IF($V18="USD",INDEX(Bonds!$AF:$AF,MATCH(Base!$C18,Bonds!$B:$B,0)),
IF($V18="IPCA",INDEX('Debs IPCA'!$Z:$Z,MATCH(Base!$C18,'Debs IPCA'!$A:$A,0))))))</f>
        <v>1.4098648233335002E-2</v>
      </c>
      <c r="Z18" s="43">
        <v>252</v>
      </c>
      <c r="AA18" s="43" t="s">
        <v>30</v>
      </c>
      <c r="AB18" s="43" t="s">
        <v>32</v>
      </c>
      <c r="AC18">
        <f t="shared" si="5"/>
        <v>0</v>
      </c>
      <c r="AD18" s="43" t="s">
        <v>31</v>
      </c>
      <c r="AE18">
        <f t="shared" si="6"/>
        <v>1</v>
      </c>
      <c r="AF18" s="34" t="str" cm="1">
        <f t="array" ref="AF18">INDEX(Ratings!$B$2:$M$40,_xlfn.XMATCH(Base!F18,Ratings!$A$2:$A$40),_xlfn.XMATCH(YEAR(Base!K18),Ratings!$B$1:$M$1))</f>
        <v>NR</v>
      </c>
      <c r="AG18">
        <f t="shared" si="12"/>
        <v>0</v>
      </c>
      <c r="AH18">
        <f>IFERROR(IFERROR(IFERROR(INDEX('EMBI+'!$B:$B,MATCH(Base!$K18,'EMBI+'!$A:$A,0)),INDEX('EMBI+'!$B:$B,MATCH(Base!$K18+1,'EMBI+'!$A:$A,0))),INDEX('EMBI+'!$B:$B,MATCH(Base!$K18+2,'EMBI+'!$A:$A,0))),INDEX('EMBI+'!$B:$B,MATCH(Base!$K18+3,'EMBI+'!$A:$A,0)))/100</f>
        <v>3.33</v>
      </c>
      <c r="AL18" s="43"/>
      <c r="AM18" s="28"/>
      <c r="AN18" s="28"/>
    </row>
    <row r="19" spans="1:40" x14ac:dyDescent="0.35">
      <c r="A19">
        <f t="shared" si="8"/>
        <v>17</v>
      </c>
      <c r="B19">
        <f>IF(G19="Bonds",COUNTIF($G$3:G19,"Bonds"),0)</f>
        <v>0</v>
      </c>
      <c r="C19" t="str">
        <f t="shared" si="16"/>
        <v>Americanas4079145468</v>
      </c>
      <c r="D19">
        <f t="shared" si="17"/>
        <v>3</v>
      </c>
      <c r="E19" s="43" t="s">
        <v>52</v>
      </c>
      <c r="F19" s="43" t="s">
        <v>53</v>
      </c>
      <c r="G19" s="43" t="s">
        <v>25</v>
      </c>
      <c r="H19">
        <f t="shared" si="1"/>
        <v>0</v>
      </c>
      <c r="I19" s="43" t="s">
        <v>57</v>
      </c>
      <c r="J19" s="34">
        <f t="shared" si="2"/>
        <v>4</v>
      </c>
      <c r="K19" s="28">
        <v>40791</v>
      </c>
      <c r="L19" s="28">
        <v>45468</v>
      </c>
      <c r="M19" s="60">
        <f t="shared" si="3"/>
        <v>12.813698630136987</v>
      </c>
      <c r="N19" s="4">
        <f t="shared" si="4"/>
        <v>1</v>
      </c>
      <c r="O19" s="43" t="s">
        <v>58</v>
      </c>
      <c r="P19" t="str">
        <f t="shared" si="10"/>
        <v>1</v>
      </c>
      <c r="Q19" s="44">
        <v>50000</v>
      </c>
      <c r="R19" s="43">
        <v>10000</v>
      </c>
      <c r="S19" s="34" t="str">
        <f>IF($V19="USD",INDEX('Dólar Spot'!$B:$B,MATCH(Base!$K19,'Dólar Spot'!$A:$A,0)),"")</f>
        <v/>
      </c>
      <c r="T19" s="4">
        <f t="shared" si="22"/>
        <v>500000000</v>
      </c>
      <c r="U19" s="8">
        <f t="shared" si="11"/>
        <v>5</v>
      </c>
      <c r="V19" s="43" t="s">
        <v>41</v>
      </c>
      <c r="W19" s="45">
        <v>117.5</v>
      </c>
      <c r="X19" s="46"/>
      <c r="Y19" s="9">
        <f>IF(AND(V19="DI",$W19=100),$X19/100,
IF(AND(V19="DI",$W19&lt;&gt;100,$X19=""),INDEX('Debs %CDI'!$Q:$Q,MATCH(Base!$C19,'Debs %CDI'!$A:$A,0)),
IF($V19="USD",INDEX(Bonds!$AF:$AF,MATCH(Base!$C19,Bonds!$B:$B,0)),
IF($V19="IPCA",INDEX('Debs IPCA'!$Z:$Z,MATCH(Base!$C19,'Debs IPCA'!$A:$A,0))))))</f>
        <v>1.9763618005311328E-2</v>
      </c>
      <c r="Z19" s="43">
        <v>252</v>
      </c>
      <c r="AA19" s="43" t="s">
        <v>30</v>
      </c>
      <c r="AB19" s="43" t="s">
        <v>32</v>
      </c>
      <c r="AC19">
        <f t="shared" si="5"/>
        <v>0</v>
      </c>
      <c r="AD19" s="43" t="s">
        <v>31</v>
      </c>
      <c r="AE19">
        <f t="shared" si="6"/>
        <v>1</v>
      </c>
      <c r="AF19" s="34" t="str" cm="1">
        <f t="array" ref="AF19">INDEX(Ratings!$B$2:$M$40,_xlfn.XMATCH(Base!F19,Ratings!$A$2:$A$40),_xlfn.XMATCH(YEAR(Base!K19),Ratings!$B$1:$M$1))</f>
        <v>NR</v>
      </c>
      <c r="AG19">
        <f t="shared" si="12"/>
        <v>0</v>
      </c>
      <c r="AH19">
        <f>IFERROR(IFERROR(IFERROR(INDEX('EMBI+'!$B:$B,MATCH(Base!$K19,'EMBI+'!$A:$A,0)),INDEX('EMBI+'!$B:$B,MATCH(Base!$K19+1,'EMBI+'!$A:$A,0))),INDEX('EMBI+'!$B:$B,MATCH(Base!$K19+2,'EMBI+'!$A:$A,0))),INDEX('EMBI+'!$B:$B,MATCH(Base!$K19+3,'EMBI+'!$A:$A,0)))/100</f>
        <v>2.14</v>
      </c>
      <c r="AL19" s="43"/>
      <c r="AM19" s="28"/>
      <c r="AN19" s="28"/>
    </row>
    <row r="20" spans="1:40" x14ac:dyDescent="0.35">
      <c r="A20">
        <f t="shared" si="8"/>
        <v>18</v>
      </c>
      <c r="B20">
        <f>IF(G20="Bonds",COUNTIF($G$3:G20,"Bonds"),0)</f>
        <v>0</v>
      </c>
      <c r="C20" t="str">
        <f t="shared" si="16"/>
        <v>Americanas4093443126</v>
      </c>
      <c r="D20">
        <f t="shared" si="17"/>
        <v>3</v>
      </c>
      <c r="E20" s="43" t="s">
        <v>52</v>
      </c>
      <c r="F20" s="43" t="s">
        <v>53</v>
      </c>
      <c r="G20" s="43" t="s">
        <v>25</v>
      </c>
      <c r="H20">
        <f t="shared" si="1"/>
        <v>0</v>
      </c>
      <c r="I20" s="43" t="s">
        <v>59</v>
      </c>
      <c r="J20" s="34">
        <f t="shared" si="2"/>
        <v>5</v>
      </c>
      <c r="K20" s="28">
        <v>40934</v>
      </c>
      <c r="L20" s="28">
        <v>43126</v>
      </c>
      <c r="M20" s="60">
        <f t="shared" si="3"/>
        <v>6.0054794520547947</v>
      </c>
      <c r="N20" s="4">
        <f t="shared" si="4"/>
        <v>1</v>
      </c>
      <c r="O20" s="43" t="s">
        <v>44</v>
      </c>
      <c r="P20" t="str">
        <f t="shared" si="10"/>
        <v>0</v>
      </c>
      <c r="Q20" s="44">
        <v>30000</v>
      </c>
      <c r="R20" s="43">
        <v>10000</v>
      </c>
      <c r="S20" s="34" t="str">
        <f>IF($V20="USD",INDEX('Dólar Spot'!$B:$B,MATCH(Base!$K20,'Dólar Spot'!$A:$A,0)),"")</f>
        <v/>
      </c>
      <c r="T20" s="4">
        <f t="shared" si="22"/>
        <v>300000000</v>
      </c>
      <c r="U20" s="8">
        <f t="shared" si="11"/>
        <v>3</v>
      </c>
      <c r="V20" s="43" t="s">
        <v>41</v>
      </c>
      <c r="W20" s="45">
        <v>112</v>
      </c>
      <c r="X20" s="46"/>
      <c r="Y20" s="9">
        <f>IF(AND(V20="DI",$W20=100),$X20/100,
IF(AND(V20="DI",$W20&lt;&gt;100,$X20=""),INDEX('Debs %CDI'!$Q:$Q,MATCH(Base!$C20,'Debs %CDI'!$A:$A,0)),
IF($V20="USD",INDEX(Bonds!$AF:$AF,MATCH(Base!$C20,Bonds!$B:$B,0)),
IF($V20="IPCA",INDEX('Debs IPCA'!$Z:$Z,MATCH(Base!$C20,'Debs IPCA'!$A:$A,0))))))</f>
        <v>1.3334596901974803E-2</v>
      </c>
      <c r="Z20" s="43">
        <v>252</v>
      </c>
      <c r="AA20" s="43" t="s">
        <v>30</v>
      </c>
      <c r="AB20" s="43" t="s">
        <v>32</v>
      </c>
      <c r="AC20">
        <f t="shared" si="5"/>
        <v>0</v>
      </c>
      <c r="AD20" s="43" t="s">
        <v>31</v>
      </c>
      <c r="AE20">
        <f t="shared" si="6"/>
        <v>1</v>
      </c>
      <c r="AF20" s="34" t="str" cm="1">
        <f t="array" ref="AF20">INDEX(Ratings!$B$2:$M$40,_xlfn.XMATCH(Base!F20,Ratings!$A$2:$A$40),_xlfn.XMATCH(YEAR(Base!K20),Ratings!$B$1:$M$1))</f>
        <v>NR</v>
      </c>
      <c r="AG20">
        <f t="shared" si="12"/>
        <v>0</v>
      </c>
      <c r="AH20">
        <f>IFERROR(IFERROR(IFERROR(INDEX('EMBI+'!$B:$B,MATCH(Base!$K20,'EMBI+'!$A:$A,0)),INDEX('EMBI+'!$B:$B,MATCH(Base!$K20+1,'EMBI+'!$A:$A,0))),INDEX('EMBI+'!$B:$B,MATCH(Base!$K20+2,'EMBI+'!$A:$A,0))),INDEX('EMBI+'!$B:$B,MATCH(Base!$K20+3,'EMBI+'!$A:$A,0)))/100</f>
        <v>2.1800000000000002</v>
      </c>
      <c r="AL20" s="43"/>
      <c r="AM20" s="28"/>
      <c r="AN20" s="28"/>
    </row>
    <row r="21" spans="1:40" x14ac:dyDescent="0.35">
      <c r="A21">
        <f t="shared" si="8"/>
        <v>19</v>
      </c>
      <c r="B21">
        <f>IF(G21="Bonds",COUNTIF($G$3:G21,"Bonds"),0)</f>
        <v>0</v>
      </c>
      <c r="C21" t="str">
        <f t="shared" si="16"/>
        <v>Americanas4126443090</v>
      </c>
      <c r="D21">
        <f t="shared" si="17"/>
        <v>3</v>
      </c>
      <c r="E21" s="43" t="s">
        <v>52</v>
      </c>
      <c r="F21" s="43" t="s">
        <v>53</v>
      </c>
      <c r="G21" s="43" t="s">
        <v>25</v>
      </c>
      <c r="H21">
        <f t="shared" si="1"/>
        <v>0</v>
      </c>
      <c r="I21" s="43" t="s">
        <v>60</v>
      </c>
      <c r="J21" s="34">
        <f t="shared" si="2"/>
        <v>6</v>
      </c>
      <c r="K21" s="28">
        <v>41264</v>
      </c>
      <c r="L21" s="28">
        <v>43090</v>
      </c>
      <c r="M21" s="60">
        <f t="shared" si="3"/>
        <v>5.0027397260273974</v>
      </c>
      <c r="N21" s="4">
        <f t="shared" si="4"/>
        <v>1</v>
      </c>
      <c r="O21" s="43" t="s">
        <v>44</v>
      </c>
      <c r="P21" t="str">
        <f t="shared" si="10"/>
        <v>0</v>
      </c>
      <c r="Q21" s="44">
        <v>30000</v>
      </c>
      <c r="R21" s="43">
        <v>10000</v>
      </c>
      <c r="S21" s="34" t="str">
        <f>IF($V21="USD",INDEX('Dólar Spot'!$B:$B,MATCH(Base!$K21,'Dólar Spot'!$A:$A,0)),"")</f>
        <v/>
      </c>
      <c r="T21" s="4">
        <f t="shared" si="22"/>
        <v>300000000</v>
      </c>
      <c r="U21" s="8">
        <f t="shared" si="11"/>
        <v>3</v>
      </c>
      <c r="V21" s="43" t="s">
        <v>41</v>
      </c>
      <c r="W21" s="45">
        <v>100</v>
      </c>
      <c r="X21" s="46">
        <v>1.03</v>
      </c>
      <c r="Y21" s="9">
        <f>IF(AND(V21="DI",$W21=100),$X21/100,
IF(AND(V21="DI",$W21&lt;&gt;100,$X21=""),INDEX('Debs %CDI'!$Q:$Q,MATCH(Base!$C21,'Debs %CDI'!$A:$A,0)),
IF($V21="USD",INDEX(Bonds!$AF:$AF,MATCH(Base!$C21,Bonds!$B:$B,0)),
IF($V21="IPCA",INDEX('Debs IPCA'!$Z:$Z,MATCH(Base!$C21,'Debs IPCA'!$A:$A,0))))))</f>
        <v>1.03E-2</v>
      </c>
      <c r="Z21" s="43">
        <v>252</v>
      </c>
      <c r="AA21" s="43" t="s">
        <v>30</v>
      </c>
      <c r="AB21" s="43" t="s">
        <v>32</v>
      </c>
      <c r="AC21">
        <f t="shared" si="5"/>
        <v>0</v>
      </c>
      <c r="AD21" s="43" t="s">
        <v>31</v>
      </c>
      <c r="AE21">
        <f t="shared" si="6"/>
        <v>1</v>
      </c>
      <c r="AF21" s="34" t="str" cm="1">
        <f t="array" ref="AF21">INDEX(Ratings!$B$2:$M$40,_xlfn.XMATCH(Base!F21,Ratings!$A$2:$A$40),_xlfn.XMATCH(YEAR(Base!K21),Ratings!$B$1:$M$1))</f>
        <v>NR</v>
      </c>
      <c r="AG21">
        <f t="shared" si="12"/>
        <v>0</v>
      </c>
      <c r="AH21">
        <f>IFERROR(IFERROR(IFERROR(INDEX('EMBI+'!$B:$B,MATCH(Base!$K21,'EMBI+'!$A:$A,0)),INDEX('EMBI+'!$B:$B,MATCH(Base!$K21+1,'EMBI+'!$A:$A,0))),INDEX('EMBI+'!$B:$B,MATCH(Base!$K21+2,'EMBI+'!$A:$A,0))),INDEX('EMBI+'!$B:$B,MATCH(Base!$K21+3,'EMBI+'!$A:$A,0)))/100</f>
        <v>1.43</v>
      </c>
      <c r="AL21" s="43"/>
      <c r="AM21" s="28"/>
      <c r="AN21" s="28"/>
    </row>
    <row r="22" spans="1:40" x14ac:dyDescent="0.35">
      <c r="A22">
        <f t="shared" si="8"/>
        <v>20</v>
      </c>
      <c r="B22">
        <f>IF(G22="Bonds",COUNTIF($G$3:G22,"Bonds"),0)</f>
        <v>0</v>
      </c>
      <c r="C22" t="str">
        <f t="shared" si="16"/>
        <v>Americanas4147043296</v>
      </c>
      <c r="D22">
        <f t="shared" si="17"/>
        <v>3</v>
      </c>
      <c r="E22" s="43" t="s">
        <v>52</v>
      </c>
      <c r="F22" s="43" t="s">
        <v>53</v>
      </c>
      <c r="G22" s="43" t="s">
        <v>25</v>
      </c>
      <c r="H22">
        <f t="shared" si="1"/>
        <v>0</v>
      </c>
      <c r="I22" s="43" t="s">
        <v>61</v>
      </c>
      <c r="J22" s="34">
        <f t="shared" si="2"/>
        <v>7</v>
      </c>
      <c r="K22" s="28">
        <v>41470</v>
      </c>
      <c r="L22" s="28">
        <v>43296</v>
      </c>
      <c r="M22" s="60">
        <f t="shared" si="3"/>
        <v>5.0027397260273974</v>
      </c>
      <c r="N22" s="4">
        <f t="shared" si="4"/>
        <v>1</v>
      </c>
      <c r="O22" s="43" t="s">
        <v>44</v>
      </c>
      <c r="P22" t="str">
        <f t="shared" si="10"/>
        <v>0</v>
      </c>
      <c r="Q22" s="44">
        <v>15460</v>
      </c>
      <c r="R22" s="43">
        <v>10000</v>
      </c>
      <c r="S22" s="34" t="str">
        <f>IF($V22="USD",INDEX('Dólar Spot'!$B:$B,MATCH(Base!$K22,'Dólar Spot'!$A:$A,0)),"")</f>
        <v/>
      </c>
      <c r="T22" s="4">
        <f t="shared" si="22"/>
        <v>154600000</v>
      </c>
      <c r="U22" s="8">
        <f t="shared" si="11"/>
        <v>1.546</v>
      </c>
      <c r="V22" s="43" t="s">
        <v>41</v>
      </c>
      <c r="W22" s="45">
        <v>112</v>
      </c>
      <c r="X22" s="46"/>
      <c r="Y22" s="9">
        <f>IF(AND(V22="DI",$W22=100),$X22/100,
IF(AND(V22="DI",$W22&lt;&gt;100,$X22=""),INDEX('Debs %CDI'!$Q:$Q,MATCH(Base!$C22,'Debs %CDI'!$A:$A,0)),
IF($V22="USD",INDEX(Bonds!$AF:$AF,MATCH(Base!$C22,Bonds!$B:$B,0)),
IF($V22="IPCA",INDEX('Debs IPCA'!$Z:$Z,MATCH(Base!$C22,'Debs IPCA'!$A:$A,0))))))</f>
        <v>1.301109180961219E-2</v>
      </c>
      <c r="Z22" s="43">
        <v>252</v>
      </c>
      <c r="AA22" s="43" t="s">
        <v>30</v>
      </c>
      <c r="AB22" s="43" t="s">
        <v>32</v>
      </c>
      <c r="AC22">
        <f t="shared" si="5"/>
        <v>0</v>
      </c>
      <c r="AD22" s="43" t="s">
        <v>31</v>
      </c>
      <c r="AE22">
        <f t="shared" si="6"/>
        <v>1</v>
      </c>
      <c r="AF22" s="34" t="str" cm="1">
        <f t="array" ref="AF22">INDEX(Ratings!$B$2:$M$40,_xlfn.XMATCH(Base!F22,Ratings!$A$2:$A$40),_xlfn.XMATCH(YEAR(Base!K22),Ratings!$B$1:$M$1))</f>
        <v>NR</v>
      </c>
      <c r="AG22">
        <f t="shared" si="12"/>
        <v>0</v>
      </c>
      <c r="AH22">
        <f>IFERROR(IFERROR(IFERROR(INDEX('EMBI+'!$B:$B,MATCH(Base!$K22,'EMBI+'!$A:$A,0)),INDEX('EMBI+'!$B:$B,MATCH(Base!$K22+1,'EMBI+'!$A:$A,0))),INDEX('EMBI+'!$B:$B,MATCH(Base!$K22+2,'EMBI+'!$A:$A,0))),INDEX('EMBI+'!$B:$B,MATCH(Base!$K22+3,'EMBI+'!$A:$A,0)))/100</f>
        <v>2.2400000000000002</v>
      </c>
      <c r="AL22" s="43"/>
      <c r="AM22" s="28"/>
      <c r="AN22" s="28"/>
    </row>
    <row r="23" spans="1:40" x14ac:dyDescent="0.35">
      <c r="A23">
        <f t="shared" si="8"/>
        <v>21</v>
      </c>
      <c r="B23">
        <f>IF(G23="Bonds",COUNTIF($G$3:G23,"Bonds"),0)</f>
        <v>0</v>
      </c>
      <c r="C23" t="str">
        <f t="shared" si="16"/>
        <v>Americanas4181545468</v>
      </c>
      <c r="D23">
        <f t="shared" si="17"/>
        <v>3</v>
      </c>
      <c r="E23" s="43" t="s">
        <v>52</v>
      </c>
      <c r="F23" s="43" t="s">
        <v>53</v>
      </c>
      <c r="G23" s="43" t="s">
        <v>25</v>
      </c>
      <c r="H23">
        <f t="shared" si="1"/>
        <v>0</v>
      </c>
      <c r="I23" s="43" t="s">
        <v>62</v>
      </c>
      <c r="J23" s="34">
        <f t="shared" si="2"/>
        <v>8</v>
      </c>
      <c r="K23" s="28">
        <v>41815</v>
      </c>
      <c r="L23" s="28">
        <v>45468</v>
      </c>
      <c r="M23" s="60">
        <f t="shared" si="3"/>
        <v>10.008219178082191</v>
      </c>
      <c r="N23" s="4">
        <f t="shared" si="4"/>
        <v>1</v>
      </c>
      <c r="O23" s="43" t="s">
        <v>44</v>
      </c>
      <c r="P23" t="str">
        <f t="shared" si="10"/>
        <v>0</v>
      </c>
      <c r="Q23" s="44">
        <v>70000</v>
      </c>
      <c r="R23" s="43">
        <v>10000</v>
      </c>
      <c r="S23" s="34" t="str">
        <f>IF($V23="USD",INDEX('Dólar Spot'!$B:$B,MATCH(Base!$K23,'Dólar Spot'!$A:$A,0)),"")</f>
        <v/>
      </c>
      <c r="T23" s="4">
        <f t="shared" si="22"/>
        <v>700000000</v>
      </c>
      <c r="U23" s="8">
        <f t="shared" si="11"/>
        <v>7</v>
      </c>
      <c r="V23" s="43" t="s">
        <v>41</v>
      </c>
      <c r="W23" s="45">
        <v>117.5</v>
      </c>
      <c r="X23" s="46"/>
      <c r="Y23" s="9">
        <f>IF(AND(V23="DI",$W23=100),$X23/100,
IF(AND(V23="DI",$W23&lt;&gt;100,$X23=""),INDEX('Debs %CDI'!$Q:$Q,MATCH(Base!$C23,'Debs %CDI'!$A:$A,0)),
IF($V23="USD",INDEX(Bonds!$AF:$AF,MATCH(Base!$C23,Bonds!$B:$B,0)),
IF($V23="IPCA",INDEX('Debs IPCA'!$Z:$Z,MATCH(Base!$C23,'Debs IPCA'!$A:$A,0))))))</f>
        <v>2.1109162423284023E-2</v>
      </c>
      <c r="Z23" s="43">
        <v>252</v>
      </c>
      <c r="AA23" s="43" t="s">
        <v>30</v>
      </c>
      <c r="AB23" s="43" t="s">
        <v>32</v>
      </c>
      <c r="AC23">
        <f t="shared" si="5"/>
        <v>0</v>
      </c>
      <c r="AD23" s="43" t="s">
        <v>31</v>
      </c>
      <c r="AE23">
        <f t="shared" si="6"/>
        <v>1</v>
      </c>
      <c r="AF23" s="34" t="str" cm="1">
        <f t="array" ref="AF23">INDEX(Ratings!$B$2:$M$40,_xlfn.XMATCH(Base!F23,Ratings!$A$2:$A$40),_xlfn.XMATCH(YEAR(Base!K23),Ratings!$B$1:$M$1))</f>
        <v>NR</v>
      </c>
      <c r="AG23">
        <f t="shared" si="12"/>
        <v>0</v>
      </c>
      <c r="AH23">
        <f>IFERROR(IFERROR(IFERROR(INDEX('EMBI+'!$B:$B,MATCH(Base!$K23,'EMBI+'!$A:$A,0)),INDEX('EMBI+'!$B:$B,MATCH(Base!$K23+1,'EMBI+'!$A:$A,0))),INDEX('EMBI+'!$B:$B,MATCH(Base!$K23+2,'EMBI+'!$A:$A,0))),INDEX('EMBI+'!$B:$B,MATCH(Base!$K23+3,'EMBI+'!$A:$A,0)))/100</f>
        <v>2.0299999999999998</v>
      </c>
      <c r="AL23" s="43"/>
      <c r="AM23" s="28"/>
      <c r="AN23" s="28"/>
    </row>
    <row r="24" spans="1:40" x14ac:dyDescent="0.35">
      <c r="A24">
        <f t="shared" si="8"/>
        <v>22</v>
      </c>
      <c r="B24">
        <f>IF(G24="Bonds",COUNTIF($G$3:G24,"Bonds"),0)</f>
        <v>0</v>
      </c>
      <c r="C24" t="str">
        <f t="shared" si="16"/>
        <v>Americanas4093443126</v>
      </c>
      <c r="D24">
        <f t="shared" si="17"/>
        <v>3</v>
      </c>
      <c r="E24" s="43" t="s">
        <v>52</v>
      </c>
      <c r="F24" s="43" t="s">
        <v>53</v>
      </c>
      <c r="G24" s="43" t="s">
        <v>25</v>
      </c>
      <c r="H24">
        <f t="shared" si="1"/>
        <v>0</v>
      </c>
      <c r="I24" s="43" t="s">
        <v>63</v>
      </c>
      <c r="J24" s="34">
        <f t="shared" si="2"/>
        <v>9</v>
      </c>
      <c r="K24" s="28">
        <v>40934</v>
      </c>
      <c r="L24" s="28">
        <v>43126</v>
      </c>
      <c r="M24" s="60">
        <f t="shared" si="3"/>
        <v>6.0054794520547947</v>
      </c>
      <c r="N24" s="4">
        <f t="shared" si="4"/>
        <v>1</v>
      </c>
      <c r="O24" s="43" t="s">
        <v>44</v>
      </c>
      <c r="P24" t="str">
        <f t="shared" si="10"/>
        <v>0</v>
      </c>
      <c r="Q24" s="44">
        <v>20000</v>
      </c>
      <c r="R24" s="43">
        <v>10000</v>
      </c>
      <c r="S24" s="34" t="str">
        <f>IF($V24="USD",INDEX('Dólar Spot'!$B:$B,MATCH(Base!$K24,'Dólar Spot'!$A:$A,0)),"")</f>
        <v/>
      </c>
      <c r="T24" s="4">
        <f t="shared" si="22"/>
        <v>200000000</v>
      </c>
      <c r="U24" s="8">
        <f t="shared" si="11"/>
        <v>2</v>
      </c>
      <c r="V24" s="43" t="s">
        <v>41</v>
      </c>
      <c r="W24" s="45">
        <v>112</v>
      </c>
      <c r="X24" s="46"/>
      <c r="Y24" s="9">
        <f>IF(AND(V24="DI",$W24=100),$X24/100,
IF(AND(V24="DI",$W24&lt;&gt;100,$X24=""),INDEX('Debs %CDI'!$Q:$Q,MATCH(Base!$C24,'Debs %CDI'!$A:$A,0)),
IF($V24="USD",INDEX(Bonds!$AF:$AF,MATCH(Base!$C24,Bonds!$B:$B,0)),
IF($V24="IPCA",INDEX('Debs IPCA'!$Z:$Z,MATCH(Base!$C24,'Debs IPCA'!$A:$A,0))))))</f>
        <v>1.3334596901974803E-2</v>
      </c>
      <c r="Z24" s="43">
        <v>252</v>
      </c>
      <c r="AA24" s="43" t="s">
        <v>30</v>
      </c>
      <c r="AB24" s="43" t="s">
        <v>32</v>
      </c>
      <c r="AC24">
        <f t="shared" si="5"/>
        <v>0</v>
      </c>
      <c r="AD24" s="43" t="s">
        <v>31</v>
      </c>
      <c r="AE24">
        <f t="shared" si="6"/>
        <v>1</v>
      </c>
      <c r="AF24" s="34" t="str" cm="1">
        <f t="array" ref="AF24">INDEX(Ratings!$B$2:$M$40,_xlfn.XMATCH(Base!F24,Ratings!$A$2:$A$40),_xlfn.XMATCH(YEAR(Base!K24),Ratings!$B$1:$M$1))</f>
        <v>NR</v>
      </c>
      <c r="AG24">
        <f t="shared" si="12"/>
        <v>0</v>
      </c>
      <c r="AH24">
        <f>IFERROR(IFERROR(IFERROR(INDEX('EMBI+'!$B:$B,MATCH(Base!$K24,'EMBI+'!$A:$A,0)),INDEX('EMBI+'!$B:$B,MATCH(Base!$K24+1,'EMBI+'!$A:$A,0))),INDEX('EMBI+'!$B:$B,MATCH(Base!$K24+2,'EMBI+'!$A:$A,0))),INDEX('EMBI+'!$B:$B,MATCH(Base!$K24+3,'EMBI+'!$A:$A,0)))/100</f>
        <v>2.1800000000000002</v>
      </c>
      <c r="AL24" s="43"/>
      <c r="AM24" s="28"/>
      <c r="AN24" s="28"/>
    </row>
    <row r="25" spans="1:40" x14ac:dyDescent="0.35">
      <c r="A25">
        <f t="shared" si="8"/>
        <v>23</v>
      </c>
      <c r="B25">
        <f>IF(G25="Bonds",COUNTIF($G$3:G25,"Bonds"),0)</f>
        <v>0</v>
      </c>
      <c r="C25" t="str">
        <f t="shared" si="16"/>
        <v>Americanas4126444916</v>
      </c>
      <c r="D25">
        <f t="shared" si="17"/>
        <v>3</v>
      </c>
      <c r="E25" s="43" t="s">
        <v>52</v>
      </c>
      <c r="F25" s="43" t="s">
        <v>53</v>
      </c>
      <c r="G25" s="43" t="s">
        <v>25</v>
      </c>
      <c r="H25">
        <f t="shared" si="1"/>
        <v>0</v>
      </c>
      <c r="I25" s="43" t="s">
        <v>64</v>
      </c>
      <c r="J25" s="34">
        <f t="shared" si="2"/>
        <v>10</v>
      </c>
      <c r="K25" s="28">
        <v>41264</v>
      </c>
      <c r="L25" s="28">
        <v>44916</v>
      </c>
      <c r="M25" s="60">
        <f t="shared" si="3"/>
        <v>10.005479452054795</v>
      </c>
      <c r="N25" s="4">
        <f t="shared" si="4"/>
        <v>1</v>
      </c>
      <c r="O25" s="43" t="s">
        <v>44</v>
      </c>
      <c r="P25" t="str">
        <f t="shared" si="10"/>
        <v>0</v>
      </c>
      <c r="Q25" s="44">
        <v>35000</v>
      </c>
      <c r="R25" s="43">
        <v>10000</v>
      </c>
      <c r="S25" s="34" t="str">
        <f>IF($V25="USD",INDEX('Dólar Spot'!$B:$B,MATCH(Base!$K25,'Dólar Spot'!$A:$A,0)),"")</f>
        <v/>
      </c>
      <c r="T25" s="4">
        <f t="shared" si="22"/>
        <v>350000000</v>
      </c>
      <c r="U25" s="8">
        <f t="shared" si="11"/>
        <v>3.5</v>
      </c>
      <c r="V25" s="43" t="s">
        <v>41</v>
      </c>
      <c r="W25" s="45">
        <v>114.5</v>
      </c>
      <c r="X25" s="46"/>
      <c r="Y25" s="9">
        <f>IF(AND(V25="DI",$W25=100),$X25/100,
IF(AND(V25="DI",$W25&lt;&gt;100,$X25=""),INDEX('Debs %CDI'!$Q:$Q,MATCH(Base!$C25,'Debs %CDI'!$A:$A,0)),
IF($V25="USD",INDEX(Bonds!$AF:$AF,MATCH(Base!$C25,Bonds!$B:$B,0)),
IF($V25="IPCA",INDEX('Debs IPCA'!$Z:$Z,MATCH(Base!$C25,'Debs IPCA'!$A:$A,0))))))</f>
        <v>1.3728575122936541E-2</v>
      </c>
      <c r="Z25" s="43">
        <v>252</v>
      </c>
      <c r="AA25" s="43" t="s">
        <v>30</v>
      </c>
      <c r="AB25" s="43" t="s">
        <v>32</v>
      </c>
      <c r="AC25">
        <f t="shared" si="5"/>
        <v>0</v>
      </c>
      <c r="AD25" s="43" t="s">
        <v>31</v>
      </c>
      <c r="AE25">
        <f t="shared" si="6"/>
        <v>1</v>
      </c>
      <c r="AF25" s="34" t="str" cm="1">
        <f t="array" ref="AF25">INDEX(Ratings!$B$2:$M$40,_xlfn.XMATCH(Base!F25,Ratings!$A$2:$A$40),_xlfn.XMATCH(YEAR(Base!K25),Ratings!$B$1:$M$1))</f>
        <v>NR</v>
      </c>
      <c r="AG25">
        <f t="shared" si="12"/>
        <v>0</v>
      </c>
      <c r="AH25">
        <f>IFERROR(IFERROR(IFERROR(INDEX('EMBI+'!$B:$B,MATCH(Base!$K25,'EMBI+'!$A:$A,0)),INDEX('EMBI+'!$B:$B,MATCH(Base!$K25+1,'EMBI+'!$A:$A,0))),INDEX('EMBI+'!$B:$B,MATCH(Base!$K25+2,'EMBI+'!$A:$A,0))),INDEX('EMBI+'!$B:$B,MATCH(Base!$K25+3,'EMBI+'!$A:$A,0)))/100</f>
        <v>1.43</v>
      </c>
      <c r="AL25" s="43"/>
      <c r="AM25" s="28"/>
      <c r="AN25" s="28"/>
    </row>
    <row r="26" spans="1:40" x14ac:dyDescent="0.35">
      <c r="A26">
        <f t="shared" si="8"/>
        <v>24</v>
      </c>
      <c r="B26">
        <f>IF(G26="Bonds",COUNTIF($G$3:G26,"Bonds"),0)</f>
        <v>0</v>
      </c>
      <c r="C26" t="str">
        <f t="shared" si="16"/>
        <v>Americanas4147043661</v>
      </c>
      <c r="D26">
        <f t="shared" si="17"/>
        <v>3</v>
      </c>
      <c r="E26" s="43" t="s">
        <v>52</v>
      </c>
      <c r="F26" s="43" t="s">
        <v>53</v>
      </c>
      <c r="G26" s="43" t="s">
        <v>25</v>
      </c>
      <c r="H26">
        <f t="shared" si="1"/>
        <v>0</v>
      </c>
      <c r="I26" s="43" t="s">
        <v>65</v>
      </c>
      <c r="J26" s="34">
        <f t="shared" si="2"/>
        <v>11</v>
      </c>
      <c r="K26" s="28">
        <v>41470</v>
      </c>
      <c r="L26" s="28">
        <v>43661</v>
      </c>
      <c r="M26" s="60">
        <f t="shared" si="3"/>
        <v>6.0027397260273974</v>
      </c>
      <c r="N26" s="4">
        <f t="shared" si="4"/>
        <v>1</v>
      </c>
      <c r="O26" s="43" t="s">
        <v>44</v>
      </c>
      <c r="P26" t="str">
        <f t="shared" si="10"/>
        <v>0</v>
      </c>
      <c r="Q26" s="44">
        <v>4540</v>
      </c>
      <c r="R26" s="43">
        <v>10000</v>
      </c>
      <c r="S26" s="34" t="str">
        <f>IF($V26="USD",INDEX('Dólar Spot'!$B:$B,MATCH(Base!$K26,'Dólar Spot'!$A:$A,0)),"")</f>
        <v/>
      </c>
      <c r="T26" s="4">
        <f t="shared" si="22"/>
        <v>45400000</v>
      </c>
      <c r="U26" s="8">
        <f t="shared" si="11"/>
        <v>0.45400000000000001</v>
      </c>
      <c r="V26" s="43" t="s">
        <v>41</v>
      </c>
      <c r="W26" s="45">
        <v>112.55</v>
      </c>
      <c r="X26" s="46"/>
      <c r="Y26" s="9">
        <f>IF(AND(V26="DI",$W26=100),$X26/100,
IF(AND(V26="DI",$W26&lt;&gt;100,$X26=""),INDEX('Debs %CDI'!$Q:$Q,MATCH(Base!$C26,'Debs %CDI'!$A:$A,0)),
IF($V26="USD",INDEX(Bonds!$AF:$AF,MATCH(Base!$C26,Bonds!$B:$B,0)),
IF($V26="IPCA",INDEX('Debs IPCA'!$Z:$Z,MATCH(Base!$C26,'Debs IPCA'!$A:$A,0))))))</f>
        <v>1.3730194668303969E-2</v>
      </c>
      <c r="Z26" s="43">
        <v>252</v>
      </c>
      <c r="AA26" s="43" t="s">
        <v>30</v>
      </c>
      <c r="AB26" s="43" t="s">
        <v>32</v>
      </c>
      <c r="AC26">
        <f t="shared" si="5"/>
        <v>0</v>
      </c>
      <c r="AD26" s="43" t="s">
        <v>31</v>
      </c>
      <c r="AE26">
        <f t="shared" si="6"/>
        <v>1</v>
      </c>
      <c r="AF26" s="34" t="str" cm="1">
        <f t="array" ref="AF26">INDEX(Ratings!$B$2:$M$40,_xlfn.XMATCH(Base!F26,Ratings!$A$2:$A$40),_xlfn.XMATCH(YEAR(Base!K26),Ratings!$B$1:$M$1))</f>
        <v>NR</v>
      </c>
      <c r="AG26">
        <f t="shared" si="12"/>
        <v>0</v>
      </c>
      <c r="AH26">
        <f>IFERROR(IFERROR(IFERROR(INDEX('EMBI+'!$B:$B,MATCH(Base!$K26,'EMBI+'!$A:$A,0)),INDEX('EMBI+'!$B:$B,MATCH(Base!$K26+1,'EMBI+'!$A:$A,0))),INDEX('EMBI+'!$B:$B,MATCH(Base!$K26+2,'EMBI+'!$A:$A,0))),INDEX('EMBI+'!$B:$B,MATCH(Base!$K26+3,'EMBI+'!$A:$A,0)))/100</f>
        <v>2.2400000000000002</v>
      </c>
      <c r="AL26" s="43"/>
      <c r="AM26" s="28"/>
      <c r="AN26" s="28"/>
    </row>
    <row r="27" spans="1:40" x14ac:dyDescent="0.35">
      <c r="A27">
        <f t="shared" si="8"/>
        <v>25</v>
      </c>
      <c r="B27">
        <f>IF(G27="Bonds",COUNTIF($G$3:G27,"Bonds"),0)</f>
        <v>0</v>
      </c>
      <c r="C27" t="str">
        <f t="shared" si="16"/>
        <v>Americanas4181544372</v>
      </c>
      <c r="D27">
        <f t="shared" si="17"/>
        <v>3</v>
      </c>
      <c r="E27" s="43" t="s">
        <v>52</v>
      </c>
      <c r="F27" s="43" t="s">
        <v>53</v>
      </c>
      <c r="G27" s="43" t="s">
        <v>25</v>
      </c>
      <c r="H27">
        <f t="shared" si="1"/>
        <v>0</v>
      </c>
      <c r="I27" s="43" t="s">
        <v>66</v>
      </c>
      <c r="J27" s="34">
        <f t="shared" si="2"/>
        <v>12</v>
      </c>
      <c r="K27" s="28">
        <v>41815</v>
      </c>
      <c r="L27" s="28">
        <v>44372</v>
      </c>
      <c r="M27" s="60">
        <f t="shared" si="3"/>
        <v>7.0054794520547947</v>
      </c>
      <c r="N27" s="4">
        <f t="shared" si="4"/>
        <v>1</v>
      </c>
      <c r="O27" s="43" t="s">
        <v>44</v>
      </c>
      <c r="P27" t="str">
        <f t="shared" si="10"/>
        <v>0</v>
      </c>
      <c r="Q27" s="44">
        <v>25000</v>
      </c>
      <c r="R27" s="43">
        <v>10000</v>
      </c>
      <c r="S27" s="34" t="str">
        <f>IF($V27="USD",INDEX('Dólar Spot'!$B:$B,MATCH(Base!$K27,'Dólar Spot'!$A:$A,0)),"")</f>
        <v/>
      </c>
      <c r="T27" s="4">
        <f t="shared" si="22"/>
        <v>250000000</v>
      </c>
      <c r="U27" s="8">
        <f t="shared" si="11"/>
        <v>2.5</v>
      </c>
      <c r="V27" s="43" t="s">
        <v>41</v>
      </c>
      <c r="W27" s="45">
        <v>113</v>
      </c>
      <c r="X27" s="46"/>
      <c r="Y27" s="9">
        <f>IF(AND(V27="DI",$W27=100),$X27/100,
IF(AND(V27="DI",$W27&lt;&gt;100,$X27=""),INDEX('Debs %CDI'!$Q:$Q,MATCH(Base!$C27,'Debs %CDI'!$A:$A,0)),
IF($V27="USD",INDEX(Bonds!$AF:$AF,MATCH(Base!$C27,Bonds!$B:$B,0)),
IF($V27="IPCA",INDEX('Debs IPCA'!$Z:$Z,MATCH(Base!$C27,'Debs IPCA'!$A:$A,0))))))</f>
        <v>1.5428548827166107E-2</v>
      </c>
      <c r="Z27" s="43">
        <v>252</v>
      </c>
      <c r="AA27" s="43" t="s">
        <v>30</v>
      </c>
      <c r="AB27" s="43" t="s">
        <v>32</v>
      </c>
      <c r="AC27">
        <f t="shared" si="5"/>
        <v>0</v>
      </c>
      <c r="AD27" s="43" t="s">
        <v>31</v>
      </c>
      <c r="AE27">
        <f t="shared" si="6"/>
        <v>1</v>
      </c>
      <c r="AF27" s="34" t="str" cm="1">
        <f t="array" ref="AF27">INDEX(Ratings!$B$2:$M$40,_xlfn.XMATCH(Base!F27,Ratings!$A$2:$A$40),_xlfn.XMATCH(YEAR(Base!K27),Ratings!$B$1:$M$1))</f>
        <v>NR</v>
      </c>
      <c r="AG27">
        <f t="shared" si="12"/>
        <v>0</v>
      </c>
      <c r="AH27">
        <f>IFERROR(IFERROR(IFERROR(INDEX('EMBI+'!$B:$B,MATCH(Base!$K27,'EMBI+'!$A:$A,0)),INDEX('EMBI+'!$B:$B,MATCH(Base!$K27+1,'EMBI+'!$A:$A,0))),INDEX('EMBI+'!$B:$B,MATCH(Base!$K27+2,'EMBI+'!$A:$A,0))),INDEX('EMBI+'!$B:$B,MATCH(Base!$K27+3,'EMBI+'!$A:$A,0)))/100</f>
        <v>2.0299999999999998</v>
      </c>
      <c r="AL27" s="43"/>
      <c r="AM27" s="28"/>
      <c r="AN27" s="28"/>
    </row>
    <row r="28" spans="1:40" x14ac:dyDescent="0.35">
      <c r="A28">
        <f t="shared" si="8"/>
        <v>26</v>
      </c>
      <c r="B28">
        <f>IF(G28="Bonds",COUNTIF($G$3:G28,"Bonds"),0)</f>
        <v>0</v>
      </c>
      <c r="C28" t="str">
        <f t="shared" si="16"/>
        <v>Americanas4147044392</v>
      </c>
      <c r="D28">
        <f t="shared" si="17"/>
        <v>3</v>
      </c>
      <c r="E28" s="43" t="s">
        <v>52</v>
      </c>
      <c r="F28" s="43" t="s">
        <v>53</v>
      </c>
      <c r="G28" s="43" t="s">
        <v>25</v>
      </c>
      <c r="H28">
        <f t="shared" si="1"/>
        <v>0</v>
      </c>
      <c r="I28" s="43" t="s">
        <v>67</v>
      </c>
      <c r="J28" s="34">
        <f t="shared" si="2"/>
        <v>13</v>
      </c>
      <c r="K28" s="28">
        <v>41470</v>
      </c>
      <c r="L28" s="28">
        <v>44392</v>
      </c>
      <c r="M28" s="60">
        <f t="shared" si="3"/>
        <v>8.0054794520547947</v>
      </c>
      <c r="N28" s="4">
        <f t="shared" si="4"/>
        <v>1</v>
      </c>
      <c r="O28" s="43" t="s">
        <v>44</v>
      </c>
      <c r="P28" t="str">
        <f t="shared" si="10"/>
        <v>0</v>
      </c>
      <c r="Q28" s="44">
        <v>20000</v>
      </c>
      <c r="R28" s="43">
        <v>10000</v>
      </c>
      <c r="S28" s="34" t="str">
        <f>IF($V28="USD",INDEX('Dólar Spot'!$B:$B,MATCH(Base!$K28,'Dólar Spot'!$A:$A,0)),"")</f>
        <v/>
      </c>
      <c r="T28" s="4">
        <f t="shared" si="22"/>
        <v>200000000</v>
      </c>
      <c r="U28" s="8">
        <f t="shared" si="11"/>
        <v>2</v>
      </c>
      <c r="V28" s="43" t="s">
        <v>28</v>
      </c>
      <c r="W28" s="45" t="s">
        <v>29</v>
      </c>
      <c r="X28" s="46">
        <v>6.39</v>
      </c>
      <c r="Y28" s="9">
        <f>IF(AND(V28="DI",$W28=100),$X28/100,
IF(AND(V28="DI",$W28&lt;&gt;100,$X28=""),INDEX('Debs %CDI'!$Q:$Q,MATCH(Base!$C28,'Debs %CDI'!$A:$A,0)),
IF($V28="USD",INDEX(Bonds!$AF:$AF,MATCH(Base!$C28,Bonds!$B:$B,0)),
IF($V28="IPCA",INDEX('Debs IPCA'!$Z:$Z,MATCH(Base!$C28,'Debs IPCA'!$A:$A,0))))))</f>
        <v>1.1812850252158391E-2</v>
      </c>
      <c r="Z28" s="43">
        <v>252</v>
      </c>
      <c r="AA28" s="43" t="s">
        <v>30</v>
      </c>
      <c r="AB28" s="43" t="s">
        <v>32</v>
      </c>
      <c r="AC28">
        <f t="shared" si="5"/>
        <v>0</v>
      </c>
      <c r="AD28" s="43" t="s">
        <v>31</v>
      </c>
      <c r="AE28">
        <f t="shared" si="6"/>
        <v>1</v>
      </c>
      <c r="AF28" s="34" t="str" cm="1">
        <f t="array" ref="AF28">INDEX(Ratings!$B$2:$M$40,_xlfn.XMATCH(Base!F28,Ratings!$A$2:$A$40),_xlfn.XMATCH(YEAR(Base!K28),Ratings!$B$1:$M$1))</f>
        <v>NR</v>
      </c>
      <c r="AG28">
        <f t="shared" si="12"/>
        <v>0</v>
      </c>
      <c r="AH28">
        <f>IFERROR(IFERROR(IFERROR(INDEX('EMBI+'!$B:$B,MATCH(Base!$K28,'EMBI+'!$A:$A,0)),INDEX('EMBI+'!$B:$B,MATCH(Base!$K28+1,'EMBI+'!$A:$A,0))),INDEX('EMBI+'!$B:$B,MATCH(Base!$K28+2,'EMBI+'!$A:$A,0))),INDEX('EMBI+'!$B:$B,MATCH(Base!$K28+3,'EMBI+'!$A:$A,0)))/100</f>
        <v>2.2400000000000002</v>
      </c>
      <c r="AL28" s="43"/>
      <c r="AM28" s="28"/>
      <c r="AN28" s="28"/>
    </row>
    <row r="29" spans="1:40" x14ac:dyDescent="0.35">
      <c r="A29">
        <f t="shared" si="8"/>
        <v>27</v>
      </c>
      <c r="B29">
        <f>IF(G29="Bonds",COUNTIF($G$3:G29,"Bonds"),0)</f>
        <v>0</v>
      </c>
      <c r="C29" t="str">
        <f t="shared" si="16"/>
        <v>Americanas4284044666</v>
      </c>
      <c r="D29">
        <f t="shared" si="17"/>
        <v>3</v>
      </c>
      <c r="E29" s="43" t="s">
        <v>52</v>
      </c>
      <c r="F29" s="43" t="s">
        <v>53</v>
      </c>
      <c r="G29" s="43" t="s">
        <v>25</v>
      </c>
      <c r="H29">
        <f t="shared" si="1"/>
        <v>0</v>
      </c>
      <c r="I29" s="43" t="s">
        <v>68</v>
      </c>
      <c r="J29" s="34">
        <f t="shared" si="2"/>
        <v>14</v>
      </c>
      <c r="K29" s="28">
        <v>42840</v>
      </c>
      <c r="L29" s="28">
        <v>44666</v>
      </c>
      <c r="M29" s="60">
        <f t="shared" si="3"/>
        <v>5.0027397260273974</v>
      </c>
      <c r="N29" s="4">
        <f t="shared" si="4"/>
        <v>1</v>
      </c>
      <c r="O29" s="43" t="s">
        <v>44</v>
      </c>
      <c r="P29" t="str">
        <f t="shared" si="10"/>
        <v>0</v>
      </c>
      <c r="Q29" s="44">
        <v>126335</v>
      </c>
      <c r="R29" s="43">
        <v>10000</v>
      </c>
      <c r="S29" s="34" t="str">
        <f>IF($V29="USD",INDEX('Dólar Spot'!$B:$B,MATCH(Base!$K29,'Dólar Spot'!$A:$A,0)),"")</f>
        <v/>
      </c>
      <c r="T29" s="4">
        <f t="shared" si="22"/>
        <v>1263350000</v>
      </c>
      <c r="U29" s="8">
        <f t="shared" si="11"/>
        <v>12.6335</v>
      </c>
      <c r="V29" s="43" t="s">
        <v>41</v>
      </c>
      <c r="W29" s="45">
        <v>115</v>
      </c>
      <c r="X29" s="46"/>
      <c r="Y29" s="9">
        <f>IF(AND(V29="DI",$W29=100),$X29/100,
IF(AND(V29="DI",$W29&lt;&gt;100,$X29=""),INDEX('Debs %CDI'!$Q:$Q,MATCH(Base!$C29,'Debs %CDI'!$A:$A,0)),
IF($V29="USD",INDEX(Bonds!$AF:$AF,MATCH(Base!$C29,Bonds!$B:$B,0)),
IF($V29="IPCA",INDEX('Debs IPCA'!$Z:$Z,MATCH(Base!$C29,'Debs IPCA'!$A:$A,0))))))</f>
        <v>1.5132821505853046E-2</v>
      </c>
      <c r="Z29" s="43">
        <v>252</v>
      </c>
      <c r="AA29" s="43" t="s">
        <v>30</v>
      </c>
      <c r="AB29" s="43" t="s">
        <v>32</v>
      </c>
      <c r="AC29">
        <f t="shared" si="5"/>
        <v>0</v>
      </c>
      <c r="AD29" s="43" t="s">
        <v>31</v>
      </c>
      <c r="AE29">
        <f t="shared" si="6"/>
        <v>1</v>
      </c>
      <c r="AF29" s="34" t="str" cm="1">
        <f t="array" ref="AF29">INDEX(Ratings!$B$2:$M$40,_xlfn.XMATCH(Base!F29,Ratings!$A$2:$A$40),_xlfn.XMATCH(YEAR(Base!K29),Ratings!$B$1:$M$1))</f>
        <v>NR</v>
      </c>
      <c r="AG29">
        <f t="shared" si="12"/>
        <v>0</v>
      </c>
      <c r="AH29">
        <f>IFERROR(IFERROR(IFERROR(INDEX('EMBI+'!$B:$B,MATCH(Base!$K29,'EMBI+'!$A:$A,0)),INDEX('EMBI+'!$B:$B,MATCH(Base!$K29+1,'EMBI+'!$A:$A,0))),INDEX('EMBI+'!$B:$B,MATCH(Base!$K29+2,'EMBI+'!$A:$A,0))),INDEX('EMBI+'!$B:$B,MATCH(Base!$K29+3,'EMBI+'!$A:$A,0)))/100</f>
        <v>2.7</v>
      </c>
      <c r="AL29" s="43"/>
      <c r="AM29" s="28"/>
      <c r="AN29" s="28"/>
    </row>
    <row r="30" spans="1:40" x14ac:dyDescent="0.35">
      <c r="A30">
        <f t="shared" si="8"/>
        <v>28</v>
      </c>
      <c r="B30">
        <f>IF(G30="Bonds",COUNTIF($G$3:G30,"Bonds"),0)</f>
        <v>0</v>
      </c>
      <c r="C30" t="str">
        <f t="shared" si="16"/>
        <v>Americanas4321045036</v>
      </c>
      <c r="D30">
        <f t="shared" si="17"/>
        <v>3</v>
      </c>
      <c r="E30" s="43" t="s">
        <v>52</v>
      </c>
      <c r="F30" s="43" t="s">
        <v>53</v>
      </c>
      <c r="G30" s="43" t="s">
        <v>25</v>
      </c>
      <c r="H30">
        <f t="shared" si="1"/>
        <v>0</v>
      </c>
      <c r="I30" s="43" t="s">
        <v>69</v>
      </c>
      <c r="J30" s="34">
        <f t="shared" si="2"/>
        <v>15</v>
      </c>
      <c r="K30" s="28">
        <v>43210</v>
      </c>
      <c r="L30" s="28">
        <v>45036</v>
      </c>
      <c r="M30" s="60">
        <f t="shared" si="3"/>
        <v>5.0027397260273974</v>
      </c>
      <c r="N30" s="4">
        <f t="shared" si="4"/>
        <v>1</v>
      </c>
      <c r="O30" s="43" t="s">
        <v>44</v>
      </c>
      <c r="P30" t="str">
        <f t="shared" si="10"/>
        <v>0</v>
      </c>
      <c r="Q30" s="44">
        <v>100000</v>
      </c>
      <c r="R30" s="43">
        <v>10000</v>
      </c>
      <c r="S30" s="34" t="str">
        <f>IF($V30="USD",INDEX('Dólar Spot'!$B:$B,MATCH(Base!$K30,'Dólar Spot'!$A:$A,0)),"")</f>
        <v/>
      </c>
      <c r="T30" s="4">
        <f t="shared" si="22"/>
        <v>1000000000</v>
      </c>
      <c r="U30" s="8">
        <f t="shared" si="11"/>
        <v>10</v>
      </c>
      <c r="V30" s="43" t="s">
        <v>41</v>
      </c>
      <c r="W30" s="45">
        <v>116</v>
      </c>
      <c r="X30" s="46"/>
      <c r="Y30" s="9">
        <f>IF(AND(V30="DI",$W30=100),$X30/100,
IF(AND(V30="DI",$W30&lt;&gt;100,$X30=""),INDEX('Debs %CDI'!$Q:$Q,MATCH(Base!$C30,'Debs %CDI'!$A:$A,0)),
IF($V30="USD",INDEX(Bonds!$AF:$AF,MATCH(Base!$C30,Bonds!$B:$B,0)),
IF($V30="IPCA",INDEX('Debs IPCA'!$Z:$Z,MATCH(Base!$C30,'Debs IPCA'!$A:$A,0))))))</f>
        <v>1.4667591244999861E-2</v>
      </c>
      <c r="Z30" s="43">
        <v>252</v>
      </c>
      <c r="AA30" s="43" t="s">
        <v>30</v>
      </c>
      <c r="AB30" s="43" t="s">
        <v>32</v>
      </c>
      <c r="AC30">
        <f t="shared" si="5"/>
        <v>0</v>
      </c>
      <c r="AD30" s="43" t="s">
        <v>31</v>
      </c>
      <c r="AE30">
        <f t="shared" si="6"/>
        <v>1</v>
      </c>
      <c r="AF30" s="34" t="str" cm="1">
        <f t="array" ref="AF30">INDEX(Ratings!$B$2:$M$40,_xlfn.XMATCH(Base!F30,Ratings!$A$2:$A$40),_xlfn.XMATCH(YEAR(Base!K30),Ratings!$B$1:$M$1))</f>
        <v>NR</v>
      </c>
      <c r="AG30">
        <f t="shared" si="12"/>
        <v>0</v>
      </c>
      <c r="AH30">
        <f>IFERROR(IFERROR(IFERROR(INDEX('EMBI+'!$B:$B,MATCH(Base!$K30,'EMBI+'!$A:$A,0)),INDEX('EMBI+'!$B:$B,MATCH(Base!$K30+1,'EMBI+'!$A:$A,0))),INDEX('EMBI+'!$B:$B,MATCH(Base!$K30+2,'EMBI+'!$A:$A,0))),INDEX('EMBI+'!$B:$B,MATCH(Base!$K30+3,'EMBI+'!$A:$A,0)))/100</f>
        <v>2.4300000000000002</v>
      </c>
      <c r="AL30" s="43"/>
      <c r="AM30" s="28"/>
      <c r="AN30" s="28"/>
    </row>
    <row r="31" spans="1:40" x14ac:dyDescent="0.35">
      <c r="A31">
        <f t="shared" si="8"/>
        <v>29</v>
      </c>
      <c r="B31">
        <f>IF(G31="Bonds",COUNTIF($G$3:G31,"Bonds"),0)</f>
        <v>0</v>
      </c>
      <c r="C31" t="str">
        <f t="shared" si="16"/>
        <v>Americanas4347546032</v>
      </c>
      <c r="D31">
        <f t="shared" si="17"/>
        <v>3</v>
      </c>
      <c r="E31" s="43" t="s">
        <v>52</v>
      </c>
      <c r="F31" s="43" t="s">
        <v>53</v>
      </c>
      <c r="G31" s="43" t="s">
        <v>25</v>
      </c>
      <c r="H31">
        <f t="shared" si="1"/>
        <v>0</v>
      </c>
      <c r="I31" s="43" t="s">
        <v>70</v>
      </c>
      <c r="J31" s="34">
        <f t="shared" si="2"/>
        <v>16</v>
      </c>
      <c r="K31" s="28">
        <v>43475</v>
      </c>
      <c r="L31" s="28">
        <v>46032</v>
      </c>
      <c r="M31" s="60">
        <f t="shared" si="3"/>
        <v>7.0054794520547947</v>
      </c>
      <c r="N31" s="4">
        <f t="shared" si="4"/>
        <v>1</v>
      </c>
      <c r="O31" s="43" t="s">
        <v>44</v>
      </c>
      <c r="P31" t="str">
        <f t="shared" si="10"/>
        <v>0</v>
      </c>
      <c r="Q31" s="44">
        <v>100000</v>
      </c>
      <c r="R31" s="43">
        <v>10000</v>
      </c>
      <c r="S31" s="34" t="str">
        <f>IF($V31="USD",INDEX('Dólar Spot'!$B:$B,MATCH(Base!$K31,'Dólar Spot'!$A:$A,0)),"")</f>
        <v/>
      </c>
      <c r="T31" s="4">
        <f t="shared" si="22"/>
        <v>1000000000</v>
      </c>
      <c r="U31" s="8">
        <f t="shared" si="11"/>
        <v>10</v>
      </c>
      <c r="V31" s="43" t="s">
        <v>41</v>
      </c>
      <c r="W31" s="45">
        <v>116.7</v>
      </c>
      <c r="X31" s="46"/>
      <c r="Y31" s="9">
        <f>IF(AND(V31="DI",$W31=100),$X31/100,
IF(AND(V31="DI",$W31&lt;&gt;100,$X31=""),INDEX('Debs %CDI'!$Q:$Q,MATCH(Base!$C31,'Debs %CDI'!$A:$A,0)),
IF($V31="USD",INDEX(Bonds!$AF:$AF,MATCH(Base!$C31,Bonds!$B:$B,0)),
IF($V31="IPCA",INDEX('Debs IPCA'!$Z:$Z,MATCH(Base!$C31,'Debs IPCA'!$A:$A,0))))))</f>
        <v>1.5236903832019529E-2</v>
      </c>
      <c r="Z31" s="43">
        <v>252</v>
      </c>
      <c r="AA31" s="43" t="s">
        <v>30</v>
      </c>
      <c r="AB31" s="43" t="s">
        <v>32</v>
      </c>
      <c r="AC31">
        <f t="shared" si="5"/>
        <v>0</v>
      </c>
      <c r="AD31" s="43" t="s">
        <v>31</v>
      </c>
      <c r="AE31">
        <f t="shared" si="6"/>
        <v>1</v>
      </c>
      <c r="AF31" s="34" t="str" cm="1">
        <f t="array" ref="AF31">INDEX(Ratings!$B$2:$M$40,_xlfn.XMATCH(Base!F31,Ratings!$A$2:$A$40),_xlfn.XMATCH(YEAR(Base!K31),Ratings!$B$1:$M$1))</f>
        <v>NR</v>
      </c>
      <c r="AG31">
        <f t="shared" si="12"/>
        <v>0</v>
      </c>
      <c r="AH31">
        <f>IFERROR(IFERROR(IFERROR(INDEX('EMBI+'!$B:$B,MATCH(Base!$K31,'EMBI+'!$A:$A,0)),INDEX('EMBI+'!$B:$B,MATCH(Base!$K31+1,'EMBI+'!$A:$A,0))),INDEX('EMBI+'!$B:$B,MATCH(Base!$K31+2,'EMBI+'!$A:$A,0))),INDEX('EMBI+'!$B:$B,MATCH(Base!$K31+3,'EMBI+'!$A:$A,0)))/100</f>
        <v>2.54</v>
      </c>
      <c r="AL31" s="43"/>
      <c r="AM31" s="28"/>
      <c r="AN31" s="28"/>
    </row>
    <row r="32" spans="1:40" x14ac:dyDescent="0.35">
      <c r="A32">
        <f t="shared" si="8"/>
        <v>30</v>
      </c>
      <c r="B32">
        <f>IF(G32="Bonds",COUNTIF($G$3:G32,"Bonds"),0)</f>
        <v>0</v>
      </c>
      <c r="C32" t="str">
        <f t="shared" si="16"/>
        <v>Americanas4396945064</v>
      </c>
      <c r="D32">
        <f t="shared" si="17"/>
        <v>3</v>
      </c>
      <c r="E32" s="43" t="s">
        <v>52</v>
      </c>
      <c r="F32" s="43" t="s">
        <v>53</v>
      </c>
      <c r="G32" s="43" t="s">
        <v>25</v>
      </c>
      <c r="H32">
        <f t="shared" si="1"/>
        <v>0</v>
      </c>
      <c r="I32" s="43" t="s">
        <v>71</v>
      </c>
      <c r="J32" s="34">
        <f t="shared" si="2"/>
        <v>17</v>
      </c>
      <c r="K32" s="28">
        <v>43969</v>
      </c>
      <c r="L32" s="28">
        <v>45064</v>
      </c>
      <c r="M32" s="60">
        <f t="shared" si="3"/>
        <v>3</v>
      </c>
      <c r="N32" s="4">
        <f t="shared" si="4"/>
        <v>0</v>
      </c>
      <c r="O32" s="43" t="s">
        <v>44</v>
      </c>
      <c r="P32" t="str">
        <f t="shared" si="10"/>
        <v>0</v>
      </c>
      <c r="Q32" s="44">
        <v>50000</v>
      </c>
      <c r="R32" s="43">
        <v>10000</v>
      </c>
      <c r="S32" s="34" t="str">
        <f>IF($V32="USD",INDEX('Dólar Spot'!$B:$B,MATCH(Base!$K32,'Dólar Spot'!$A:$A,0)),"")</f>
        <v/>
      </c>
      <c r="T32" s="4">
        <f t="shared" si="22"/>
        <v>500000000</v>
      </c>
      <c r="U32" s="8">
        <f t="shared" si="11"/>
        <v>5</v>
      </c>
      <c r="V32" s="43" t="s">
        <v>41</v>
      </c>
      <c r="W32" s="45">
        <v>100</v>
      </c>
      <c r="X32" s="46">
        <v>3</v>
      </c>
      <c r="Y32" s="9">
        <f>IF(AND(V32="DI",$W32=100),$X32/100,
IF(AND(V32="DI",$W32&lt;&gt;100,$X32=""),INDEX('Debs %CDI'!$Q:$Q,MATCH(Base!$C32,'Debs %CDI'!$A:$A,0)),
IF($V32="USD",INDEX(Bonds!$AF:$AF,MATCH(Base!$C32,Bonds!$B:$B,0)),
IF($V32="IPCA",INDEX('Debs IPCA'!$Z:$Z,MATCH(Base!$C32,'Debs IPCA'!$A:$A,0))))))</f>
        <v>0.03</v>
      </c>
      <c r="Z32" s="43">
        <v>252</v>
      </c>
      <c r="AA32" s="43" t="s">
        <v>30</v>
      </c>
      <c r="AB32" s="43" t="s">
        <v>32</v>
      </c>
      <c r="AC32">
        <f t="shared" si="5"/>
        <v>0</v>
      </c>
      <c r="AD32" s="43" t="s">
        <v>32</v>
      </c>
      <c r="AE32">
        <f t="shared" si="6"/>
        <v>0</v>
      </c>
      <c r="AF32" s="34" t="str" cm="1">
        <f t="array" ref="AF32">INDEX(Ratings!$B$2:$M$40,_xlfn.XMATCH(Base!F32,Ratings!$A$2:$A$40),_xlfn.XMATCH(YEAR(Base!K32),Ratings!$B$1:$M$1))</f>
        <v>BB</v>
      </c>
      <c r="AG32">
        <f t="shared" si="12"/>
        <v>0</v>
      </c>
      <c r="AH32">
        <f>IFERROR(IFERROR(IFERROR(INDEX('EMBI+'!$B:$B,MATCH(Base!$K32,'EMBI+'!$A:$A,0)),INDEX('EMBI+'!$B:$B,MATCH(Base!$K32+1,'EMBI+'!$A:$A,0))),INDEX('EMBI+'!$B:$B,MATCH(Base!$K32+2,'EMBI+'!$A:$A,0))),INDEX('EMBI+'!$B:$B,MATCH(Base!$K32+3,'EMBI+'!$A:$A,0)))/100</f>
        <v>4.2699999999999996</v>
      </c>
      <c r="AL32" s="43"/>
      <c r="AM32" s="28"/>
      <c r="AN32" s="28"/>
    </row>
    <row r="33" spans="1:40" x14ac:dyDescent="0.35">
      <c r="A33">
        <f t="shared" si="8"/>
        <v>31</v>
      </c>
      <c r="B33">
        <f>IF(G33="Bonds",COUNTIF($G$3:G33,"Bonds"),0)</f>
        <v>0</v>
      </c>
      <c r="C33" t="str">
        <f t="shared" si="16"/>
        <v>Americanas4398445079</v>
      </c>
      <c r="D33">
        <f t="shared" si="17"/>
        <v>3</v>
      </c>
      <c r="E33" s="43" t="s">
        <v>52</v>
      </c>
      <c r="F33" s="43" t="s">
        <v>53</v>
      </c>
      <c r="G33" s="43" t="s">
        <v>25</v>
      </c>
      <c r="H33">
        <f t="shared" si="1"/>
        <v>0</v>
      </c>
      <c r="I33" s="43" t="s">
        <v>72</v>
      </c>
      <c r="J33" s="34">
        <f t="shared" si="2"/>
        <v>18</v>
      </c>
      <c r="K33" s="28">
        <v>43984</v>
      </c>
      <c r="L33" s="28">
        <v>45079</v>
      </c>
      <c r="M33" s="60">
        <f t="shared" si="3"/>
        <v>3</v>
      </c>
      <c r="N33" s="4">
        <f t="shared" si="4"/>
        <v>0</v>
      </c>
      <c r="O33" s="43" t="s">
        <v>44</v>
      </c>
      <c r="P33" t="str">
        <f t="shared" si="10"/>
        <v>0</v>
      </c>
      <c r="Q33" s="44">
        <v>50000</v>
      </c>
      <c r="R33" s="43">
        <v>10000</v>
      </c>
      <c r="S33" s="34" t="str">
        <f>IF($V33="USD",INDEX('Dólar Spot'!$B:$B,MATCH(Base!$K33,'Dólar Spot'!$A:$A,0)),"")</f>
        <v/>
      </c>
      <c r="T33" s="4">
        <f t="shared" si="22"/>
        <v>500000000</v>
      </c>
      <c r="U33" s="8">
        <f t="shared" si="11"/>
        <v>5</v>
      </c>
      <c r="V33" s="43" t="s">
        <v>41</v>
      </c>
      <c r="W33" s="45">
        <v>100</v>
      </c>
      <c r="X33" s="46">
        <v>3</v>
      </c>
      <c r="Y33" s="9">
        <f>IF(AND(V33="DI",$W33=100),$X33/100,
IF(AND(V33="DI",$W33&lt;&gt;100,$X33=""),INDEX('Debs %CDI'!$Q:$Q,MATCH(Base!$C33,'Debs %CDI'!$A:$A,0)),
IF($V33="USD",INDEX(Bonds!$AF:$AF,MATCH(Base!$C33,Bonds!$B:$B,0)),
IF($V33="IPCA",INDEX('Debs IPCA'!$Z:$Z,MATCH(Base!$C33,'Debs IPCA'!$A:$A,0))))))</f>
        <v>0.03</v>
      </c>
      <c r="Z33" s="43">
        <v>252</v>
      </c>
      <c r="AA33" s="43" t="s">
        <v>30</v>
      </c>
      <c r="AB33" s="43" t="s">
        <v>32</v>
      </c>
      <c r="AC33">
        <f t="shared" si="5"/>
        <v>0</v>
      </c>
      <c r="AD33" s="43" t="s">
        <v>32</v>
      </c>
      <c r="AE33">
        <f t="shared" si="6"/>
        <v>0</v>
      </c>
      <c r="AF33" s="34" t="str" cm="1">
        <f t="array" ref="AF33">INDEX(Ratings!$B$2:$M$40,_xlfn.XMATCH(Base!F33,Ratings!$A$2:$A$40),_xlfn.XMATCH(YEAR(Base!K33),Ratings!$B$1:$M$1))</f>
        <v>BB</v>
      </c>
      <c r="AG33">
        <f t="shared" si="12"/>
        <v>0</v>
      </c>
      <c r="AH33">
        <f>IFERROR(IFERROR(IFERROR(INDEX('EMBI+'!$B:$B,MATCH(Base!$K33,'EMBI+'!$A:$A,0)),INDEX('EMBI+'!$B:$B,MATCH(Base!$K33+1,'EMBI+'!$A:$A,0))),INDEX('EMBI+'!$B:$B,MATCH(Base!$K33+2,'EMBI+'!$A:$A,0))),INDEX('EMBI+'!$B:$B,MATCH(Base!$K33+3,'EMBI+'!$A:$A,0)))/100</f>
        <v>3.75</v>
      </c>
      <c r="AL33" s="43"/>
      <c r="AM33" s="28"/>
      <c r="AN33" s="28"/>
    </row>
    <row r="34" spans="1:40" x14ac:dyDescent="0.35">
      <c r="A34">
        <f t="shared" si="8"/>
        <v>32</v>
      </c>
      <c r="B34">
        <f>IF(G34="Bonds",COUNTIF($G$3:G34,"Bonds"),0)</f>
        <v>0</v>
      </c>
      <c r="C34" t="str">
        <f t="shared" si="16"/>
        <v>Americanas4408947771</v>
      </c>
      <c r="D34">
        <f t="shared" si="17"/>
        <v>3</v>
      </c>
      <c r="E34" s="43" t="s">
        <v>52</v>
      </c>
      <c r="F34" s="43" t="s">
        <v>53</v>
      </c>
      <c r="G34" s="43" t="s">
        <v>25</v>
      </c>
      <c r="H34">
        <f t="shared" si="1"/>
        <v>0</v>
      </c>
      <c r="I34" s="43" t="s">
        <v>73</v>
      </c>
      <c r="J34" s="34">
        <f t="shared" si="2"/>
        <v>19</v>
      </c>
      <c r="K34" s="28">
        <v>44089</v>
      </c>
      <c r="L34" s="28">
        <v>47771</v>
      </c>
      <c r="M34" s="60">
        <f t="shared" si="3"/>
        <v>10.087671232876712</v>
      </c>
      <c r="N34" s="4">
        <f t="shared" si="4"/>
        <v>1</v>
      </c>
      <c r="O34" s="43" t="s">
        <v>44</v>
      </c>
      <c r="P34" t="str">
        <f t="shared" si="10"/>
        <v>0</v>
      </c>
      <c r="Q34" s="44">
        <v>3100000</v>
      </c>
      <c r="R34" s="43">
        <v>1000</v>
      </c>
      <c r="S34" s="34" t="str">
        <f>IF($V34="USD",INDEX('Dólar Spot'!$B:$B,MATCH(Base!$K34,'Dólar Spot'!$A:$A,0)),"")</f>
        <v/>
      </c>
      <c r="T34" s="4">
        <f t="shared" si="22"/>
        <v>3100000000</v>
      </c>
      <c r="U34" s="8">
        <f t="shared" si="11"/>
        <v>31</v>
      </c>
      <c r="V34" s="43" t="s">
        <v>28</v>
      </c>
      <c r="W34" s="45" t="s">
        <v>29</v>
      </c>
      <c r="X34" s="46">
        <v>7.4</v>
      </c>
      <c r="Y34" s="9">
        <f>IF(AND(V34="DI",$W34=100),$X34/100,
IF(AND(V34="DI",$W34&lt;&gt;100,$X34=""),INDEX('Debs %CDI'!$Q:$Q,MATCH(Base!$C34,'Debs %CDI'!$A:$A,0)),
IF($V34="USD",INDEX(Bonds!$AF:$AF,MATCH(Base!$C34,Bonds!$B:$B,0)),
IF($V34="IPCA",INDEX('Debs IPCA'!$Z:$Z,MATCH(Base!$C34,'Debs IPCA'!$A:$A,0))))))</f>
        <v>3.7302364716141012E-2</v>
      </c>
      <c r="Z34" s="43">
        <v>252</v>
      </c>
      <c r="AA34" s="43" t="s">
        <v>30</v>
      </c>
      <c r="AB34" s="43" t="s">
        <v>31</v>
      </c>
      <c r="AC34">
        <f t="shared" si="5"/>
        <v>1</v>
      </c>
      <c r="AD34" s="43" t="s">
        <v>32</v>
      </c>
      <c r="AE34">
        <f t="shared" si="6"/>
        <v>0</v>
      </c>
      <c r="AF34" s="34" t="str" cm="1">
        <f t="array" ref="AF34">INDEX(Ratings!$B$2:$M$40,_xlfn.XMATCH(Base!F34,Ratings!$A$2:$A$40),_xlfn.XMATCH(YEAR(Base!K34),Ratings!$B$1:$M$1))</f>
        <v>BB</v>
      </c>
      <c r="AG34">
        <f t="shared" si="12"/>
        <v>0</v>
      </c>
      <c r="AH34">
        <f>IFERROR(IFERROR(IFERROR(INDEX('EMBI+'!$B:$B,MATCH(Base!$K34,'EMBI+'!$A:$A,0)),INDEX('EMBI+'!$B:$B,MATCH(Base!$K34+1,'EMBI+'!$A:$A,0))),INDEX('EMBI+'!$B:$B,MATCH(Base!$K34+2,'EMBI+'!$A:$A,0))),INDEX('EMBI+'!$B:$B,MATCH(Base!$K34+3,'EMBI+'!$A:$A,0)))/100</f>
        <v>3.07</v>
      </c>
      <c r="AL34" s="43"/>
      <c r="AM34" s="28"/>
      <c r="AN34" s="28"/>
    </row>
    <row r="35" spans="1:40" x14ac:dyDescent="0.35">
      <c r="A35">
        <f t="shared" si="8"/>
        <v>33</v>
      </c>
      <c r="B35">
        <f>IF(G35="Bonds",COUNTIF($G$3:G35,"Bonds"),0)</f>
        <v>0</v>
      </c>
      <c r="C35" t="str">
        <f t="shared" si="16"/>
        <v>Americanas4284045397</v>
      </c>
      <c r="D35">
        <f t="shared" si="17"/>
        <v>3</v>
      </c>
      <c r="E35" s="43" t="s">
        <v>52</v>
      </c>
      <c r="F35" s="43" t="s">
        <v>53</v>
      </c>
      <c r="G35" s="43" t="s">
        <v>25</v>
      </c>
      <c r="H35">
        <f t="shared" si="1"/>
        <v>0</v>
      </c>
      <c r="I35" s="43" t="s">
        <v>74</v>
      </c>
      <c r="J35" s="34">
        <f t="shared" si="2"/>
        <v>20</v>
      </c>
      <c r="K35" s="28">
        <v>42840</v>
      </c>
      <c r="L35" s="28">
        <v>45397</v>
      </c>
      <c r="M35" s="60">
        <f t="shared" si="3"/>
        <v>7.0054794520547947</v>
      </c>
      <c r="N35" s="4">
        <f t="shared" si="4"/>
        <v>1</v>
      </c>
      <c r="O35" s="43" t="s">
        <v>44</v>
      </c>
      <c r="P35" t="str">
        <f t="shared" si="10"/>
        <v>0</v>
      </c>
      <c r="Q35" s="44">
        <v>23665</v>
      </c>
      <c r="R35" s="43">
        <v>10000</v>
      </c>
      <c r="S35" s="34" t="str">
        <f>IF($V35="USD",INDEX('Dólar Spot'!$B:$B,MATCH(Base!$K35,'Dólar Spot'!$A:$A,0)),"")</f>
        <v/>
      </c>
      <c r="T35" s="4">
        <f t="shared" si="22"/>
        <v>236650000</v>
      </c>
      <c r="U35" s="8">
        <f t="shared" si="11"/>
        <v>2.3664999999999998</v>
      </c>
      <c r="V35" s="43" t="s">
        <v>28</v>
      </c>
      <c r="W35" s="45" t="s">
        <v>29</v>
      </c>
      <c r="X35" s="46">
        <v>7.0972</v>
      </c>
      <c r="Y35" s="9">
        <f>IF(AND(V35="DI",$W35=100),$X35/100,
IF(AND(V35="DI",$W35&lt;&gt;100,$X35=""),INDEX('Debs %CDI'!$Q:$Q,MATCH(Base!$C35,'Debs %CDI'!$A:$A,0)),
IF($V35="USD",INDEX(Bonds!$AF:$AF,MATCH(Base!$C35,Bonds!$B:$B,0)),
IF($V35="IPCA",INDEX('Debs IPCA'!$Z:$Z,MATCH(Base!$C35,'Debs IPCA'!$A:$A,0))))))</f>
        <v>1.7299889270069091E-2</v>
      </c>
      <c r="Z35" s="43">
        <v>252</v>
      </c>
      <c r="AA35" s="43" t="s">
        <v>30</v>
      </c>
      <c r="AB35" s="43" t="s">
        <v>32</v>
      </c>
      <c r="AC35">
        <f t="shared" si="5"/>
        <v>0</v>
      </c>
      <c r="AD35" s="43" t="s">
        <v>31</v>
      </c>
      <c r="AE35">
        <f t="shared" si="6"/>
        <v>1</v>
      </c>
      <c r="AF35" s="34" t="str" cm="1">
        <f t="array" ref="AF35">INDEX(Ratings!$B$2:$M$40,_xlfn.XMATCH(Base!F35,Ratings!$A$2:$A$40),_xlfn.XMATCH(YEAR(Base!K35),Ratings!$B$1:$M$1))</f>
        <v>NR</v>
      </c>
      <c r="AG35">
        <f t="shared" si="12"/>
        <v>0</v>
      </c>
      <c r="AH35">
        <f>IFERROR(IFERROR(IFERROR(INDEX('EMBI+'!$B:$B,MATCH(Base!$K35,'EMBI+'!$A:$A,0)),INDEX('EMBI+'!$B:$B,MATCH(Base!$K35+1,'EMBI+'!$A:$A,0))),INDEX('EMBI+'!$B:$B,MATCH(Base!$K35+2,'EMBI+'!$A:$A,0))),INDEX('EMBI+'!$B:$B,MATCH(Base!$K35+3,'EMBI+'!$A:$A,0)))/100</f>
        <v>2.7</v>
      </c>
      <c r="AL35" s="43"/>
      <c r="AM35" s="28"/>
      <c r="AN35" s="28"/>
    </row>
    <row r="36" spans="1:40" x14ac:dyDescent="0.35">
      <c r="A36">
        <f t="shared" si="8"/>
        <v>34</v>
      </c>
      <c r="B36">
        <f>IF(G36="Bonds",COUNTIF($G$3:G36,"Bonds"),0)</f>
        <v>0</v>
      </c>
      <c r="C36" t="str">
        <f t="shared" si="16"/>
        <v>Americanas4475048775</v>
      </c>
      <c r="D36">
        <f t="shared" si="17"/>
        <v>3</v>
      </c>
      <c r="E36" s="43" t="s">
        <v>52</v>
      </c>
      <c r="F36" s="43" t="s">
        <v>53</v>
      </c>
      <c r="G36" s="43" t="s">
        <v>25</v>
      </c>
      <c r="H36">
        <f t="shared" si="1"/>
        <v>0</v>
      </c>
      <c r="I36" s="43" t="s">
        <v>848</v>
      </c>
      <c r="J36" s="34">
        <f t="shared" si="2"/>
        <v>21</v>
      </c>
      <c r="K36" s="28">
        <v>44750</v>
      </c>
      <c r="L36" s="28">
        <v>48775</v>
      </c>
      <c r="M36" s="60">
        <f t="shared" si="3"/>
        <v>11.027397260273972</v>
      </c>
      <c r="N36" s="4">
        <f t="shared" si="4"/>
        <v>1</v>
      </c>
      <c r="O36" s="43" t="s">
        <v>44</v>
      </c>
      <c r="P36" t="str">
        <f t="shared" si="10"/>
        <v>0</v>
      </c>
      <c r="Q36" s="44">
        <v>200000</v>
      </c>
      <c r="R36" s="43">
        <v>10000</v>
      </c>
      <c r="S36" s="34" t="str">
        <f>IF($V36="USD",INDEX('Dólar Spot'!$B:$B,MATCH(Base!$K36,'Dólar Spot'!$A:$A,0)),"")</f>
        <v/>
      </c>
      <c r="T36" s="4">
        <f t="shared" si="22"/>
        <v>2000000000</v>
      </c>
      <c r="U36" s="8">
        <f t="shared" si="11"/>
        <v>20</v>
      </c>
      <c r="V36" s="43" t="s">
        <v>41</v>
      </c>
      <c r="W36" s="45">
        <v>100</v>
      </c>
      <c r="X36" s="46">
        <v>2.75</v>
      </c>
      <c r="Y36" s="9">
        <f>IF(AND(V36="DI",$W36=100),$X36/100,
IF(AND(V36="DI",$W36&lt;&gt;100,$X36=""),INDEX('Debs %CDI'!$Q:$Q,MATCH(Base!$C36,'Debs %CDI'!$A:$A,0)),
IF($V36="USD",INDEX(Bonds!$AF:$AF,MATCH(Base!$C36,Bonds!$B:$B,0)),
IF($V36="IPCA",INDEX('Debs IPCA'!$Z:$Z,MATCH(Base!$C36,'Debs IPCA'!$A:$A,0))))))</f>
        <v>2.75E-2</v>
      </c>
      <c r="Z36" s="43">
        <v>252</v>
      </c>
      <c r="AA36" s="43" t="s">
        <v>30</v>
      </c>
      <c r="AB36" s="43" t="s">
        <v>32</v>
      </c>
      <c r="AC36">
        <f t="shared" si="5"/>
        <v>0</v>
      </c>
      <c r="AD36" s="43" t="s">
        <v>31</v>
      </c>
      <c r="AE36">
        <f t="shared" si="6"/>
        <v>1</v>
      </c>
      <c r="AF36" s="34" t="str" cm="1">
        <f t="array" ref="AF36">INDEX(Ratings!$B$2:$M$40,_xlfn.XMATCH(Base!F36,Ratings!$A$2:$A$40),_xlfn.XMATCH(YEAR(Base!K36),Ratings!$B$1:$M$1))</f>
        <v>BB</v>
      </c>
      <c r="AG36">
        <f t="shared" si="12"/>
        <v>0</v>
      </c>
      <c r="AH36">
        <f>IFERROR(IFERROR(IFERROR(INDEX('EMBI+'!$B:$B,MATCH(Base!$K36,'EMBI+'!$A:$A,0)),INDEX('EMBI+'!$B:$B,MATCH(Base!$K36+1,'EMBI+'!$A:$A,0))),INDEX('EMBI+'!$B:$B,MATCH(Base!$K36+2,'EMBI+'!$A:$A,0))),INDEX('EMBI+'!$B:$B,MATCH(Base!$K36+3,'EMBI+'!$A:$A,0)))/100</f>
        <v>3.49</v>
      </c>
      <c r="AL36" s="43"/>
      <c r="AM36" s="28"/>
      <c r="AN36" s="28"/>
    </row>
    <row r="37" spans="1:40" x14ac:dyDescent="0.35">
      <c r="A37">
        <f t="shared" si="8"/>
        <v>35</v>
      </c>
      <c r="B37">
        <f>IF(G37="Bonds",COUNTIF($G$3:G37,"Bonds"),0)</f>
        <v>0</v>
      </c>
      <c r="C37" t="str">
        <f t="shared" si="16"/>
        <v>Americanas4485446680</v>
      </c>
      <c r="D37">
        <f t="shared" si="17"/>
        <v>3</v>
      </c>
      <c r="E37" s="43" t="s">
        <v>52</v>
      </c>
      <c r="F37" s="43" t="s">
        <v>53</v>
      </c>
      <c r="G37" s="43" t="s">
        <v>25</v>
      </c>
      <c r="H37">
        <f t="shared" si="1"/>
        <v>0</v>
      </c>
      <c r="I37" s="43" t="s">
        <v>849</v>
      </c>
      <c r="J37" s="34">
        <f t="shared" si="2"/>
        <v>22</v>
      </c>
      <c r="K37" s="28">
        <v>44854</v>
      </c>
      <c r="L37" s="28">
        <v>46680</v>
      </c>
      <c r="M37" s="60">
        <f t="shared" si="3"/>
        <v>5.0027397260273974</v>
      </c>
      <c r="N37" s="4">
        <f t="shared" si="4"/>
        <v>1</v>
      </c>
      <c r="O37" s="43" t="s">
        <v>58</v>
      </c>
      <c r="P37" t="str">
        <f t="shared" si="10"/>
        <v>1</v>
      </c>
      <c r="Q37" s="44">
        <v>100000</v>
      </c>
      <c r="R37" s="43">
        <v>10000</v>
      </c>
      <c r="S37" s="34" t="str">
        <f>IF($V37="USD",INDEX('Dólar Spot'!$B:$B,MATCH(Base!$K37,'Dólar Spot'!$A:$A,0)),"")</f>
        <v/>
      </c>
      <c r="T37" s="4">
        <f t="shared" si="22"/>
        <v>1000000000</v>
      </c>
      <c r="U37" s="8">
        <f t="shared" si="11"/>
        <v>10</v>
      </c>
      <c r="V37" s="43" t="s">
        <v>41</v>
      </c>
      <c r="W37" s="45">
        <v>100</v>
      </c>
      <c r="X37" s="46">
        <v>1.55</v>
      </c>
      <c r="Y37" s="9">
        <f>IF(AND(V37="DI",$W37=100),$X37/100,
IF(AND(V37="DI",$W37&lt;&gt;100,$X37=""),INDEX('Debs %CDI'!$Q:$Q,MATCH(Base!$C37,'Debs %CDI'!$A:$A,0)),
IF($V37="USD",INDEX(Bonds!$AF:$AF,MATCH(Base!$C37,Bonds!$B:$B,0)),
IF($V37="IPCA",INDEX('Debs IPCA'!$Z:$Z,MATCH(Base!$C37,'Debs IPCA'!$A:$A,0))))))</f>
        <v>1.55E-2</v>
      </c>
      <c r="Z37" s="43">
        <v>252</v>
      </c>
      <c r="AA37" s="43" t="s">
        <v>30</v>
      </c>
      <c r="AB37" s="43" t="s">
        <v>32</v>
      </c>
      <c r="AC37">
        <f t="shared" si="5"/>
        <v>0</v>
      </c>
      <c r="AD37" s="43" t="s">
        <v>31</v>
      </c>
      <c r="AE37">
        <f t="shared" si="6"/>
        <v>1</v>
      </c>
      <c r="AF37" s="34" t="str" cm="1">
        <f t="array" ref="AF37">INDEX(Ratings!$B$2:$M$40,_xlfn.XMATCH(Base!F37,Ratings!$A$2:$A$40),_xlfn.XMATCH(YEAR(Base!K37),Ratings!$B$1:$M$1))</f>
        <v>BB</v>
      </c>
      <c r="AG37">
        <f t="shared" si="12"/>
        <v>0</v>
      </c>
      <c r="AH37">
        <f>IFERROR(IFERROR(IFERROR(INDEX('EMBI+'!$B:$B,MATCH(Base!$K37,'EMBI+'!$A:$A,0)),INDEX('EMBI+'!$B:$B,MATCH(Base!$K37+1,'EMBI+'!$A:$A,0))),INDEX('EMBI+'!$B:$B,MATCH(Base!$K37+2,'EMBI+'!$A:$A,0))),INDEX('EMBI+'!$B:$B,MATCH(Base!$K37+3,'EMBI+'!$A:$A,0)))/100</f>
        <v>2.64</v>
      </c>
      <c r="AL37" s="43"/>
      <c r="AM37" s="28"/>
      <c r="AN37" s="28"/>
    </row>
    <row r="38" spans="1:40" x14ac:dyDescent="0.35">
      <c r="A38">
        <f t="shared" si="8"/>
        <v>36</v>
      </c>
      <c r="B38">
        <f>IF(G38="Bonds",COUNTIF($G$3:G38,"Bonds"),0)</f>
        <v>4</v>
      </c>
      <c r="C38" t="str">
        <f t="shared" si="16"/>
        <v>Americanas4415920/12/2030</v>
      </c>
      <c r="D38">
        <f t="shared" si="17"/>
        <v>3</v>
      </c>
      <c r="E38" s="43" t="s">
        <v>75</v>
      </c>
      <c r="F38" s="43" t="s">
        <v>53</v>
      </c>
      <c r="G38" s="43" t="s">
        <v>34</v>
      </c>
      <c r="H38">
        <f t="shared" si="1"/>
        <v>1</v>
      </c>
      <c r="I38" s="43"/>
      <c r="J38" s="34">
        <f t="shared" si="2"/>
        <v>23</v>
      </c>
      <c r="K38" s="28">
        <v>44159</v>
      </c>
      <c r="L38" s="28" t="s">
        <v>76</v>
      </c>
      <c r="M38" s="60">
        <f t="shared" si="3"/>
        <v>10.076712328767123</v>
      </c>
      <c r="N38" s="4">
        <f t="shared" si="4"/>
        <v>1</v>
      </c>
      <c r="O38" s="43" t="s">
        <v>36</v>
      </c>
      <c r="P38" t="str">
        <f t="shared" si="10"/>
        <v>0</v>
      </c>
      <c r="Q38" s="43"/>
      <c r="R38" s="50"/>
      <c r="S38" s="34">
        <f>IF($V38="USD",INDEX('Dólar Spot'!$B:$B,MATCH(Base!$K38,'Dólar Spot'!$A:$A,0)),"")</f>
        <v>5.4031000000000002</v>
      </c>
      <c r="T38" s="44">
        <v>500000000</v>
      </c>
      <c r="U38" s="8">
        <f t="shared" si="11"/>
        <v>27.015499999999999</v>
      </c>
      <c r="V38" s="43" t="s">
        <v>651</v>
      </c>
      <c r="W38" s="45" t="s">
        <v>29</v>
      </c>
      <c r="X38" s="53">
        <v>4.375</v>
      </c>
      <c r="Y38" s="9">
        <f>IF(AND(V38="DI",$W38=100),$X38/100,
IF(AND(V38="DI",$W38&lt;&gt;100,$X38=""),INDEX('Debs %CDI'!$Q:$Q,MATCH(Base!$C38,'Debs %CDI'!$A:$A,0)),
IF($V38="USD",INDEX(Bonds!$AF:$AF,MATCH(Base!$C38,Bonds!$B:$B,0)),
IF($V38="IPCA",INDEX('Debs IPCA'!$Z:$Z,MATCH(Base!$C38,'Debs IPCA'!$A:$A,0))))))</f>
        <v>2.7650555444061808E-2</v>
      </c>
      <c r="Z38" s="43">
        <v>360</v>
      </c>
      <c r="AA38" s="43" t="s">
        <v>37</v>
      </c>
      <c r="AB38" s="43" t="s">
        <v>32</v>
      </c>
      <c r="AC38">
        <f t="shared" si="5"/>
        <v>0</v>
      </c>
      <c r="AD38" s="43" t="s">
        <v>31</v>
      </c>
      <c r="AE38">
        <f t="shared" si="6"/>
        <v>1</v>
      </c>
      <c r="AF38" s="34" t="str" cm="1">
        <f t="array" ref="AF38">INDEX(Ratings!$B$2:$M$40,_xlfn.XMATCH(Base!F38,Ratings!$A$2:$A$40),_xlfn.XMATCH(YEAR(Base!K38),Ratings!$B$1:$M$1))</f>
        <v>BB</v>
      </c>
      <c r="AG38">
        <f t="shared" si="12"/>
        <v>0</v>
      </c>
      <c r="AH38">
        <f>IFERROR(IFERROR(IFERROR(INDEX('EMBI+'!$B:$B,MATCH(Base!$K38,'EMBI+'!$A:$A,0)),INDEX('EMBI+'!$B:$B,MATCH(Base!$K38+1,'EMBI+'!$A:$A,0))),INDEX('EMBI+'!$B:$B,MATCH(Base!$K38+2,'EMBI+'!$A:$A,0))),INDEX('EMBI+'!$B:$B,MATCH(Base!$K38+3,'EMBI+'!$A:$A,0)))/100</f>
        <v>2.72</v>
      </c>
      <c r="AL38" s="43"/>
      <c r="AM38" s="28"/>
      <c r="AN38" s="28"/>
    </row>
    <row r="39" spans="1:40" x14ac:dyDescent="0.35">
      <c r="A39">
        <f t="shared" si="8"/>
        <v>37</v>
      </c>
      <c r="B39">
        <f>IF(G39="Bonds",COUNTIF($G$3:G39,"Bonds"),0)</f>
        <v>5</v>
      </c>
      <c r="C39" t="str">
        <f t="shared" si="16"/>
        <v>Americanas4411020/10/2030</v>
      </c>
      <c r="D39">
        <f t="shared" si="17"/>
        <v>3</v>
      </c>
      <c r="E39" s="43" t="s">
        <v>586</v>
      </c>
      <c r="F39" s="43" t="s">
        <v>53</v>
      </c>
      <c r="G39" s="43" t="s">
        <v>34</v>
      </c>
      <c r="H39">
        <f t="shared" si="1"/>
        <v>1</v>
      </c>
      <c r="I39" s="43"/>
      <c r="J39" s="34">
        <f t="shared" si="2"/>
        <v>24</v>
      </c>
      <c r="K39" s="28">
        <v>44110</v>
      </c>
      <c r="L39" s="28" t="s">
        <v>587</v>
      </c>
      <c r="M39" s="60">
        <f t="shared" si="3"/>
        <v>10.043835616438356</v>
      </c>
      <c r="N39" s="4">
        <f t="shared" si="4"/>
        <v>1</v>
      </c>
      <c r="O39" s="43" t="s">
        <v>36</v>
      </c>
      <c r="P39" t="str">
        <f t="shared" si="10"/>
        <v>0</v>
      </c>
      <c r="Q39" s="43"/>
      <c r="R39" s="43"/>
      <c r="S39" s="34">
        <f>IF($V39="USD",INDEX('Dólar Spot'!$B:$B,MATCH(Base!$K39,'Dólar Spot'!$A:$A,0)),"")</f>
        <v>5.5198999999999998</v>
      </c>
      <c r="T39" s="44">
        <v>500000000</v>
      </c>
      <c r="U39" s="8">
        <f t="shared" si="11"/>
        <v>27.599499999999999</v>
      </c>
      <c r="V39" s="43" t="s">
        <v>651</v>
      </c>
      <c r="W39" s="45" t="s">
        <v>29</v>
      </c>
      <c r="X39" s="53">
        <v>4.75</v>
      </c>
      <c r="Y39" s="9">
        <f>IF(AND(V39="DI",$W39=100),$X39/100,
IF(AND(V39="DI",$W39&lt;&gt;100,$X39=""),INDEX('Debs %CDI'!$Q:$Q,MATCH(Base!$C39,'Debs %CDI'!$A:$A,0)),
IF($V39="USD",INDEX(Bonds!$AF:$AF,MATCH(Base!$C39,Bonds!$B:$B,0)),
IF($V39="IPCA",INDEX('Debs IPCA'!$Z:$Z,MATCH(Base!$C39,'Debs IPCA'!$A:$A,0))))))</f>
        <v>3.0171006128791644E-2</v>
      </c>
      <c r="Z39" s="43">
        <v>360</v>
      </c>
      <c r="AA39" s="43" t="s">
        <v>37</v>
      </c>
      <c r="AB39" s="43" t="s">
        <v>32</v>
      </c>
      <c r="AC39">
        <f t="shared" si="5"/>
        <v>0</v>
      </c>
      <c r="AD39" s="43" t="s">
        <v>31</v>
      </c>
      <c r="AE39">
        <f t="shared" si="6"/>
        <v>1</v>
      </c>
      <c r="AF39" s="34" t="str" cm="1">
        <f t="array" ref="AF39">INDEX(Ratings!$B$2:$M$40,_xlfn.XMATCH(Base!F39,Ratings!$A$2:$A$40),_xlfn.XMATCH(YEAR(Base!K39),Ratings!$B$1:$M$1))</f>
        <v>BB</v>
      </c>
      <c r="AG39">
        <f t="shared" si="12"/>
        <v>0</v>
      </c>
      <c r="AH39">
        <f>IFERROR(IFERROR(IFERROR(INDEX('EMBI+'!$B:$B,MATCH(Base!$K39,'EMBI+'!$A:$A,0)),INDEX('EMBI+'!$B:$B,MATCH(Base!$K39+1,'EMBI+'!$A:$A,0))),INDEX('EMBI+'!$B:$B,MATCH(Base!$K39+2,'EMBI+'!$A:$A,0))),INDEX('EMBI+'!$B:$B,MATCH(Base!$K39+3,'EMBI+'!$A:$A,0)))/100</f>
        <v>3.28</v>
      </c>
      <c r="AL39" s="43"/>
      <c r="AM39" s="28"/>
      <c r="AN39" s="28"/>
    </row>
    <row r="40" spans="1:40" x14ac:dyDescent="0.35">
      <c r="A40">
        <f t="shared" si="8"/>
        <v>38</v>
      </c>
      <c r="B40">
        <f>IF(G40="Bonds",COUNTIF($G$3:G40,"Bonds"),0)</f>
        <v>0</v>
      </c>
      <c r="C40" t="str">
        <f t="shared" si="16"/>
        <v>Andrade Gutierrez4139643953</v>
      </c>
      <c r="D40">
        <f t="shared" si="17"/>
        <v>4</v>
      </c>
      <c r="E40" s="43" t="s">
        <v>77</v>
      </c>
      <c r="F40" s="43" t="s">
        <v>78</v>
      </c>
      <c r="G40" s="43" t="s">
        <v>25</v>
      </c>
      <c r="H40">
        <f t="shared" si="1"/>
        <v>0</v>
      </c>
      <c r="I40" s="43" t="s">
        <v>79</v>
      </c>
      <c r="J40" s="34">
        <f t="shared" si="2"/>
        <v>1</v>
      </c>
      <c r="K40" s="28">
        <v>41396</v>
      </c>
      <c r="L40" s="28">
        <v>43953</v>
      </c>
      <c r="M40" s="60">
        <f t="shared" si="3"/>
        <v>7.0054794520547947</v>
      </c>
      <c r="N40" s="4">
        <f t="shared" si="4"/>
        <v>1</v>
      </c>
      <c r="O40" s="43" t="s">
        <v>44</v>
      </c>
      <c r="P40" t="str">
        <f t="shared" si="10"/>
        <v>0</v>
      </c>
      <c r="Q40" s="44">
        <v>25400</v>
      </c>
      <c r="R40" s="43">
        <v>10000</v>
      </c>
      <c r="S40" s="34" t="str">
        <f>IF($V40="USD",INDEX('Dólar Spot'!$B:$B,MATCH(Base!$K40,'Dólar Spot'!$A:$A,0)),"")</f>
        <v/>
      </c>
      <c r="T40" s="4">
        <f t="shared" ref="T40:T50" si="23">Q40*R40</f>
        <v>254000000</v>
      </c>
      <c r="U40" s="8">
        <f t="shared" si="11"/>
        <v>2.54</v>
      </c>
      <c r="V40" s="43" t="s">
        <v>41</v>
      </c>
      <c r="W40" s="45">
        <v>111</v>
      </c>
      <c r="X40" s="46"/>
      <c r="Y40" s="9">
        <f>IF(AND(V40="DI",$W40=100),$X40/100,
IF(AND(V40="DI",$W40&lt;&gt;100,$X40=""),INDEX('Debs %CDI'!$Q:$Q,MATCH(Base!$C40,'Debs %CDI'!$A:$A,0)),
IF($V40="USD",INDEX(Bonds!$AF:$AF,MATCH(Base!$C40,Bonds!$B:$B,0)),
IF($V40="IPCA",INDEX('Debs IPCA'!$Z:$Z,MATCH(Base!$C40,'Debs IPCA'!$A:$A,0))))))</f>
        <v>1.0154394942621438E-2</v>
      </c>
      <c r="Z40" s="43">
        <v>252</v>
      </c>
      <c r="AA40" s="43" t="s">
        <v>30</v>
      </c>
      <c r="AB40" s="43" t="s">
        <v>32</v>
      </c>
      <c r="AC40">
        <f t="shared" si="5"/>
        <v>0</v>
      </c>
      <c r="AD40" s="43" t="s">
        <v>31</v>
      </c>
      <c r="AE40">
        <f t="shared" si="6"/>
        <v>1</v>
      </c>
      <c r="AF40" s="34" t="str" cm="1">
        <f t="array" ref="AF40">INDEX(Ratings!$B$2:$M$40,_xlfn.XMATCH(Base!F40,Ratings!$A$2:$A$40),_xlfn.XMATCH(YEAR(Base!K40),Ratings!$B$1:$M$1))</f>
        <v>BBB-</v>
      </c>
      <c r="AG40">
        <f t="shared" si="12"/>
        <v>1</v>
      </c>
      <c r="AH40">
        <f>IFERROR(IFERROR(IFERROR(INDEX('EMBI+'!$B:$B,MATCH(Base!$K40,'EMBI+'!$A:$A,0)),INDEX('EMBI+'!$B:$B,MATCH(Base!$K40+1,'EMBI+'!$A:$A,0))),INDEX('EMBI+'!$B:$B,MATCH(Base!$K40+2,'EMBI+'!$A:$A,0))),INDEX('EMBI+'!$B:$B,MATCH(Base!$K40+3,'EMBI+'!$A:$A,0)))/100</f>
        <v>1.69</v>
      </c>
      <c r="AL40" s="43"/>
      <c r="AM40" s="28"/>
      <c r="AN40" s="28"/>
    </row>
    <row r="41" spans="1:40" x14ac:dyDescent="0.35">
      <c r="A41">
        <f t="shared" si="8"/>
        <v>39</v>
      </c>
      <c r="B41">
        <f>IF(G41="Bonds",COUNTIF($G$3:G41,"Bonds"),0)</f>
        <v>0</v>
      </c>
      <c r="C41" t="str">
        <f t="shared" si="16"/>
        <v>Andrade Gutierrez4295044046</v>
      </c>
      <c r="D41">
        <f t="shared" si="17"/>
        <v>4</v>
      </c>
      <c r="E41" s="43" t="s">
        <v>77</v>
      </c>
      <c r="F41" s="43" t="s">
        <v>78</v>
      </c>
      <c r="G41" s="43" t="s">
        <v>25</v>
      </c>
      <c r="H41">
        <f t="shared" si="1"/>
        <v>0</v>
      </c>
      <c r="I41" s="43" t="s">
        <v>80</v>
      </c>
      <c r="J41" s="34">
        <f t="shared" si="2"/>
        <v>2</v>
      </c>
      <c r="K41" s="28">
        <v>42950</v>
      </c>
      <c r="L41" s="28">
        <v>44046</v>
      </c>
      <c r="M41" s="60">
        <f t="shared" si="3"/>
        <v>3.0027397260273974</v>
      </c>
      <c r="N41" s="4">
        <f t="shared" si="4"/>
        <v>0</v>
      </c>
      <c r="O41" s="43" t="s">
        <v>44</v>
      </c>
      <c r="P41" t="str">
        <f t="shared" si="10"/>
        <v>0</v>
      </c>
      <c r="Q41" s="44">
        <v>88000</v>
      </c>
      <c r="R41" s="43">
        <v>1000</v>
      </c>
      <c r="S41" s="34" t="str">
        <f>IF($V41="USD",INDEX('Dólar Spot'!$B:$B,MATCH(Base!$K41,'Dólar Spot'!$A:$A,0)),"")</f>
        <v/>
      </c>
      <c r="T41" s="4">
        <f t="shared" si="23"/>
        <v>88000000</v>
      </c>
      <c r="U41" s="8">
        <f t="shared" si="11"/>
        <v>0.88</v>
      </c>
      <c r="V41" s="43" t="s">
        <v>41</v>
      </c>
      <c r="W41" s="45">
        <v>129</v>
      </c>
      <c r="X41" s="46"/>
      <c r="Y41" s="9">
        <f>IF(AND(V41="DI",$W41=100),$X41/100,
IF(AND(V41="DI",$W41&lt;&gt;100,$X41=""),INDEX('Debs %CDI'!$Q:$Q,MATCH(Base!$C41,'Debs %CDI'!$A:$A,0)),
IF($V41="USD",INDEX(Bonds!$AF:$AF,MATCH(Base!$C41,Bonds!$B:$B,0)),
IF($V41="IPCA",INDEX('Debs IPCA'!$Z:$Z,MATCH(Base!$C41,'Debs IPCA'!$A:$A,0))))))</f>
        <v>2.5918275031720832E-2</v>
      </c>
      <c r="Z41" s="43">
        <v>252</v>
      </c>
      <c r="AA41" s="43" t="s">
        <v>30</v>
      </c>
      <c r="AB41" s="43" t="s">
        <v>32</v>
      </c>
      <c r="AC41">
        <f t="shared" si="5"/>
        <v>0</v>
      </c>
      <c r="AD41" s="43" t="s">
        <v>31</v>
      </c>
      <c r="AE41">
        <f t="shared" si="6"/>
        <v>1</v>
      </c>
      <c r="AF41" s="34" t="str" cm="1">
        <f t="array" ref="AF41">INDEX(Ratings!$B$2:$M$40,_xlfn.XMATCH(Base!F41,Ratings!$A$2:$A$40),_xlfn.XMATCH(YEAR(Base!K41),Ratings!$B$1:$M$1))</f>
        <v>B-</v>
      </c>
      <c r="AG41">
        <f t="shared" si="12"/>
        <v>0</v>
      </c>
      <c r="AH41">
        <f>IFERROR(IFERROR(IFERROR(INDEX('EMBI+'!$B:$B,MATCH(Base!$K41,'EMBI+'!$A:$A,0)),INDEX('EMBI+'!$B:$B,MATCH(Base!$K41+1,'EMBI+'!$A:$A,0))),INDEX('EMBI+'!$B:$B,MATCH(Base!$K41+2,'EMBI+'!$A:$A,0))),INDEX('EMBI+'!$B:$B,MATCH(Base!$K41+3,'EMBI+'!$A:$A,0)))/100</f>
        <v>2.64</v>
      </c>
      <c r="AL41" s="43"/>
      <c r="AM41" s="28"/>
      <c r="AN41" s="28"/>
    </row>
    <row r="42" spans="1:40" x14ac:dyDescent="0.35">
      <c r="A42">
        <f t="shared" si="8"/>
        <v>40</v>
      </c>
      <c r="B42">
        <f>IF(G42="Bonds",COUNTIF($G$3:G42,"Bonds"),0)</f>
        <v>0</v>
      </c>
      <c r="C42" t="str">
        <f t="shared" si="16"/>
        <v>Andrade Gutierrez4107542901</v>
      </c>
      <c r="D42">
        <f t="shared" si="17"/>
        <v>4</v>
      </c>
      <c r="E42" s="43" t="s">
        <v>77</v>
      </c>
      <c r="F42" s="43" t="s">
        <v>78</v>
      </c>
      <c r="G42" s="43" t="s">
        <v>25</v>
      </c>
      <c r="H42">
        <f t="shared" si="1"/>
        <v>0</v>
      </c>
      <c r="I42" s="43" t="s">
        <v>81</v>
      </c>
      <c r="J42" s="34">
        <f t="shared" si="2"/>
        <v>3</v>
      </c>
      <c r="K42" s="28">
        <v>41075</v>
      </c>
      <c r="L42" s="28">
        <v>42901</v>
      </c>
      <c r="M42" s="60">
        <f t="shared" si="3"/>
        <v>5.0027397260273974</v>
      </c>
      <c r="N42" s="4">
        <f t="shared" si="4"/>
        <v>1</v>
      </c>
      <c r="O42" s="43" t="s">
        <v>44</v>
      </c>
      <c r="P42" t="str">
        <f t="shared" si="10"/>
        <v>0</v>
      </c>
      <c r="Q42" s="44">
        <v>8294</v>
      </c>
      <c r="R42" s="43">
        <v>10000</v>
      </c>
      <c r="S42" s="34" t="str">
        <f>IF($V42="USD",INDEX('Dólar Spot'!$B:$B,MATCH(Base!$K42,'Dólar Spot'!$A:$A,0)),"")</f>
        <v/>
      </c>
      <c r="T42" s="4">
        <f t="shared" si="23"/>
        <v>82940000</v>
      </c>
      <c r="U42" s="8">
        <f t="shared" si="11"/>
        <v>0.82940000000000003</v>
      </c>
      <c r="V42" s="43" t="s">
        <v>41</v>
      </c>
      <c r="W42" s="45">
        <v>100</v>
      </c>
      <c r="X42" s="46">
        <v>2.9</v>
      </c>
      <c r="Y42" s="9">
        <f>IF(AND(V42="DI",$W42=100),$X42/100,
IF(AND(V42="DI",$W42&lt;&gt;100,$X42=""),INDEX('Debs %CDI'!$Q:$Q,MATCH(Base!$C42,'Debs %CDI'!$A:$A,0)),
IF($V42="USD",INDEX(Bonds!$AF:$AF,MATCH(Base!$C42,Bonds!$B:$B,0)),
IF($V42="IPCA",INDEX('Debs IPCA'!$Z:$Z,MATCH(Base!$C42,'Debs IPCA'!$A:$A,0))))))</f>
        <v>2.8999999999999998E-2</v>
      </c>
      <c r="Z42" s="43">
        <v>252</v>
      </c>
      <c r="AA42" s="43" t="s">
        <v>30</v>
      </c>
      <c r="AB42" s="43" t="s">
        <v>32</v>
      </c>
      <c r="AC42">
        <f t="shared" si="5"/>
        <v>0</v>
      </c>
      <c r="AD42" s="43" t="s">
        <v>31</v>
      </c>
      <c r="AE42">
        <f t="shared" si="6"/>
        <v>1</v>
      </c>
      <c r="AF42" s="34" t="str" cm="1">
        <f t="array" ref="AF42">INDEX(Ratings!$B$2:$M$40,_xlfn.XMATCH(Base!F42,Ratings!$A$2:$A$40),_xlfn.XMATCH(YEAR(Base!K42),Ratings!$B$1:$M$1))</f>
        <v>BBB-</v>
      </c>
      <c r="AG42">
        <f t="shared" si="12"/>
        <v>1</v>
      </c>
      <c r="AH42">
        <f>IFERROR(IFERROR(IFERROR(INDEX('EMBI+'!$B:$B,MATCH(Base!$K42,'EMBI+'!$A:$A,0)),INDEX('EMBI+'!$B:$B,MATCH(Base!$K42+1,'EMBI+'!$A:$A,0))),INDEX('EMBI+'!$B:$B,MATCH(Base!$K42+2,'EMBI+'!$A:$A,0))),INDEX('EMBI+'!$B:$B,MATCH(Base!$K42+3,'EMBI+'!$A:$A,0)))/100</f>
        <v>2.0299999999999998</v>
      </c>
      <c r="AL42" s="43"/>
      <c r="AM42" s="28"/>
      <c r="AN42" s="28"/>
    </row>
    <row r="43" spans="1:40" x14ac:dyDescent="0.35">
      <c r="A43">
        <f t="shared" si="8"/>
        <v>41</v>
      </c>
      <c r="B43">
        <f>IF(G43="Bonds",COUNTIF($G$3:G43,"Bonds"),0)</f>
        <v>0</v>
      </c>
      <c r="C43" t="str">
        <f t="shared" si="16"/>
        <v>Andrade Gutierrez4159342019</v>
      </c>
      <c r="D43">
        <f t="shared" si="17"/>
        <v>4</v>
      </c>
      <c r="E43" s="43" t="s">
        <v>77</v>
      </c>
      <c r="F43" s="43" t="s">
        <v>78</v>
      </c>
      <c r="G43" s="43" t="s">
        <v>25</v>
      </c>
      <c r="H43">
        <f t="shared" si="1"/>
        <v>0</v>
      </c>
      <c r="I43" s="43" t="s">
        <v>82</v>
      </c>
      <c r="J43" s="34">
        <f t="shared" si="2"/>
        <v>4</v>
      </c>
      <c r="K43" s="28">
        <v>41593</v>
      </c>
      <c r="L43" s="28">
        <v>42019</v>
      </c>
      <c r="M43" s="60">
        <f t="shared" si="3"/>
        <v>1.167123287671233</v>
      </c>
      <c r="N43" s="4">
        <f t="shared" si="4"/>
        <v>0</v>
      </c>
      <c r="O43" s="43" t="s">
        <v>44</v>
      </c>
      <c r="P43" t="str">
        <f t="shared" si="10"/>
        <v>0</v>
      </c>
      <c r="Q43" s="44">
        <v>18000</v>
      </c>
      <c r="R43" s="43">
        <v>10000</v>
      </c>
      <c r="S43" s="34" t="str">
        <f>IF($V43="USD",INDEX('Dólar Spot'!$B:$B,MATCH(Base!$K43,'Dólar Spot'!$A:$A,0)),"")</f>
        <v/>
      </c>
      <c r="T43" s="4">
        <f t="shared" si="23"/>
        <v>180000000</v>
      </c>
      <c r="U43" s="8">
        <f t="shared" si="11"/>
        <v>1.8</v>
      </c>
      <c r="V43" s="43" t="s">
        <v>41</v>
      </c>
      <c r="W43" s="45">
        <v>107</v>
      </c>
      <c r="X43" s="46"/>
      <c r="Y43" s="9">
        <f>IF(AND(V43="DI",$W43=100),$X43/100,
IF(AND(V43="DI",$W43&lt;&gt;100,$X43=""),INDEX('Debs %CDI'!$Q:$Q,MATCH(Base!$C43,'Debs %CDI'!$A:$A,0)),
IF($V43="USD",INDEX(Bonds!$AF:$AF,MATCH(Base!$C43,Bonds!$B:$B,0)),
IF($V43="IPCA",INDEX('Debs IPCA'!$Z:$Z,MATCH(Base!$C43,'Debs IPCA'!$A:$A,0))))))</f>
        <v>7.5441064164305741E-3</v>
      </c>
      <c r="Z43" s="43">
        <v>252</v>
      </c>
      <c r="AA43" s="43" t="s">
        <v>30</v>
      </c>
      <c r="AB43" s="43" t="s">
        <v>32</v>
      </c>
      <c r="AC43">
        <f t="shared" si="5"/>
        <v>0</v>
      </c>
      <c r="AD43" s="43" t="s">
        <v>31</v>
      </c>
      <c r="AE43">
        <f t="shared" si="6"/>
        <v>1</v>
      </c>
      <c r="AF43" s="34" t="str" cm="1">
        <f t="array" ref="AF43">INDEX(Ratings!$B$2:$M$40,_xlfn.XMATCH(Base!F43,Ratings!$A$2:$A$40),_xlfn.XMATCH(YEAR(Base!K43),Ratings!$B$1:$M$1))</f>
        <v>BBB-</v>
      </c>
      <c r="AG43">
        <f t="shared" si="12"/>
        <v>1</v>
      </c>
      <c r="AH43">
        <f>IFERROR(IFERROR(IFERROR(INDEX('EMBI+'!$B:$B,MATCH(Base!$K43,'EMBI+'!$A:$A,0)),INDEX('EMBI+'!$B:$B,MATCH(Base!$K43+1,'EMBI+'!$A:$A,0))),INDEX('EMBI+'!$B:$B,MATCH(Base!$K43+2,'EMBI+'!$A:$A,0))),INDEX('EMBI+'!$B:$B,MATCH(Base!$K43+3,'EMBI+'!$A:$A,0)))/100</f>
        <v>2.33</v>
      </c>
      <c r="AL43" s="43"/>
      <c r="AM43" s="28"/>
      <c r="AN43" s="28"/>
    </row>
    <row r="44" spans="1:40" x14ac:dyDescent="0.35">
      <c r="A44">
        <f t="shared" si="8"/>
        <v>42</v>
      </c>
      <c r="B44">
        <f>IF(G44="Bonds",COUNTIF($G$3:G44,"Bonds"),0)</f>
        <v>0</v>
      </c>
      <c r="C44" t="str">
        <f t="shared" si="16"/>
        <v>Andrade Gutierrez4380846000</v>
      </c>
      <c r="D44">
        <f t="shared" si="17"/>
        <v>4</v>
      </c>
      <c r="E44" s="43" t="s">
        <v>77</v>
      </c>
      <c r="F44" s="43" t="s">
        <v>78</v>
      </c>
      <c r="G44" s="43" t="s">
        <v>25</v>
      </c>
      <c r="H44">
        <f t="shared" si="1"/>
        <v>0</v>
      </c>
      <c r="I44" s="43" t="s">
        <v>83</v>
      </c>
      <c r="J44" s="34">
        <f t="shared" si="2"/>
        <v>5</v>
      </c>
      <c r="K44" s="28">
        <v>43808</v>
      </c>
      <c r="L44" s="28">
        <v>46000</v>
      </c>
      <c r="M44" s="60">
        <f t="shared" si="3"/>
        <v>6.0054794520547947</v>
      </c>
      <c r="N44" s="4">
        <f t="shared" si="4"/>
        <v>1</v>
      </c>
      <c r="O44" s="43" t="s">
        <v>27</v>
      </c>
      <c r="P44" t="str">
        <f t="shared" si="10"/>
        <v>1</v>
      </c>
      <c r="Q44" s="44">
        <v>550000</v>
      </c>
      <c r="R44" s="43">
        <v>1000</v>
      </c>
      <c r="S44" s="34" t="str">
        <f>IF($V44="USD",INDEX('Dólar Spot'!$B:$B,MATCH(Base!$K44,'Dólar Spot'!$A:$A,0)),"")</f>
        <v/>
      </c>
      <c r="T44" s="4">
        <f t="shared" si="23"/>
        <v>550000000</v>
      </c>
      <c r="U44" s="8">
        <f t="shared" si="11"/>
        <v>5.5</v>
      </c>
      <c r="V44" s="43" t="s">
        <v>41</v>
      </c>
      <c r="W44" s="45">
        <v>100</v>
      </c>
      <c r="X44" s="46">
        <v>5.4</v>
      </c>
      <c r="Y44" s="9">
        <f>IF(AND(V44="DI",$W44=100),$X44/100,
IF(AND(V44="DI",$W44&lt;&gt;100,$X44=""),INDEX('Debs %CDI'!$Q:$Q,MATCH(Base!$C44,'Debs %CDI'!$A:$A,0)),
IF($V44="USD",INDEX(Bonds!$AF:$AF,MATCH(Base!$C44,Bonds!$B:$B,0)),
IF($V44="IPCA",INDEX('Debs IPCA'!$Z:$Z,MATCH(Base!$C44,'Debs IPCA'!$A:$A,0))))))</f>
        <v>5.4000000000000006E-2</v>
      </c>
      <c r="Z44" s="43">
        <v>252</v>
      </c>
      <c r="AA44" s="43" t="s">
        <v>30</v>
      </c>
      <c r="AB44" s="43" t="s">
        <v>32</v>
      </c>
      <c r="AC44">
        <f t="shared" si="5"/>
        <v>0</v>
      </c>
      <c r="AD44" s="43" t="s">
        <v>31</v>
      </c>
      <c r="AE44">
        <f t="shared" si="6"/>
        <v>1</v>
      </c>
      <c r="AF44" s="34" t="str" cm="1">
        <f t="array" ref="AF44">INDEX(Ratings!$B$2:$M$40,_xlfn.XMATCH(Base!F44,Ratings!$A$2:$A$40),_xlfn.XMATCH(YEAR(Base!K44),Ratings!$B$1:$M$1))</f>
        <v>CCC-</v>
      </c>
      <c r="AG44">
        <f t="shared" si="12"/>
        <v>0</v>
      </c>
      <c r="AH44">
        <f>IFERROR(IFERROR(IFERROR(INDEX('EMBI+'!$B:$B,MATCH(Base!$K44,'EMBI+'!$A:$A,0)),INDEX('EMBI+'!$B:$B,MATCH(Base!$K44+1,'EMBI+'!$A:$A,0))),INDEX('EMBI+'!$B:$B,MATCH(Base!$K44+2,'EMBI+'!$A:$A,0))),INDEX('EMBI+'!$B:$B,MATCH(Base!$K44+3,'EMBI+'!$A:$A,0)))/100</f>
        <v>2.31</v>
      </c>
      <c r="AL44" s="43"/>
      <c r="AM44" s="28"/>
      <c r="AN44" s="28"/>
    </row>
    <row r="45" spans="1:40" x14ac:dyDescent="0.35">
      <c r="A45">
        <f t="shared" si="8"/>
        <v>43</v>
      </c>
      <c r="B45">
        <f>IF(G45="Bonds",COUNTIF($G$3:G45,"Bonds"),0)</f>
        <v>0</v>
      </c>
      <c r="C45" t="str">
        <f t="shared" si="16"/>
        <v>Andrade Gutierrez4107543631</v>
      </c>
      <c r="D45">
        <f t="shared" si="17"/>
        <v>4</v>
      </c>
      <c r="E45" s="43" t="s">
        <v>77</v>
      </c>
      <c r="F45" s="43" t="s">
        <v>78</v>
      </c>
      <c r="G45" s="43" t="s">
        <v>25</v>
      </c>
      <c r="H45">
        <f t="shared" si="1"/>
        <v>0</v>
      </c>
      <c r="I45" s="43" t="s">
        <v>84</v>
      </c>
      <c r="J45" s="34">
        <f t="shared" si="2"/>
        <v>6</v>
      </c>
      <c r="K45" s="28">
        <v>41075</v>
      </c>
      <c r="L45" s="28">
        <v>43631</v>
      </c>
      <c r="M45" s="60">
        <f t="shared" si="3"/>
        <v>7.0027397260273974</v>
      </c>
      <c r="N45" s="4">
        <f t="shared" si="4"/>
        <v>1</v>
      </c>
      <c r="O45" s="43" t="s">
        <v>44</v>
      </c>
      <c r="P45" t="str">
        <f t="shared" si="10"/>
        <v>0</v>
      </c>
      <c r="Q45" s="44">
        <v>7845</v>
      </c>
      <c r="R45" s="43">
        <v>10000</v>
      </c>
      <c r="S45" s="34" t="str">
        <f>IF($V45="USD",INDEX('Dólar Spot'!$B:$B,MATCH(Base!$K45,'Dólar Spot'!$A:$A,0)),"")</f>
        <v/>
      </c>
      <c r="T45" s="4">
        <f t="shared" si="23"/>
        <v>78450000</v>
      </c>
      <c r="U45" s="8">
        <f t="shared" si="11"/>
        <v>0.78449999999999998</v>
      </c>
      <c r="V45" s="43" t="s">
        <v>41</v>
      </c>
      <c r="W45" s="45">
        <v>100</v>
      </c>
      <c r="X45" s="46">
        <v>3</v>
      </c>
      <c r="Y45" s="9">
        <f>IF(AND(V45="DI",$W45=100),$X45/100,
IF(AND(V45="DI",$W45&lt;&gt;100,$X45=""),INDEX('Debs %CDI'!$Q:$Q,MATCH(Base!$C45,'Debs %CDI'!$A:$A,0)),
IF($V45="USD",INDEX(Bonds!$AF:$AF,MATCH(Base!$C45,Bonds!$B:$B,0)),
IF($V45="IPCA",INDEX('Debs IPCA'!$Z:$Z,MATCH(Base!$C45,'Debs IPCA'!$A:$A,0))))))</f>
        <v>0.03</v>
      </c>
      <c r="Z45" s="43">
        <v>252</v>
      </c>
      <c r="AA45" s="43" t="s">
        <v>30</v>
      </c>
      <c r="AB45" s="43" t="s">
        <v>32</v>
      </c>
      <c r="AC45">
        <f t="shared" si="5"/>
        <v>0</v>
      </c>
      <c r="AD45" s="43" t="s">
        <v>31</v>
      </c>
      <c r="AE45">
        <f t="shared" si="6"/>
        <v>1</v>
      </c>
      <c r="AF45" s="34" t="str" cm="1">
        <f t="array" ref="AF45">INDEX(Ratings!$B$2:$M$40,_xlfn.XMATCH(Base!F45,Ratings!$A$2:$A$40),_xlfn.XMATCH(YEAR(Base!K45),Ratings!$B$1:$M$1))</f>
        <v>BBB-</v>
      </c>
      <c r="AG45">
        <f t="shared" si="12"/>
        <v>1</v>
      </c>
      <c r="AH45">
        <f>IFERROR(IFERROR(IFERROR(INDEX('EMBI+'!$B:$B,MATCH(Base!$K45,'EMBI+'!$A:$A,0)),INDEX('EMBI+'!$B:$B,MATCH(Base!$K45+1,'EMBI+'!$A:$A,0))),INDEX('EMBI+'!$B:$B,MATCH(Base!$K45+2,'EMBI+'!$A:$A,0))),INDEX('EMBI+'!$B:$B,MATCH(Base!$K45+3,'EMBI+'!$A:$A,0)))/100</f>
        <v>2.0299999999999998</v>
      </c>
      <c r="AL45" s="43"/>
      <c r="AM45" s="28"/>
      <c r="AN45" s="28"/>
    </row>
    <row r="46" spans="1:40" x14ac:dyDescent="0.35">
      <c r="A46">
        <f t="shared" si="8"/>
        <v>44</v>
      </c>
      <c r="B46">
        <f>IF(G46="Bonds",COUNTIF($G$3:G46,"Bonds"),0)</f>
        <v>0</v>
      </c>
      <c r="C46" t="str">
        <f t="shared" si="16"/>
        <v>Andrade Gutierrez4107544727</v>
      </c>
      <c r="D46">
        <f t="shared" si="17"/>
        <v>4</v>
      </c>
      <c r="E46" s="43" t="s">
        <v>77</v>
      </c>
      <c r="F46" s="43" t="s">
        <v>78</v>
      </c>
      <c r="G46" s="43" t="s">
        <v>25</v>
      </c>
      <c r="H46">
        <f t="shared" si="1"/>
        <v>0</v>
      </c>
      <c r="I46" s="43" t="s">
        <v>85</v>
      </c>
      <c r="J46" s="34">
        <f t="shared" si="2"/>
        <v>7</v>
      </c>
      <c r="K46" s="28">
        <v>41075</v>
      </c>
      <c r="L46" s="28">
        <v>44727</v>
      </c>
      <c r="M46" s="60">
        <f t="shared" si="3"/>
        <v>10.005479452054795</v>
      </c>
      <c r="N46" s="4">
        <f t="shared" si="4"/>
        <v>1</v>
      </c>
      <c r="O46" s="43" t="s">
        <v>44</v>
      </c>
      <c r="P46" t="str">
        <f t="shared" si="10"/>
        <v>0</v>
      </c>
      <c r="Q46" s="44">
        <v>47806</v>
      </c>
      <c r="R46" s="43">
        <v>10000</v>
      </c>
      <c r="S46" s="34" t="str">
        <f>IF($V46="USD",INDEX('Dólar Spot'!$B:$B,MATCH(Base!$K46,'Dólar Spot'!$A:$A,0)),"")</f>
        <v/>
      </c>
      <c r="T46" s="4">
        <f t="shared" si="23"/>
        <v>478060000</v>
      </c>
      <c r="U46" s="8">
        <f t="shared" si="11"/>
        <v>4.7805999999999997</v>
      </c>
      <c r="V46" s="43" t="s">
        <v>28</v>
      </c>
      <c r="W46" s="45" t="s">
        <v>29</v>
      </c>
      <c r="X46" s="46">
        <v>9.8000000000000007</v>
      </c>
      <c r="Y46" s="9">
        <f>IF(AND(V46="DI",$W46=100),$X46/100,
IF(AND(V46="DI",$W46&lt;&gt;100,$X46=""),INDEX('Debs %CDI'!$Q:$Q,MATCH(Base!$C46,'Debs %CDI'!$A:$A,0)),
IF($V46="USD",INDEX(Bonds!$AF:$AF,MATCH(Base!$C46,Bonds!$B:$B,0)),
IF($V46="IPCA",INDEX('Debs IPCA'!$Z:$Z,MATCH(Base!$C46,'Debs IPCA'!$A:$A,0))))))</f>
        <v>4.9623241768894877E-2</v>
      </c>
      <c r="Z46" s="43">
        <v>252</v>
      </c>
      <c r="AA46" s="43" t="s">
        <v>30</v>
      </c>
      <c r="AB46" s="43" t="s">
        <v>32</v>
      </c>
      <c r="AC46">
        <f t="shared" si="5"/>
        <v>0</v>
      </c>
      <c r="AD46" s="43" t="s">
        <v>31</v>
      </c>
      <c r="AE46">
        <f t="shared" si="6"/>
        <v>1</v>
      </c>
      <c r="AF46" s="34" t="str" cm="1">
        <f t="array" ref="AF46">INDEX(Ratings!$B$2:$M$40,_xlfn.XMATCH(Base!F46,Ratings!$A$2:$A$40),_xlfn.XMATCH(YEAR(Base!K46),Ratings!$B$1:$M$1))</f>
        <v>BBB-</v>
      </c>
      <c r="AG46">
        <f t="shared" si="12"/>
        <v>1</v>
      </c>
      <c r="AH46">
        <f>IFERROR(IFERROR(IFERROR(INDEX('EMBI+'!$B:$B,MATCH(Base!$K46,'EMBI+'!$A:$A,0)),INDEX('EMBI+'!$B:$B,MATCH(Base!$K46+1,'EMBI+'!$A:$A,0))),INDEX('EMBI+'!$B:$B,MATCH(Base!$K46+2,'EMBI+'!$A:$A,0))),INDEX('EMBI+'!$B:$B,MATCH(Base!$K46+3,'EMBI+'!$A:$A,0)))/100</f>
        <v>2.0299999999999998</v>
      </c>
      <c r="AL46" s="43"/>
      <c r="AM46" s="28"/>
      <c r="AN46" s="28"/>
    </row>
    <row r="47" spans="1:40" x14ac:dyDescent="0.35">
      <c r="A47">
        <f t="shared" si="8"/>
        <v>45</v>
      </c>
      <c r="B47">
        <f>IF(G47="Bonds",COUNTIF($G$3:G47,"Bonds"),0)</f>
        <v>0</v>
      </c>
      <c r="C47" t="str">
        <f t="shared" si="16"/>
        <v>Andrade Gutierrez4125341983</v>
      </c>
      <c r="D47">
        <f t="shared" si="17"/>
        <v>4</v>
      </c>
      <c r="E47" s="43" t="s">
        <v>86</v>
      </c>
      <c r="F47" s="43" t="s">
        <v>78</v>
      </c>
      <c r="G47" s="43" t="s">
        <v>25</v>
      </c>
      <c r="H47">
        <f t="shared" si="1"/>
        <v>0</v>
      </c>
      <c r="I47" s="43" t="s">
        <v>87</v>
      </c>
      <c r="J47" s="34">
        <f t="shared" si="2"/>
        <v>8</v>
      </c>
      <c r="K47" s="28">
        <v>41253</v>
      </c>
      <c r="L47" s="28">
        <v>41983</v>
      </c>
      <c r="M47" s="60">
        <f t="shared" si="3"/>
        <v>2</v>
      </c>
      <c r="N47" s="4">
        <f t="shared" si="4"/>
        <v>0</v>
      </c>
      <c r="O47" s="43" t="s">
        <v>44</v>
      </c>
      <c r="P47" t="str">
        <f t="shared" si="10"/>
        <v>0</v>
      </c>
      <c r="Q47" s="44">
        <v>400000</v>
      </c>
      <c r="R47" s="43">
        <v>1000</v>
      </c>
      <c r="S47" s="34" t="str">
        <f>IF($V47="USD",INDEX('Dólar Spot'!$B:$B,MATCH(Base!$K47,'Dólar Spot'!$A:$A,0)),"")</f>
        <v/>
      </c>
      <c r="T47" s="4">
        <f t="shared" si="23"/>
        <v>400000000</v>
      </c>
      <c r="U47" s="8">
        <f t="shared" si="11"/>
        <v>4</v>
      </c>
      <c r="V47" s="43" t="s">
        <v>41</v>
      </c>
      <c r="W47" s="45">
        <v>107</v>
      </c>
      <c r="X47" s="46"/>
      <c r="Y47" s="9">
        <f>IF(AND(V47="DI",$W47=100),$X47/100,
IF(AND(V47="DI",$W47&lt;&gt;100,$X47=""),INDEX('Debs %CDI'!$Q:$Q,MATCH(Base!$C47,'Debs %CDI'!$A:$A,0)),
IF($V47="USD",INDEX(Bonds!$AF:$AF,MATCH(Base!$C47,Bonds!$B:$B,0)),
IF($V47="IPCA",INDEX('Debs IPCA'!$Z:$Z,MATCH(Base!$C47,'Debs IPCA'!$A:$A,0))))))</f>
        <v>5.2837497010265371E-3</v>
      </c>
      <c r="Z47" s="43">
        <v>252</v>
      </c>
      <c r="AA47" s="43" t="s">
        <v>30</v>
      </c>
      <c r="AB47" s="43" t="s">
        <v>32</v>
      </c>
      <c r="AC47">
        <f t="shared" si="5"/>
        <v>0</v>
      </c>
      <c r="AD47" s="43" t="s">
        <v>31</v>
      </c>
      <c r="AE47">
        <f t="shared" si="6"/>
        <v>1</v>
      </c>
      <c r="AF47" s="34" t="str" cm="1">
        <f t="array" ref="AF47">INDEX(Ratings!$B$2:$M$40,_xlfn.XMATCH(Base!F47,Ratings!$A$2:$A$40),_xlfn.XMATCH(YEAR(Base!K47),Ratings!$B$1:$M$1))</f>
        <v>BBB-</v>
      </c>
      <c r="AG47">
        <f t="shared" si="12"/>
        <v>1</v>
      </c>
      <c r="AH47">
        <f>IFERROR(IFERROR(IFERROR(INDEX('EMBI+'!$B:$B,MATCH(Base!$K47,'EMBI+'!$A:$A,0)),INDEX('EMBI+'!$B:$B,MATCH(Base!$K47+1,'EMBI+'!$A:$A,0))),INDEX('EMBI+'!$B:$B,MATCH(Base!$K47+2,'EMBI+'!$A:$A,0))),INDEX('EMBI+'!$B:$B,MATCH(Base!$K47+3,'EMBI+'!$A:$A,0)))/100</f>
        <v>1.55</v>
      </c>
      <c r="AL47" s="43"/>
      <c r="AM47" s="28"/>
      <c r="AN47" s="28"/>
    </row>
    <row r="48" spans="1:40" x14ac:dyDescent="0.35">
      <c r="A48">
        <f t="shared" si="8"/>
        <v>46</v>
      </c>
      <c r="B48">
        <f>IF(G48="Bonds",COUNTIF($G$3:G48,"Bonds"),0)</f>
        <v>0</v>
      </c>
      <c r="C48" t="str">
        <f t="shared" si="16"/>
        <v>Andrade Gutierrez4162542355</v>
      </c>
      <c r="D48">
        <f t="shared" si="17"/>
        <v>4</v>
      </c>
      <c r="E48" s="43" t="s">
        <v>86</v>
      </c>
      <c r="F48" s="43" t="s">
        <v>78</v>
      </c>
      <c r="G48" s="43" t="s">
        <v>25</v>
      </c>
      <c r="H48">
        <f t="shared" si="1"/>
        <v>0</v>
      </c>
      <c r="I48" s="43" t="s">
        <v>88</v>
      </c>
      <c r="J48" s="34">
        <f t="shared" si="2"/>
        <v>9</v>
      </c>
      <c r="K48" s="28">
        <v>41625</v>
      </c>
      <c r="L48" s="28">
        <v>42355</v>
      </c>
      <c r="M48" s="60">
        <f t="shared" si="3"/>
        <v>2</v>
      </c>
      <c r="N48" s="4">
        <f t="shared" si="4"/>
        <v>0</v>
      </c>
      <c r="O48" s="43" t="s">
        <v>44</v>
      </c>
      <c r="P48" t="str">
        <f t="shared" si="10"/>
        <v>0</v>
      </c>
      <c r="Q48" s="44">
        <v>43000</v>
      </c>
      <c r="R48" s="43">
        <v>10000</v>
      </c>
      <c r="S48" s="34" t="str">
        <f>IF($V48="USD",INDEX('Dólar Spot'!$B:$B,MATCH(Base!$K48,'Dólar Spot'!$A:$A,0)),"")</f>
        <v/>
      </c>
      <c r="T48" s="4">
        <f t="shared" si="23"/>
        <v>430000000</v>
      </c>
      <c r="U48" s="8">
        <f t="shared" si="11"/>
        <v>4.3</v>
      </c>
      <c r="V48" s="43" t="s">
        <v>41</v>
      </c>
      <c r="W48" s="45">
        <v>108.6</v>
      </c>
      <c r="X48" s="46"/>
      <c r="Y48" s="9">
        <f>IF(AND(V48="DI",$W48=100),$X48/100,
IF(AND(V48="DI",$W48&lt;&gt;100,$X48=""),INDEX('Debs %CDI'!$Q:$Q,MATCH(Base!$C48,'Debs %CDI'!$A:$A,0)),
IF($V48="USD",INDEX(Bonds!$AF:$AF,MATCH(Base!$C48,Bonds!$B:$B,0)),
IF($V48="IPCA",INDEX('Debs IPCA'!$Z:$Z,MATCH(Base!$C48,'Debs IPCA'!$A:$A,0))))))</f>
        <v>9.840006657273942E-3</v>
      </c>
      <c r="Z48" s="43">
        <v>252</v>
      </c>
      <c r="AA48" s="43" t="s">
        <v>30</v>
      </c>
      <c r="AB48" s="43" t="s">
        <v>32</v>
      </c>
      <c r="AC48">
        <f t="shared" si="5"/>
        <v>0</v>
      </c>
      <c r="AD48" s="43" t="s">
        <v>31</v>
      </c>
      <c r="AE48">
        <f t="shared" si="6"/>
        <v>1</v>
      </c>
      <c r="AF48" s="34" t="str" cm="1">
        <f t="array" ref="AF48">INDEX(Ratings!$B$2:$M$40,_xlfn.XMATCH(Base!F48,Ratings!$A$2:$A$40),_xlfn.XMATCH(YEAR(Base!K48),Ratings!$B$1:$M$1))</f>
        <v>BBB-</v>
      </c>
      <c r="AG48">
        <f t="shared" si="12"/>
        <v>1</v>
      </c>
      <c r="AH48">
        <f>IFERROR(IFERROR(IFERROR(INDEX('EMBI+'!$B:$B,MATCH(Base!$K48,'EMBI+'!$A:$A,0)),INDEX('EMBI+'!$B:$B,MATCH(Base!$K48+1,'EMBI+'!$A:$A,0))),INDEX('EMBI+'!$B:$B,MATCH(Base!$K48+2,'EMBI+'!$A:$A,0))),INDEX('EMBI+'!$B:$B,MATCH(Base!$K48+3,'EMBI+'!$A:$A,0)))/100</f>
        <v>2.38</v>
      </c>
      <c r="AL48" s="43"/>
      <c r="AM48" s="28"/>
      <c r="AN48" s="28"/>
    </row>
    <row r="49" spans="1:40" x14ac:dyDescent="0.35">
      <c r="A49">
        <f t="shared" si="8"/>
        <v>47</v>
      </c>
      <c r="B49">
        <f>IF(G49="Bonds",COUNTIF($G$3:G49,"Bonds"),0)</f>
        <v>0</v>
      </c>
      <c r="C49" t="str">
        <f t="shared" si="16"/>
        <v>Andrade Gutierrez4196243058</v>
      </c>
      <c r="D49">
        <f t="shared" si="17"/>
        <v>4</v>
      </c>
      <c r="E49" s="43" t="s">
        <v>86</v>
      </c>
      <c r="F49" s="43" t="s">
        <v>78</v>
      </c>
      <c r="G49" s="43" t="s">
        <v>25</v>
      </c>
      <c r="H49">
        <f t="shared" si="1"/>
        <v>0</v>
      </c>
      <c r="I49" s="43" t="s">
        <v>89</v>
      </c>
      <c r="J49" s="34">
        <f t="shared" si="2"/>
        <v>10</v>
      </c>
      <c r="K49" s="28">
        <v>41962</v>
      </c>
      <c r="L49" s="28">
        <v>43058</v>
      </c>
      <c r="M49" s="60">
        <f t="shared" si="3"/>
        <v>3.0027397260273974</v>
      </c>
      <c r="N49" s="4">
        <f t="shared" si="4"/>
        <v>0</v>
      </c>
      <c r="O49" s="43" t="s">
        <v>44</v>
      </c>
      <c r="P49" t="str">
        <f t="shared" si="10"/>
        <v>0</v>
      </c>
      <c r="Q49" s="44">
        <v>600000</v>
      </c>
      <c r="R49" s="43">
        <v>1000</v>
      </c>
      <c r="S49" s="34" t="str">
        <f>IF($V49="USD",INDEX('Dólar Spot'!$B:$B,MATCH(Base!$K49,'Dólar Spot'!$A:$A,0)),"")</f>
        <v/>
      </c>
      <c r="T49" s="4">
        <f t="shared" si="23"/>
        <v>600000000</v>
      </c>
      <c r="U49" s="8">
        <f t="shared" si="11"/>
        <v>6</v>
      </c>
      <c r="V49" s="43" t="s">
        <v>41</v>
      </c>
      <c r="W49" s="45">
        <v>124</v>
      </c>
      <c r="X49" s="46"/>
      <c r="Y49" s="9">
        <f>IF(AND(V49="DI",$W49=100),$X49/100,
IF(AND(V49="DI",$W49&lt;&gt;100,$X49=""),INDEX('Debs %CDI'!$Q:$Q,MATCH(Base!$C49,'Debs %CDI'!$A:$A,0)),
IF($V49="USD",INDEX(Bonds!$AF:$AF,MATCH(Base!$C49,Bonds!$B:$B,0)),
IF($V49="IPCA",INDEX('Debs IPCA'!$Z:$Z,MATCH(Base!$C49,'Debs IPCA'!$A:$A,0))))))</f>
        <v>3.0202927202235993E-2</v>
      </c>
      <c r="Z49" s="43">
        <v>252</v>
      </c>
      <c r="AA49" s="43" t="s">
        <v>30</v>
      </c>
      <c r="AB49" s="43" t="s">
        <v>32</v>
      </c>
      <c r="AC49">
        <f t="shared" si="5"/>
        <v>0</v>
      </c>
      <c r="AD49" s="43" t="s">
        <v>31</v>
      </c>
      <c r="AE49">
        <f t="shared" si="6"/>
        <v>1</v>
      </c>
      <c r="AF49" s="34" t="str" cm="1">
        <f t="array" ref="AF49">INDEX(Ratings!$B$2:$M$40,_xlfn.XMATCH(Base!F49,Ratings!$A$2:$A$40),_xlfn.XMATCH(YEAR(Base!K49),Ratings!$B$1:$M$1))</f>
        <v>BBB-</v>
      </c>
      <c r="AG49">
        <f t="shared" si="12"/>
        <v>1</v>
      </c>
      <c r="AH49">
        <f>IFERROR(IFERROR(IFERROR(INDEX('EMBI+'!$B:$B,MATCH(Base!$K49,'EMBI+'!$A:$A,0)),INDEX('EMBI+'!$B:$B,MATCH(Base!$K49+1,'EMBI+'!$A:$A,0))),INDEX('EMBI+'!$B:$B,MATCH(Base!$K49+2,'EMBI+'!$A:$A,0))),INDEX('EMBI+'!$B:$B,MATCH(Base!$K49+3,'EMBI+'!$A:$A,0)))/100</f>
        <v>2.5499999999999998</v>
      </c>
      <c r="AL49" s="43"/>
      <c r="AM49" s="28"/>
      <c r="AN49" s="28"/>
    </row>
    <row r="50" spans="1:40" x14ac:dyDescent="0.35">
      <c r="A50">
        <f t="shared" si="8"/>
        <v>48</v>
      </c>
      <c r="B50">
        <f>IF(G50="Bonds",COUNTIF($G$3:G50,"Bonds"),0)</f>
        <v>0</v>
      </c>
      <c r="C50" t="str">
        <f t="shared" si="16"/>
        <v>Andrade Gutierrez4332745884</v>
      </c>
      <c r="D50">
        <f t="shared" si="17"/>
        <v>4</v>
      </c>
      <c r="E50" s="43" t="s">
        <v>86</v>
      </c>
      <c r="F50" s="43" t="s">
        <v>78</v>
      </c>
      <c r="G50" s="43" t="s">
        <v>25</v>
      </c>
      <c r="H50">
        <f t="shared" si="1"/>
        <v>0</v>
      </c>
      <c r="I50" s="43" t="s">
        <v>90</v>
      </c>
      <c r="J50" s="34">
        <f t="shared" si="2"/>
        <v>11</v>
      </c>
      <c r="K50" s="28">
        <v>43327</v>
      </c>
      <c r="L50" s="28">
        <v>45884</v>
      </c>
      <c r="M50" s="60">
        <f t="shared" si="3"/>
        <v>7.0054794520547947</v>
      </c>
      <c r="N50" s="4">
        <f t="shared" si="4"/>
        <v>1</v>
      </c>
      <c r="O50" s="43" t="s">
        <v>44</v>
      </c>
      <c r="P50" t="str">
        <f t="shared" si="10"/>
        <v>0</v>
      </c>
      <c r="Q50" s="44">
        <v>252000</v>
      </c>
      <c r="R50" s="43">
        <v>1000</v>
      </c>
      <c r="S50" s="34" t="str">
        <f>IF($V50="USD",INDEX('Dólar Spot'!$B:$B,MATCH(Base!$K50,'Dólar Spot'!$A:$A,0)),"")</f>
        <v/>
      </c>
      <c r="T50" s="4">
        <f t="shared" si="23"/>
        <v>252000000</v>
      </c>
      <c r="U50" s="8">
        <f t="shared" si="11"/>
        <v>2.52</v>
      </c>
      <c r="V50" s="43" t="s">
        <v>41</v>
      </c>
      <c r="W50" s="45">
        <v>135</v>
      </c>
      <c r="X50" s="46" t="s">
        <v>91</v>
      </c>
      <c r="Y50" s="9">
        <f>IF(AND(V50="DI",$W50=100),$X50/100,
IF(AND(V50="DI",$W50&lt;&gt;100,$X50=""),INDEX('Debs %CDI'!$Q:$Q,MATCH(Base!$C50,'Debs %CDI'!$A:$A,0)),
IF($V50="USD",INDEX(Bonds!$AF:$AF,MATCH(Base!$C50,Bonds!$B:$B,0)),
IF($V50="IPCA",INDEX('Debs IPCA'!$Z:$Z,MATCH(Base!$C50,'Debs IPCA'!$A:$A,0))))))</f>
        <v>4.0417528558939264E-2</v>
      </c>
      <c r="Z50" s="43">
        <v>252</v>
      </c>
      <c r="AA50" s="43" t="s">
        <v>30</v>
      </c>
      <c r="AB50" s="43" t="s">
        <v>32</v>
      </c>
      <c r="AC50">
        <f t="shared" si="5"/>
        <v>0</v>
      </c>
      <c r="AD50" s="43" t="s">
        <v>31</v>
      </c>
      <c r="AE50">
        <f t="shared" si="6"/>
        <v>1</v>
      </c>
      <c r="AF50" s="34" t="str" cm="1">
        <f t="array" ref="AF50">INDEX(Ratings!$B$2:$M$40,_xlfn.XMATCH(Base!F50,Ratings!$A$2:$A$40),_xlfn.XMATCH(YEAR(Base!K50),Ratings!$B$1:$M$1))</f>
        <v>CCC-</v>
      </c>
      <c r="AG50">
        <f t="shared" si="12"/>
        <v>0</v>
      </c>
      <c r="AH50">
        <f>IFERROR(IFERROR(IFERROR(INDEX('EMBI+'!$B:$B,MATCH(Base!$K50,'EMBI+'!$A:$A,0)),INDEX('EMBI+'!$B:$B,MATCH(Base!$K50+1,'EMBI+'!$A:$A,0))),INDEX('EMBI+'!$B:$B,MATCH(Base!$K50+2,'EMBI+'!$A:$A,0))),INDEX('EMBI+'!$B:$B,MATCH(Base!$K50+3,'EMBI+'!$A:$A,0)))/100</f>
        <v>3.06</v>
      </c>
      <c r="AL50" s="43"/>
      <c r="AM50" s="28"/>
      <c r="AN50" s="28"/>
    </row>
    <row r="51" spans="1:40" x14ac:dyDescent="0.35">
      <c r="A51">
        <f t="shared" si="8"/>
        <v>49</v>
      </c>
      <c r="B51">
        <f>IF(G51="Bonds",COUNTIF($G$3:G51,"Bonds"),0)</f>
        <v>6</v>
      </c>
      <c r="C51" t="str">
        <f t="shared" si="16"/>
        <v>Andrade Gutierrez4380830/12/2024</v>
      </c>
      <c r="D51">
        <f t="shared" si="17"/>
        <v>4</v>
      </c>
      <c r="E51" s="43" t="s">
        <v>92</v>
      </c>
      <c r="F51" s="43" t="s">
        <v>78</v>
      </c>
      <c r="G51" s="43" t="s">
        <v>34</v>
      </c>
      <c r="H51">
        <f t="shared" si="1"/>
        <v>1</v>
      </c>
      <c r="I51" s="43"/>
      <c r="J51" s="34">
        <f t="shared" si="2"/>
        <v>12</v>
      </c>
      <c r="K51" s="28">
        <v>43808</v>
      </c>
      <c r="L51" s="28" t="s">
        <v>93</v>
      </c>
      <c r="M51" s="60">
        <f t="shared" si="3"/>
        <v>5.0630136986301366</v>
      </c>
      <c r="N51" s="4">
        <f t="shared" si="4"/>
        <v>1</v>
      </c>
      <c r="O51" s="43" t="s">
        <v>94</v>
      </c>
      <c r="P51" t="str">
        <f t="shared" si="10"/>
        <v>1</v>
      </c>
      <c r="Q51" s="43"/>
      <c r="R51" s="43"/>
      <c r="S51" s="34">
        <f>IF($V51="USD",INDEX('Dólar Spot'!$B:$B,MATCH(Base!$K51,'Dólar Spot'!$A:$A,0)),"")</f>
        <v>4.1497000000000002</v>
      </c>
      <c r="T51" s="44">
        <v>480000000</v>
      </c>
      <c r="U51" s="8">
        <f t="shared" si="11"/>
        <v>19.918559999999999</v>
      </c>
      <c r="V51" s="43" t="s">
        <v>651</v>
      </c>
      <c r="W51" s="45" t="s">
        <v>29</v>
      </c>
      <c r="X51" s="53">
        <v>9.5</v>
      </c>
      <c r="Y51" s="9">
        <f>IF(AND(V51="DI",$W51=100),$X51/100,
IF(AND(V51="DI",$W51&lt;&gt;100,$X51=""),INDEX('Debs %CDI'!$Q:$Q,MATCH(Base!$C51,'Debs %CDI'!$A:$A,0)),
IF($V51="USD",INDEX(Bonds!$AF:$AF,MATCH(Base!$C51,Bonds!$B:$B,0)),
IF($V51="IPCA",INDEX('Debs IPCA'!$Z:$Z,MATCH(Base!$C51,'Debs IPCA'!$A:$A,0))))))</f>
        <v>6.765181369987272E-2</v>
      </c>
      <c r="Z51" s="43">
        <v>360</v>
      </c>
      <c r="AA51" s="43" t="s">
        <v>37</v>
      </c>
      <c r="AB51" s="43" t="s">
        <v>32</v>
      </c>
      <c r="AC51">
        <f t="shared" si="5"/>
        <v>0</v>
      </c>
      <c r="AD51" s="43" t="s">
        <v>31</v>
      </c>
      <c r="AE51">
        <f t="shared" si="6"/>
        <v>1</v>
      </c>
      <c r="AF51" s="34" t="str" cm="1">
        <f t="array" ref="AF51">INDEX(Ratings!$B$2:$M$40,_xlfn.XMATCH(Base!F51,Ratings!$A$2:$A$40),_xlfn.XMATCH(YEAR(Base!K51),Ratings!$B$1:$M$1))</f>
        <v>CCC-</v>
      </c>
      <c r="AG51">
        <f t="shared" si="12"/>
        <v>0</v>
      </c>
      <c r="AH51">
        <f>IFERROR(IFERROR(IFERROR(INDEX('EMBI+'!$B:$B,MATCH(Base!$K51,'EMBI+'!$A:$A,0)),INDEX('EMBI+'!$B:$B,MATCH(Base!$K51+1,'EMBI+'!$A:$A,0))),INDEX('EMBI+'!$B:$B,MATCH(Base!$K51+2,'EMBI+'!$A:$A,0))),INDEX('EMBI+'!$B:$B,MATCH(Base!$K51+3,'EMBI+'!$A:$A,0)))/100</f>
        <v>2.31</v>
      </c>
      <c r="AL51" s="43"/>
      <c r="AM51" s="28"/>
      <c r="AN51" s="28"/>
    </row>
    <row r="52" spans="1:40" x14ac:dyDescent="0.35">
      <c r="A52">
        <f t="shared" si="8"/>
        <v>50</v>
      </c>
      <c r="B52">
        <f>IF(G52="Bonds",COUNTIF($G$3:G52,"Bonds"),0)</f>
        <v>0</v>
      </c>
      <c r="C52" t="str">
        <f t="shared" si="16"/>
        <v>Azul Linhas Aéreas4070941805</v>
      </c>
      <c r="D52">
        <f t="shared" si="17"/>
        <v>5</v>
      </c>
      <c r="E52" s="43" t="s">
        <v>95</v>
      </c>
      <c r="F52" s="43" t="s">
        <v>96</v>
      </c>
      <c r="G52" s="43" t="s">
        <v>25</v>
      </c>
      <c r="H52">
        <f t="shared" si="1"/>
        <v>0</v>
      </c>
      <c r="I52" s="43" t="s">
        <v>97</v>
      </c>
      <c r="J52" s="34">
        <f t="shared" si="2"/>
        <v>1</v>
      </c>
      <c r="K52" s="28">
        <v>40709</v>
      </c>
      <c r="L52" s="28">
        <v>41805</v>
      </c>
      <c r="M52" s="60">
        <f t="shared" si="3"/>
        <v>3.0027397260273974</v>
      </c>
      <c r="N52" s="4">
        <f t="shared" si="4"/>
        <v>0</v>
      </c>
      <c r="O52" s="43" t="s">
        <v>44</v>
      </c>
      <c r="P52" t="str">
        <f t="shared" si="10"/>
        <v>0</v>
      </c>
      <c r="Q52" s="44">
        <v>300</v>
      </c>
      <c r="R52" s="43">
        <v>1000000</v>
      </c>
      <c r="S52" s="34" t="str">
        <f>IF($V52="USD",INDEX('Dólar Spot'!$B:$B,MATCH(Base!$K52,'Dólar Spot'!$A:$A,0)),"")</f>
        <v/>
      </c>
      <c r="T52" s="4">
        <f t="shared" ref="T52:T61" si="24">Q52*R52</f>
        <v>300000000</v>
      </c>
      <c r="U52" s="8">
        <f t="shared" si="11"/>
        <v>3</v>
      </c>
      <c r="V52" s="43" t="s">
        <v>41</v>
      </c>
      <c r="W52" s="45">
        <v>124</v>
      </c>
      <c r="X52" s="46"/>
      <c r="Y52" s="9">
        <f>IF(AND(V52="DI",$W52=100),$X52/100,
IF(AND(V52="DI",$W52&lt;&gt;100,$X52=""),INDEX('Debs %CDI'!$Q:$Q,MATCH(Base!$C52,'Debs %CDI'!$A:$A,0)),
IF($V52="USD",INDEX(Bonds!$AF:$AF,MATCH(Base!$C52,Bonds!$B:$B,0)),
IF($V52="IPCA",INDEX('Debs IPCA'!$Z:$Z,MATCH(Base!$C52,'Debs IPCA'!$A:$A,0))))))</f>
        <v>2.959836153967476E-2</v>
      </c>
      <c r="Z52" s="43">
        <v>252</v>
      </c>
      <c r="AA52" s="43" t="s">
        <v>30</v>
      </c>
      <c r="AB52" s="43" t="s">
        <v>32</v>
      </c>
      <c r="AC52">
        <f t="shared" si="5"/>
        <v>0</v>
      </c>
      <c r="AD52" s="43" t="s">
        <v>31</v>
      </c>
      <c r="AE52">
        <f t="shared" si="6"/>
        <v>1</v>
      </c>
      <c r="AF52" s="34" t="str" cm="1">
        <f t="array" ref="AF52">INDEX(Ratings!$B$2:$M$40,_xlfn.XMATCH(Base!F52,Ratings!$A$2:$A$40),_xlfn.XMATCH(YEAR(Base!K52),Ratings!$B$1:$M$1))</f>
        <v>NR</v>
      </c>
      <c r="AG52">
        <f t="shared" si="12"/>
        <v>0</v>
      </c>
      <c r="AH52">
        <f>IFERROR(IFERROR(IFERROR(INDEX('EMBI+'!$B:$B,MATCH(Base!$K52,'EMBI+'!$A:$A,0)),INDEX('EMBI+'!$B:$B,MATCH(Base!$K52+1,'EMBI+'!$A:$A,0))),INDEX('EMBI+'!$B:$B,MATCH(Base!$K52+2,'EMBI+'!$A:$A,0))),INDEX('EMBI+'!$B:$B,MATCH(Base!$K52+3,'EMBI+'!$A:$A,0)))/100</f>
        <v>1.74</v>
      </c>
      <c r="AL52" s="43"/>
      <c r="AM52" s="28"/>
      <c r="AN52" s="28"/>
    </row>
    <row r="53" spans="1:40" x14ac:dyDescent="0.35">
      <c r="A53">
        <f t="shared" si="8"/>
        <v>51</v>
      </c>
      <c r="B53">
        <f>IF(G53="Bonds",COUNTIF($G$3:G53,"Bonds"),0)</f>
        <v>0</v>
      </c>
      <c r="C53" t="str">
        <f t="shared" si="16"/>
        <v>Azul Linhas Aéreas4117742272</v>
      </c>
      <c r="D53">
        <f t="shared" si="17"/>
        <v>5</v>
      </c>
      <c r="E53" s="43" t="s">
        <v>95</v>
      </c>
      <c r="F53" s="43" t="s">
        <v>96</v>
      </c>
      <c r="G53" s="43" t="s">
        <v>25</v>
      </c>
      <c r="H53">
        <f t="shared" si="1"/>
        <v>0</v>
      </c>
      <c r="I53" s="43" t="s">
        <v>98</v>
      </c>
      <c r="J53" s="34">
        <f t="shared" si="2"/>
        <v>2</v>
      </c>
      <c r="K53" s="28">
        <v>41177</v>
      </c>
      <c r="L53" s="28">
        <v>42272</v>
      </c>
      <c r="M53" s="60">
        <f t="shared" si="3"/>
        <v>3</v>
      </c>
      <c r="N53" s="4">
        <f t="shared" si="4"/>
        <v>0</v>
      </c>
      <c r="O53" s="43" t="s">
        <v>44</v>
      </c>
      <c r="P53" t="str">
        <f t="shared" si="10"/>
        <v>0</v>
      </c>
      <c r="Q53" s="44">
        <v>100</v>
      </c>
      <c r="R53" s="43">
        <v>1000000</v>
      </c>
      <c r="S53" s="34" t="str">
        <f>IF($V53="USD",INDEX('Dólar Spot'!$B:$B,MATCH(Base!$K53,'Dólar Spot'!$A:$A,0)),"")</f>
        <v/>
      </c>
      <c r="T53" s="4">
        <f t="shared" si="24"/>
        <v>100000000</v>
      </c>
      <c r="U53" s="8">
        <f t="shared" si="11"/>
        <v>1</v>
      </c>
      <c r="V53" s="43" t="s">
        <v>41</v>
      </c>
      <c r="W53" s="45">
        <v>127</v>
      </c>
      <c r="X53" s="46"/>
      <c r="Y53" s="9">
        <f>IF(AND(V53="DI",$W53=100),$X53/100,
IF(AND(V53="DI",$W53&lt;&gt;100,$X53=""),INDEX('Debs %CDI'!$Q:$Q,MATCH(Base!$C53,'Debs %CDI'!$A:$A,0)),
IF($V53="USD",INDEX(Bonds!$AF:$AF,MATCH(Base!$C53,Bonds!$B:$B,0)),
IF($V53="IPCA",INDEX('Debs IPCA'!$Z:$Z,MATCH(Base!$C53,'Debs IPCA'!$A:$A,0))))))</f>
        <v>2.343930710942525E-2</v>
      </c>
      <c r="Z53" s="43">
        <v>252</v>
      </c>
      <c r="AA53" s="43" t="s">
        <v>30</v>
      </c>
      <c r="AB53" s="43" t="s">
        <v>32</v>
      </c>
      <c r="AC53">
        <f t="shared" si="5"/>
        <v>0</v>
      </c>
      <c r="AD53" s="43" t="s">
        <v>31</v>
      </c>
      <c r="AE53">
        <f t="shared" si="6"/>
        <v>1</v>
      </c>
      <c r="AF53" s="34" t="str" cm="1">
        <f t="array" ref="AF53">INDEX(Ratings!$B$2:$M$40,_xlfn.XMATCH(Base!F53,Ratings!$A$2:$A$40),_xlfn.XMATCH(YEAR(Base!K53),Ratings!$B$1:$M$1))</f>
        <v>NR</v>
      </c>
      <c r="AG53">
        <f t="shared" si="12"/>
        <v>0</v>
      </c>
      <c r="AH53">
        <f>IFERROR(IFERROR(IFERROR(INDEX('EMBI+'!$B:$B,MATCH(Base!$K53,'EMBI+'!$A:$A,0)),INDEX('EMBI+'!$B:$B,MATCH(Base!$K53+1,'EMBI+'!$A:$A,0))),INDEX('EMBI+'!$B:$B,MATCH(Base!$K53+2,'EMBI+'!$A:$A,0))),INDEX('EMBI+'!$B:$B,MATCH(Base!$K53+3,'EMBI+'!$A:$A,0)))/100</f>
        <v>1.64</v>
      </c>
      <c r="AL53" s="43"/>
      <c r="AM53" s="28"/>
      <c r="AN53" s="28"/>
    </row>
    <row r="54" spans="1:40" x14ac:dyDescent="0.35">
      <c r="A54">
        <f t="shared" si="8"/>
        <v>52</v>
      </c>
      <c r="B54">
        <f>IF(G54="Bonds",COUNTIF($G$3:G54,"Bonds"),0)</f>
        <v>0</v>
      </c>
      <c r="C54" t="str">
        <f t="shared" si="16"/>
        <v>Azul Linhas Aéreas4142142396</v>
      </c>
      <c r="D54">
        <f t="shared" si="17"/>
        <v>5</v>
      </c>
      <c r="E54" s="43" t="s">
        <v>95</v>
      </c>
      <c r="F54" s="43" t="s">
        <v>96</v>
      </c>
      <c r="G54" s="43" t="s">
        <v>25</v>
      </c>
      <c r="H54">
        <f t="shared" si="1"/>
        <v>0</v>
      </c>
      <c r="I54" s="43" t="s">
        <v>99</v>
      </c>
      <c r="J54" s="34">
        <f t="shared" si="2"/>
        <v>3</v>
      </c>
      <c r="K54" s="28">
        <v>41421</v>
      </c>
      <c r="L54" s="28">
        <v>42396</v>
      </c>
      <c r="M54" s="60">
        <f t="shared" si="3"/>
        <v>2.6712328767123288</v>
      </c>
      <c r="N54" s="4">
        <f t="shared" si="4"/>
        <v>0</v>
      </c>
      <c r="O54" s="43" t="s">
        <v>44</v>
      </c>
      <c r="P54" t="str">
        <f t="shared" si="10"/>
        <v>0</v>
      </c>
      <c r="Q54" s="44">
        <v>30000</v>
      </c>
      <c r="R54" s="43">
        <v>10000</v>
      </c>
      <c r="S54" s="34" t="str">
        <f>IF($V54="USD",INDEX('Dólar Spot'!$B:$B,MATCH(Base!$K54,'Dólar Spot'!$A:$A,0)),"")</f>
        <v/>
      </c>
      <c r="T54" s="4">
        <f t="shared" si="24"/>
        <v>300000000</v>
      </c>
      <c r="U54" s="8">
        <f t="shared" si="11"/>
        <v>3</v>
      </c>
      <c r="V54" s="43" t="s">
        <v>41</v>
      </c>
      <c r="W54" s="45">
        <v>127</v>
      </c>
      <c r="X54" s="46"/>
      <c r="Y54" s="9">
        <f>IF(AND(V54="DI",$W54=100),$X54/100,
IF(AND(V54="DI",$W54&lt;&gt;100,$X54=""),INDEX('Debs %CDI'!$Q:$Q,MATCH(Base!$C54,'Debs %CDI'!$A:$A,0)),
IF($V54="USD",INDEX(Bonds!$AF:$AF,MATCH(Base!$C54,Bonds!$B:$B,0)),
IF($V54="IPCA",INDEX('Debs IPCA'!$Z:$Z,MATCH(Base!$C54,'Debs IPCA'!$A:$A,0))))))</f>
        <v>2.4482383374950623E-2</v>
      </c>
      <c r="Z54" s="43">
        <v>252</v>
      </c>
      <c r="AA54" s="43" t="s">
        <v>30</v>
      </c>
      <c r="AB54" s="43" t="s">
        <v>32</v>
      </c>
      <c r="AC54">
        <f t="shared" si="5"/>
        <v>0</v>
      </c>
      <c r="AD54" s="43" t="s">
        <v>31</v>
      </c>
      <c r="AE54">
        <f t="shared" si="6"/>
        <v>1</v>
      </c>
      <c r="AF54" s="34" t="str" cm="1">
        <f t="array" ref="AF54">INDEX(Ratings!$B$2:$M$40,_xlfn.XMATCH(Base!F54,Ratings!$A$2:$A$40),_xlfn.XMATCH(YEAR(Base!K54),Ratings!$B$1:$M$1))</f>
        <v>NR</v>
      </c>
      <c r="AG54">
        <f t="shared" si="12"/>
        <v>0</v>
      </c>
      <c r="AH54">
        <f>IFERROR(IFERROR(IFERROR(INDEX('EMBI+'!$B:$B,MATCH(Base!$K54,'EMBI+'!$A:$A,0)),INDEX('EMBI+'!$B:$B,MATCH(Base!$K54+1,'EMBI+'!$A:$A,0))),INDEX('EMBI+'!$B:$B,MATCH(Base!$K54+2,'EMBI+'!$A:$A,0))),INDEX('EMBI+'!$B:$B,MATCH(Base!$K54+3,'EMBI+'!$A:$A,0)))/100</f>
        <v>1.91</v>
      </c>
      <c r="AL54" s="43"/>
      <c r="AM54" s="28"/>
      <c r="AN54" s="28"/>
    </row>
    <row r="55" spans="1:40" x14ac:dyDescent="0.35">
      <c r="A55">
        <f t="shared" si="8"/>
        <v>53</v>
      </c>
      <c r="B55">
        <f>IF(G55="Bonds",COUNTIF($G$3:G55,"Bonds"),0)</f>
        <v>0</v>
      </c>
      <c r="C55" t="str">
        <f t="shared" si="16"/>
        <v>Azul Linhas Aéreas4169842914</v>
      </c>
      <c r="D55">
        <f t="shared" si="17"/>
        <v>5</v>
      </c>
      <c r="E55" s="43" t="s">
        <v>95</v>
      </c>
      <c r="F55" s="43" t="s">
        <v>96</v>
      </c>
      <c r="G55" s="43" t="s">
        <v>25</v>
      </c>
      <c r="H55">
        <f t="shared" si="1"/>
        <v>0</v>
      </c>
      <c r="I55" s="43" t="s">
        <v>100</v>
      </c>
      <c r="J55" s="34">
        <f t="shared" si="2"/>
        <v>4</v>
      </c>
      <c r="K55" s="28">
        <v>41698</v>
      </c>
      <c r="L55" s="28">
        <v>42914</v>
      </c>
      <c r="M55" s="60">
        <f t="shared" si="3"/>
        <v>3.3315068493150686</v>
      </c>
      <c r="N55" s="4">
        <f t="shared" si="4"/>
        <v>0</v>
      </c>
      <c r="O55" s="43" t="s">
        <v>27</v>
      </c>
      <c r="P55" t="str">
        <f t="shared" si="10"/>
        <v>1</v>
      </c>
      <c r="Q55" s="44">
        <v>105</v>
      </c>
      <c r="R55" s="43">
        <v>1000000</v>
      </c>
      <c r="S55" s="34" t="str">
        <f>IF($V55="USD",INDEX('Dólar Spot'!$B:$B,MATCH(Base!$K55,'Dólar Spot'!$A:$A,0)),"")</f>
        <v/>
      </c>
      <c r="T55" s="4">
        <f t="shared" si="24"/>
        <v>105000000</v>
      </c>
      <c r="U55" s="8">
        <f t="shared" si="11"/>
        <v>1.05</v>
      </c>
      <c r="V55" s="43" t="s">
        <v>41</v>
      </c>
      <c r="W55" s="45">
        <v>127</v>
      </c>
      <c r="X55" s="46"/>
      <c r="Y55" s="9">
        <f>IF(AND(V55="DI",$W55=100),$X55/100,
IF(AND(V55="DI",$W55&lt;&gt;100,$X55=""),INDEX('Debs %CDI'!$Q:$Q,MATCH(Base!$C55,'Debs %CDI'!$A:$A,0)),
IF($V55="USD",INDEX(Bonds!$AF:$AF,MATCH(Base!$C55,Bonds!$B:$B,0)),
IF($V55="IPCA",INDEX('Debs IPCA'!$Z:$Z,MATCH(Base!$C55,'Debs IPCA'!$A:$A,0))))))</f>
        <v>3.3341303280623673E-2</v>
      </c>
      <c r="Z55" s="43">
        <v>252</v>
      </c>
      <c r="AA55" s="43" t="s">
        <v>30</v>
      </c>
      <c r="AB55" s="43" t="s">
        <v>32</v>
      </c>
      <c r="AC55">
        <f t="shared" si="5"/>
        <v>0</v>
      </c>
      <c r="AD55" s="43" t="s">
        <v>31</v>
      </c>
      <c r="AE55">
        <f t="shared" si="6"/>
        <v>1</v>
      </c>
      <c r="AF55" s="34" t="str" cm="1">
        <f t="array" ref="AF55">INDEX(Ratings!$B$2:$M$40,_xlfn.XMATCH(Base!F55,Ratings!$A$2:$A$40),_xlfn.XMATCH(YEAR(Base!K55),Ratings!$B$1:$M$1))</f>
        <v>NR</v>
      </c>
      <c r="AG55">
        <f t="shared" si="12"/>
        <v>0</v>
      </c>
      <c r="AH55">
        <f>IFERROR(IFERROR(IFERROR(INDEX('EMBI+'!$B:$B,MATCH(Base!$K55,'EMBI+'!$A:$A,0)),INDEX('EMBI+'!$B:$B,MATCH(Base!$K55+1,'EMBI+'!$A:$A,0))),INDEX('EMBI+'!$B:$B,MATCH(Base!$K55+2,'EMBI+'!$A:$A,0))),INDEX('EMBI+'!$B:$B,MATCH(Base!$K55+3,'EMBI+'!$A:$A,0)))/100</f>
        <v>2.4500000000000002</v>
      </c>
      <c r="AL55" s="43"/>
      <c r="AM55" s="28"/>
      <c r="AN55" s="28"/>
    </row>
    <row r="56" spans="1:40" x14ac:dyDescent="0.35">
      <c r="A56">
        <f t="shared" si="8"/>
        <v>54</v>
      </c>
      <c r="B56">
        <f>IF(G56="Bonds",COUNTIF($G$3:G56,"Bonds"),0)</f>
        <v>0</v>
      </c>
      <c r="C56" t="str">
        <f t="shared" si="16"/>
        <v>Azul Linhas Aéreas4190143727</v>
      </c>
      <c r="D56">
        <f t="shared" si="17"/>
        <v>5</v>
      </c>
      <c r="E56" s="43" t="s">
        <v>95</v>
      </c>
      <c r="F56" s="43" t="s">
        <v>96</v>
      </c>
      <c r="G56" s="43" t="s">
        <v>25</v>
      </c>
      <c r="H56">
        <f t="shared" si="1"/>
        <v>0</v>
      </c>
      <c r="I56" s="43" t="s">
        <v>101</v>
      </c>
      <c r="J56" s="34">
        <f t="shared" si="2"/>
        <v>5</v>
      </c>
      <c r="K56" s="28">
        <v>41901</v>
      </c>
      <c r="L56" s="28">
        <v>43727</v>
      </c>
      <c r="M56" s="60">
        <f t="shared" si="3"/>
        <v>5.0027397260273974</v>
      </c>
      <c r="N56" s="4">
        <f t="shared" si="4"/>
        <v>1</v>
      </c>
      <c r="O56" s="43" t="s">
        <v>44</v>
      </c>
      <c r="P56" t="str">
        <f t="shared" si="10"/>
        <v>0</v>
      </c>
      <c r="Q56" s="44">
        <v>100000</v>
      </c>
      <c r="R56" s="43">
        <v>10000</v>
      </c>
      <c r="S56" s="34" t="str">
        <f>IF($V56="USD",INDEX('Dólar Spot'!$B:$B,MATCH(Base!$K56,'Dólar Spot'!$A:$A,0)),"")</f>
        <v/>
      </c>
      <c r="T56" s="4">
        <f t="shared" si="24"/>
        <v>1000000000</v>
      </c>
      <c r="U56" s="8">
        <f t="shared" si="11"/>
        <v>10</v>
      </c>
      <c r="V56" s="43" t="s">
        <v>41</v>
      </c>
      <c r="W56" s="45">
        <v>127</v>
      </c>
      <c r="X56" s="46"/>
      <c r="Y56" s="9">
        <f>IF(AND(V56="DI",$W56=100),$X56/100,
IF(AND(V56="DI",$W56&lt;&gt;100,$X56=""),INDEX('Debs %CDI'!$Q:$Q,MATCH(Base!$C56,'Debs %CDI'!$A:$A,0)),
IF($V56="USD",INDEX(Bonds!$AF:$AF,MATCH(Base!$C56,Bonds!$B:$B,0)),
IF($V56="IPCA",INDEX('Debs IPCA'!$Z:$Z,MATCH(Base!$C56,'Debs IPCA'!$A:$A,0))))))</f>
        <v>3.1475868118271078E-2</v>
      </c>
      <c r="Z56" s="43">
        <v>252</v>
      </c>
      <c r="AA56" s="43" t="s">
        <v>30</v>
      </c>
      <c r="AB56" s="43" t="s">
        <v>32</v>
      </c>
      <c r="AC56">
        <f t="shared" si="5"/>
        <v>0</v>
      </c>
      <c r="AD56" s="43" t="s">
        <v>32</v>
      </c>
      <c r="AE56">
        <f t="shared" si="6"/>
        <v>0</v>
      </c>
      <c r="AF56" s="34" t="str" cm="1">
        <f t="array" ref="AF56">INDEX(Ratings!$B$2:$M$40,_xlfn.XMATCH(Base!F56,Ratings!$A$2:$A$40),_xlfn.XMATCH(YEAR(Base!K56),Ratings!$B$1:$M$1))</f>
        <v>NR</v>
      </c>
      <c r="AG56">
        <f t="shared" si="12"/>
        <v>0</v>
      </c>
      <c r="AH56">
        <f>IFERROR(IFERROR(IFERROR(INDEX('EMBI+'!$B:$B,MATCH(Base!$K56,'EMBI+'!$A:$A,0)),INDEX('EMBI+'!$B:$B,MATCH(Base!$K56+1,'EMBI+'!$A:$A,0))),INDEX('EMBI+'!$B:$B,MATCH(Base!$K56+2,'EMBI+'!$A:$A,0))),INDEX('EMBI+'!$B:$B,MATCH(Base!$K56+3,'EMBI+'!$A:$A,0)))/100</f>
        <v>2.12</v>
      </c>
      <c r="AL56" s="43"/>
      <c r="AM56" s="28"/>
      <c r="AN56" s="28"/>
    </row>
    <row r="57" spans="1:40" x14ac:dyDescent="0.35">
      <c r="A57">
        <f t="shared" si="8"/>
        <v>55</v>
      </c>
      <c r="B57">
        <f>IF(G57="Bonds",COUNTIF($G$3:G57,"Bonds"),0)</f>
        <v>0</v>
      </c>
      <c r="C57" t="str">
        <f t="shared" si="16"/>
        <v>Azul Linhas Aéreas4209342916</v>
      </c>
      <c r="D57">
        <f t="shared" si="17"/>
        <v>5</v>
      </c>
      <c r="E57" s="43" t="s">
        <v>95</v>
      </c>
      <c r="F57" s="43" t="s">
        <v>96</v>
      </c>
      <c r="G57" s="43" t="s">
        <v>25</v>
      </c>
      <c r="H57">
        <f t="shared" si="1"/>
        <v>0</v>
      </c>
      <c r="I57" s="43" t="s">
        <v>102</v>
      </c>
      <c r="J57" s="34">
        <f t="shared" si="2"/>
        <v>6</v>
      </c>
      <c r="K57" s="28">
        <v>42093</v>
      </c>
      <c r="L57" s="28">
        <v>42916</v>
      </c>
      <c r="M57" s="60">
        <f t="shared" si="3"/>
        <v>2.2547945205479452</v>
      </c>
      <c r="N57" s="4">
        <f t="shared" si="4"/>
        <v>0</v>
      </c>
      <c r="O57" s="43" t="s">
        <v>44</v>
      </c>
      <c r="P57" t="str">
        <f t="shared" si="10"/>
        <v>0</v>
      </c>
      <c r="Q57" s="44">
        <v>20000</v>
      </c>
      <c r="R57" s="43">
        <v>10000</v>
      </c>
      <c r="S57" s="34" t="str">
        <f>IF($V57="USD",INDEX('Dólar Spot'!$B:$B,MATCH(Base!$K57,'Dólar Spot'!$A:$A,0)),"")</f>
        <v/>
      </c>
      <c r="T57" s="4">
        <f t="shared" si="24"/>
        <v>200000000</v>
      </c>
      <c r="U57" s="8">
        <f t="shared" si="11"/>
        <v>2</v>
      </c>
      <c r="V57" s="43" t="s">
        <v>41</v>
      </c>
      <c r="W57" s="45">
        <v>118</v>
      </c>
      <c r="X57" s="46"/>
      <c r="Y57" s="9">
        <f>IF(AND(V57="DI",$W57=100),$X57/100,
IF(AND(V57="DI",$W57&lt;&gt;100,$X57=""),INDEX('Debs %CDI'!$Q:$Q,MATCH(Base!$C57,'Debs %CDI'!$A:$A,0)),
IF($V57="USD",INDEX(Bonds!$AF:$AF,MATCH(Base!$C57,Bonds!$B:$B,0)),
IF($V57="IPCA",INDEX('Debs IPCA'!$Z:$Z,MATCH(Base!$C57,'Debs IPCA'!$A:$A,0))))))</f>
        <v>2.4094206287527543E-2</v>
      </c>
      <c r="Z57" s="43">
        <v>252</v>
      </c>
      <c r="AA57" s="43" t="s">
        <v>30</v>
      </c>
      <c r="AB57" s="43" t="s">
        <v>32</v>
      </c>
      <c r="AC57">
        <f t="shared" si="5"/>
        <v>0</v>
      </c>
      <c r="AD57" s="43" t="s">
        <v>31</v>
      </c>
      <c r="AE57">
        <f t="shared" si="6"/>
        <v>1</v>
      </c>
      <c r="AF57" s="34" t="str" cm="1">
        <f t="array" ref="AF57">INDEX(Ratings!$B$2:$M$40,_xlfn.XMATCH(Base!F57,Ratings!$A$2:$A$40),_xlfn.XMATCH(YEAR(Base!K57),Ratings!$B$1:$M$1))</f>
        <v>NR</v>
      </c>
      <c r="AG57">
        <f t="shared" si="12"/>
        <v>0</v>
      </c>
      <c r="AH57">
        <f>IFERROR(IFERROR(IFERROR(INDEX('EMBI+'!$B:$B,MATCH(Base!$K57,'EMBI+'!$A:$A,0)),INDEX('EMBI+'!$B:$B,MATCH(Base!$K57+1,'EMBI+'!$A:$A,0))),INDEX('EMBI+'!$B:$B,MATCH(Base!$K57+2,'EMBI+'!$A:$A,0))),INDEX('EMBI+'!$B:$B,MATCH(Base!$K57+3,'EMBI+'!$A:$A,0)))/100</f>
        <v>3.18</v>
      </c>
      <c r="AL57" s="43"/>
      <c r="AM57" s="28"/>
      <c r="AN57" s="28"/>
    </row>
    <row r="58" spans="1:40" x14ac:dyDescent="0.35">
      <c r="A58">
        <f t="shared" si="8"/>
        <v>56</v>
      </c>
      <c r="B58">
        <f>IF(G58="Bonds",COUNTIF($G$3:G58,"Bonds"),0)</f>
        <v>0</v>
      </c>
      <c r="C58" t="str">
        <f t="shared" si="16"/>
        <v>Azul Linhas Aéreas4272343818</v>
      </c>
      <c r="D58">
        <f t="shared" si="17"/>
        <v>5</v>
      </c>
      <c r="E58" s="43" t="s">
        <v>95</v>
      </c>
      <c r="F58" s="43" t="s">
        <v>96</v>
      </c>
      <c r="G58" s="43" t="s">
        <v>25</v>
      </c>
      <c r="H58">
        <f t="shared" si="1"/>
        <v>0</v>
      </c>
      <c r="I58" s="43" t="s">
        <v>103</v>
      </c>
      <c r="J58" s="34">
        <f t="shared" si="2"/>
        <v>7</v>
      </c>
      <c r="K58" s="28">
        <v>42723</v>
      </c>
      <c r="L58" s="28">
        <v>43818</v>
      </c>
      <c r="M58" s="60">
        <f t="shared" si="3"/>
        <v>3</v>
      </c>
      <c r="N58" s="4">
        <f t="shared" si="4"/>
        <v>0</v>
      </c>
      <c r="O58" s="43" t="s">
        <v>44</v>
      </c>
      <c r="P58" t="str">
        <f t="shared" si="10"/>
        <v>0</v>
      </c>
      <c r="Q58" s="44">
        <v>15000</v>
      </c>
      <c r="R58" s="43">
        <v>10000</v>
      </c>
      <c r="S58" s="34" t="str">
        <f>IF($V58="USD",INDEX('Dólar Spot'!$B:$B,MATCH(Base!$K58,'Dólar Spot'!$A:$A,0)),"")</f>
        <v/>
      </c>
      <c r="T58" s="4">
        <f t="shared" si="24"/>
        <v>150000000</v>
      </c>
      <c r="U58" s="8">
        <f t="shared" si="11"/>
        <v>1.5</v>
      </c>
      <c r="V58" s="43" t="s">
        <v>41</v>
      </c>
      <c r="W58" s="45">
        <v>100</v>
      </c>
      <c r="X58" s="46">
        <v>2.85</v>
      </c>
      <c r="Y58" s="9">
        <f>IF(AND(V58="DI",$W58=100),$X58/100,
IF(AND(V58="DI",$W58&lt;&gt;100,$X58=""),INDEX('Debs %CDI'!$Q:$Q,MATCH(Base!$C58,'Debs %CDI'!$A:$A,0)),
IF($V58="USD",INDEX(Bonds!$AF:$AF,MATCH(Base!$C58,Bonds!$B:$B,0)),
IF($V58="IPCA",INDEX('Debs IPCA'!$Z:$Z,MATCH(Base!$C58,'Debs IPCA'!$A:$A,0))))))</f>
        <v>2.8500000000000001E-2</v>
      </c>
      <c r="Z58" s="43">
        <v>252</v>
      </c>
      <c r="AA58" s="43" t="s">
        <v>30</v>
      </c>
      <c r="AB58" s="43" t="s">
        <v>32</v>
      </c>
      <c r="AC58">
        <f t="shared" si="5"/>
        <v>0</v>
      </c>
      <c r="AD58" s="43" t="s">
        <v>31</v>
      </c>
      <c r="AE58">
        <f t="shared" si="6"/>
        <v>1</v>
      </c>
      <c r="AF58" s="34" t="str" cm="1">
        <f t="array" ref="AF58">INDEX(Ratings!$B$2:$M$40,_xlfn.XMATCH(Base!F58,Ratings!$A$2:$A$40),_xlfn.XMATCH(YEAR(Base!K58),Ratings!$B$1:$M$1))</f>
        <v>NR</v>
      </c>
      <c r="AG58">
        <f t="shared" si="12"/>
        <v>0</v>
      </c>
      <c r="AH58">
        <f>IFERROR(IFERROR(IFERROR(INDEX('EMBI+'!$B:$B,MATCH(Base!$K58,'EMBI+'!$A:$A,0)),INDEX('EMBI+'!$B:$B,MATCH(Base!$K58+1,'EMBI+'!$A:$A,0))),INDEX('EMBI+'!$B:$B,MATCH(Base!$K58+2,'EMBI+'!$A:$A,0))),INDEX('EMBI+'!$B:$B,MATCH(Base!$K58+3,'EMBI+'!$A:$A,0)))/100</f>
        <v>3.27</v>
      </c>
      <c r="AL58" s="43"/>
      <c r="AM58" s="28"/>
      <c r="AN58" s="28"/>
    </row>
    <row r="59" spans="1:40" x14ac:dyDescent="0.35">
      <c r="A59">
        <f t="shared" si="8"/>
        <v>57</v>
      </c>
      <c r="B59">
        <f>IF(G59="Bonds",COUNTIF($G$3:G59,"Bonds"),0)</f>
        <v>0</v>
      </c>
      <c r="C59" t="str">
        <f t="shared" si="16"/>
        <v>Azul Linhas Aéreas4290643468</v>
      </c>
      <c r="D59">
        <f t="shared" si="17"/>
        <v>5</v>
      </c>
      <c r="E59" s="43" t="s">
        <v>95</v>
      </c>
      <c r="F59" s="43" t="s">
        <v>96</v>
      </c>
      <c r="G59" s="43" t="s">
        <v>25</v>
      </c>
      <c r="H59">
        <f t="shared" si="1"/>
        <v>0</v>
      </c>
      <c r="I59" s="43" t="s">
        <v>104</v>
      </c>
      <c r="J59" s="34">
        <f t="shared" si="2"/>
        <v>8</v>
      </c>
      <c r="K59" s="28">
        <v>42906</v>
      </c>
      <c r="L59" s="28">
        <v>43468</v>
      </c>
      <c r="M59" s="60">
        <f t="shared" si="3"/>
        <v>1.5397260273972602</v>
      </c>
      <c r="N59" s="4">
        <f t="shared" si="4"/>
        <v>0</v>
      </c>
      <c r="O59" s="43" t="s">
        <v>44</v>
      </c>
      <c r="P59" t="str">
        <f t="shared" si="10"/>
        <v>0</v>
      </c>
      <c r="Q59" s="44">
        <v>20000</v>
      </c>
      <c r="R59" s="43">
        <v>10000</v>
      </c>
      <c r="S59" s="34" t="str">
        <f>IF($V59="USD",INDEX('Dólar Spot'!$B:$B,MATCH(Base!$K59,'Dólar Spot'!$A:$A,0)),"")</f>
        <v/>
      </c>
      <c r="T59" s="4">
        <f t="shared" si="24"/>
        <v>200000000</v>
      </c>
      <c r="U59" s="8">
        <f t="shared" si="11"/>
        <v>2</v>
      </c>
      <c r="V59" s="43" t="s">
        <v>41</v>
      </c>
      <c r="W59" s="45">
        <v>100</v>
      </c>
      <c r="X59" s="46">
        <v>1.5</v>
      </c>
      <c r="Y59" s="9">
        <f>IF(AND(V59="DI",$W59=100),$X59/100,
IF(AND(V59="DI",$W59&lt;&gt;100,$X59=""),INDEX('Debs %CDI'!$Q:$Q,MATCH(Base!$C59,'Debs %CDI'!$A:$A,0)),
IF($V59="USD",INDEX(Bonds!$AF:$AF,MATCH(Base!$C59,Bonds!$B:$B,0)),
IF($V59="IPCA",INDEX('Debs IPCA'!$Z:$Z,MATCH(Base!$C59,'Debs IPCA'!$A:$A,0))))))</f>
        <v>1.4999999999999999E-2</v>
      </c>
      <c r="Z59" s="43">
        <v>252</v>
      </c>
      <c r="AA59" s="43" t="s">
        <v>30</v>
      </c>
      <c r="AB59" s="43" t="s">
        <v>32</v>
      </c>
      <c r="AC59">
        <f t="shared" si="5"/>
        <v>0</v>
      </c>
      <c r="AD59" s="43" t="s">
        <v>31</v>
      </c>
      <c r="AE59">
        <f t="shared" si="6"/>
        <v>1</v>
      </c>
      <c r="AF59" s="34" t="str" cm="1">
        <f t="array" ref="AF59">INDEX(Ratings!$B$2:$M$40,_xlfn.XMATCH(Base!F59,Ratings!$A$2:$A$40),_xlfn.XMATCH(YEAR(Base!K59),Ratings!$B$1:$M$1))</f>
        <v>NR</v>
      </c>
      <c r="AG59">
        <f t="shared" si="12"/>
        <v>0</v>
      </c>
      <c r="AH59">
        <f>IFERROR(IFERROR(IFERROR(INDEX('EMBI+'!$B:$B,MATCH(Base!$K59,'EMBI+'!$A:$A,0)),INDEX('EMBI+'!$B:$B,MATCH(Base!$K59+1,'EMBI+'!$A:$A,0))),INDEX('EMBI+'!$B:$B,MATCH(Base!$K59+2,'EMBI+'!$A:$A,0))),INDEX('EMBI+'!$B:$B,MATCH(Base!$K59+3,'EMBI+'!$A:$A,0)))/100</f>
        <v>2.99</v>
      </c>
      <c r="AL59" s="43"/>
      <c r="AM59" s="28"/>
      <c r="AN59" s="28"/>
    </row>
    <row r="60" spans="1:40" x14ac:dyDescent="0.35">
      <c r="A60">
        <f t="shared" si="8"/>
        <v>58</v>
      </c>
      <c r="B60">
        <f>IF(G60="Bonds",COUNTIF($G$3:G60,"Bonds"),0)</f>
        <v>0</v>
      </c>
      <c r="C60" t="str">
        <f t="shared" si="16"/>
        <v>Azul Linhas Aéreas4326946741</v>
      </c>
      <c r="D60">
        <f t="shared" si="17"/>
        <v>5</v>
      </c>
      <c r="E60" s="43" t="s">
        <v>95</v>
      </c>
      <c r="F60" s="43" t="s">
        <v>96</v>
      </c>
      <c r="G60" s="43" t="s">
        <v>25</v>
      </c>
      <c r="H60">
        <f t="shared" si="1"/>
        <v>0</v>
      </c>
      <c r="I60" s="43" t="s">
        <v>105</v>
      </c>
      <c r="J60" s="34">
        <f t="shared" si="2"/>
        <v>9</v>
      </c>
      <c r="K60" s="28">
        <v>43269</v>
      </c>
      <c r="L60" s="28">
        <v>46741</v>
      </c>
      <c r="M60" s="60">
        <f t="shared" si="3"/>
        <v>9.5123287671232877</v>
      </c>
      <c r="N60" s="4">
        <f t="shared" si="4"/>
        <v>1</v>
      </c>
      <c r="O60" s="43" t="s">
        <v>44</v>
      </c>
      <c r="P60" t="str">
        <f t="shared" si="10"/>
        <v>0</v>
      </c>
      <c r="Q60" s="44">
        <v>50000</v>
      </c>
      <c r="R60" s="43">
        <v>10000</v>
      </c>
      <c r="S60" s="34" t="str">
        <f>IF($V60="USD",INDEX('Dólar Spot'!$B:$B,MATCH(Base!$K60,'Dólar Spot'!$A:$A,0)),"")</f>
        <v/>
      </c>
      <c r="T60" s="4">
        <f t="shared" si="24"/>
        <v>500000000</v>
      </c>
      <c r="U60" s="8">
        <f t="shared" si="11"/>
        <v>5</v>
      </c>
      <c r="V60" s="43" t="s">
        <v>41</v>
      </c>
      <c r="W60" s="45">
        <v>100</v>
      </c>
      <c r="X60" s="46">
        <v>5</v>
      </c>
      <c r="Y60" s="9">
        <f>IF(AND(V60="DI",$W60=100),$X60/100,
IF(AND(V60="DI",$W60&lt;&gt;100,$X60=""),INDEX('Debs %CDI'!$Q:$Q,MATCH(Base!$C60,'Debs %CDI'!$A:$A,0)),
IF($V60="USD",INDEX(Bonds!$AF:$AF,MATCH(Base!$C60,Bonds!$B:$B,0)),
IF($V60="IPCA",INDEX('Debs IPCA'!$Z:$Z,MATCH(Base!$C60,'Debs IPCA'!$A:$A,0))))))</f>
        <v>0.05</v>
      </c>
      <c r="Z60" s="43">
        <v>252</v>
      </c>
      <c r="AA60" s="43" t="s">
        <v>30</v>
      </c>
      <c r="AB60" s="43" t="s">
        <v>32</v>
      </c>
      <c r="AC60">
        <f t="shared" si="5"/>
        <v>0</v>
      </c>
      <c r="AD60" s="43" t="s">
        <v>31</v>
      </c>
      <c r="AE60">
        <f t="shared" si="6"/>
        <v>1</v>
      </c>
      <c r="AF60" s="34" t="str" cm="1">
        <f t="array" ref="AF60">INDEX(Ratings!$B$2:$M$40,_xlfn.XMATCH(Base!F60,Ratings!$A$2:$A$40),_xlfn.XMATCH(YEAR(Base!K60),Ratings!$B$1:$M$1))</f>
        <v>NR</v>
      </c>
      <c r="AG60">
        <f t="shared" si="12"/>
        <v>0</v>
      </c>
      <c r="AH60">
        <f>IFERROR(IFERROR(IFERROR(INDEX('EMBI+'!$B:$B,MATCH(Base!$K60,'EMBI+'!$A:$A,0)),INDEX('EMBI+'!$B:$B,MATCH(Base!$K60+1,'EMBI+'!$A:$A,0))),INDEX('EMBI+'!$B:$B,MATCH(Base!$K60+2,'EMBI+'!$A:$A,0))),INDEX('EMBI+'!$B:$B,MATCH(Base!$K60+3,'EMBI+'!$A:$A,0)))/100</f>
        <v>3.43</v>
      </c>
      <c r="AL60" s="43"/>
      <c r="AM60" s="28"/>
      <c r="AN60" s="28"/>
    </row>
    <row r="61" spans="1:40" x14ac:dyDescent="0.35">
      <c r="A61">
        <f t="shared" si="8"/>
        <v>59</v>
      </c>
      <c r="B61">
        <f>IF(G61="Bonds",COUNTIF($G$3:G61,"Bonds"),0)</f>
        <v>0</v>
      </c>
      <c r="C61" t="str">
        <f t="shared" si="16"/>
        <v>Azul Linhas Aéreas4345446741</v>
      </c>
      <c r="D61">
        <f t="shared" si="17"/>
        <v>5</v>
      </c>
      <c r="E61" s="43" t="s">
        <v>95</v>
      </c>
      <c r="F61" s="43" t="s">
        <v>96</v>
      </c>
      <c r="G61" s="43" t="s">
        <v>25</v>
      </c>
      <c r="H61">
        <f t="shared" si="1"/>
        <v>0</v>
      </c>
      <c r="I61" s="43" t="s">
        <v>106</v>
      </c>
      <c r="J61" s="34">
        <f t="shared" si="2"/>
        <v>10</v>
      </c>
      <c r="K61" s="28">
        <v>43454</v>
      </c>
      <c r="L61" s="28">
        <v>46741</v>
      </c>
      <c r="M61" s="60">
        <f t="shared" si="3"/>
        <v>9.0054794520547947</v>
      </c>
      <c r="N61" s="4">
        <f t="shared" si="4"/>
        <v>1</v>
      </c>
      <c r="O61" s="43" t="s">
        <v>44</v>
      </c>
      <c r="P61" t="str">
        <f t="shared" si="10"/>
        <v>0</v>
      </c>
      <c r="Q61" s="44">
        <v>20000</v>
      </c>
      <c r="R61" s="43">
        <v>10000</v>
      </c>
      <c r="S61" s="34" t="str">
        <f>IF($V61="USD",INDEX('Dólar Spot'!$B:$B,MATCH(Base!$K61,'Dólar Spot'!$A:$A,0)),"")</f>
        <v/>
      </c>
      <c r="T61" s="4">
        <f t="shared" si="24"/>
        <v>200000000</v>
      </c>
      <c r="U61" s="8">
        <f t="shared" si="11"/>
        <v>2</v>
      </c>
      <c r="V61" s="43" t="s">
        <v>41</v>
      </c>
      <c r="W61" s="45">
        <v>100</v>
      </c>
      <c r="X61" s="46">
        <v>5</v>
      </c>
      <c r="Y61" s="9">
        <f>IF(AND(V61="DI",$W61=100),$X61/100,
IF(AND(V61="DI",$W61&lt;&gt;100,$X61=""),INDEX('Debs %CDI'!$Q:$Q,MATCH(Base!$C61,'Debs %CDI'!$A:$A,0)),
IF($V61="USD",INDEX(Bonds!$AF:$AF,MATCH(Base!$C61,Bonds!$B:$B,0)),
IF($V61="IPCA",INDEX('Debs IPCA'!$Z:$Z,MATCH(Base!$C61,'Debs IPCA'!$A:$A,0))))))</f>
        <v>0.05</v>
      </c>
      <c r="Z61" s="43">
        <v>252</v>
      </c>
      <c r="AA61" s="43" t="s">
        <v>30</v>
      </c>
      <c r="AB61" s="43" t="s">
        <v>32</v>
      </c>
      <c r="AC61">
        <f t="shared" si="5"/>
        <v>0</v>
      </c>
      <c r="AD61" s="43" t="s">
        <v>31</v>
      </c>
      <c r="AE61">
        <f t="shared" si="6"/>
        <v>1</v>
      </c>
      <c r="AF61" s="34" t="str" cm="1">
        <f t="array" ref="AF61">INDEX(Ratings!$B$2:$M$40,_xlfn.XMATCH(Base!F61,Ratings!$A$2:$A$40),_xlfn.XMATCH(YEAR(Base!K61),Ratings!$B$1:$M$1))</f>
        <v>NR</v>
      </c>
      <c r="AG61">
        <f t="shared" si="12"/>
        <v>0</v>
      </c>
      <c r="AH61">
        <f>IFERROR(IFERROR(IFERROR(INDEX('EMBI+'!$B:$B,MATCH(Base!$K61,'EMBI+'!$A:$A,0)),INDEX('EMBI+'!$B:$B,MATCH(Base!$K61+1,'EMBI+'!$A:$A,0))),INDEX('EMBI+'!$B:$B,MATCH(Base!$K61+2,'EMBI+'!$A:$A,0))),INDEX('EMBI+'!$B:$B,MATCH(Base!$K61+3,'EMBI+'!$A:$A,0)))/100</f>
        <v>2.68</v>
      </c>
      <c r="AL61" s="43"/>
      <c r="AM61" s="28"/>
      <c r="AN61" s="28"/>
    </row>
    <row r="62" spans="1:40" x14ac:dyDescent="0.35">
      <c r="A62">
        <f t="shared" si="8"/>
        <v>60</v>
      </c>
      <c r="B62">
        <f>IF(G62="Bonds",COUNTIF($G$3:G62,"Bonds"),0)</f>
        <v>7</v>
      </c>
      <c r="C62" t="str">
        <f t="shared" si="16"/>
        <v>Azul Linhas Aéreas4436215/06/2026</v>
      </c>
      <c r="D62">
        <f t="shared" si="17"/>
        <v>5</v>
      </c>
      <c r="E62" s="43" t="s">
        <v>107</v>
      </c>
      <c r="F62" s="43" t="s">
        <v>96</v>
      </c>
      <c r="G62" s="43" t="s">
        <v>34</v>
      </c>
      <c r="H62">
        <f t="shared" si="1"/>
        <v>1</v>
      </c>
      <c r="I62" s="43"/>
      <c r="J62" s="34">
        <f t="shared" si="2"/>
        <v>11</v>
      </c>
      <c r="K62" s="28">
        <v>44362</v>
      </c>
      <c r="L62" s="28" t="s">
        <v>108</v>
      </c>
      <c r="M62" s="60">
        <f t="shared" si="3"/>
        <v>5.0027397260273974</v>
      </c>
      <c r="N62" s="4">
        <f t="shared" si="4"/>
        <v>1</v>
      </c>
      <c r="O62" s="43" t="s">
        <v>36</v>
      </c>
      <c r="P62" t="str">
        <f t="shared" si="10"/>
        <v>0</v>
      </c>
      <c r="Q62" s="43"/>
      <c r="R62" s="43"/>
      <c r="S62" s="34">
        <f>IF($V62="USD",INDEX('Dólar Spot'!$B:$B,MATCH(Base!$K62,'Dólar Spot'!$A:$A,0)),"")</f>
        <v>5.0873999999999997</v>
      </c>
      <c r="T62" s="44">
        <v>600000000</v>
      </c>
      <c r="U62" s="8">
        <f t="shared" si="11"/>
        <v>30.5244</v>
      </c>
      <c r="V62" s="43" t="s">
        <v>651</v>
      </c>
      <c r="W62" s="45" t="s">
        <v>29</v>
      </c>
      <c r="X62" s="53">
        <v>7.25</v>
      </c>
      <c r="Y62" s="9">
        <f>IF(AND(V62="DI",$W62=100),$X62/100,
IF(AND(V62="DI",$W62&lt;&gt;100,$X62=""),INDEX('Debs %CDI'!$Q:$Q,MATCH(Base!$C62,'Debs %CDI'!$A:$A,0)),
IF($V62="USD",INDEX(Bonds!$AF:$AF,MATCH(Base!$C62,Bonds!$B:$B,0)),
IF($V62="IPCA",INDEX('Debs IPCA'!$Z:$Z,MATCH(Base!$C62,'Debs IPCA'!$A:$A,0))))))</f>
        <v>5.7849645880048151E-2</v>
      </c>
      <c r="Z62" s="43">
        <v>360</v>
      </c>
      <c r="AA62" s="43" t="s">
        <v>37</v>
      </c>
      <c r="AB62" s="43" t="s">
        <v>32</v>
      </c>
      <c r="AC62">
        <f t="shared" si="5"/>
        <v>0</v>
      </c>
      <c r="AD62" s="43" t="s">
        <v>31</v>
      </c>
      <c r="AE62">
        <f t="shared" si="6"/>
        <v>1</v>
      </c>
      <c r="AF62" s="34" t="str" cm="1">
        <f t="array" ref="AF62">INDEX(Ratings!$B$2:$M$40,_xlfn.XMATCH(Base!F62,Ratings!$A$2:$A$40),_xlfn.XMATCH(YEAR(Base!K62),Ratings!$B$1:$M$1))</f>
        <v>CCC+</v>
      </c>
      <c r="AG62">
        <f t="shared" si="12"/>
        <v>0</v>
      </c>
      <c r="AH62">
        <f>IFERROR(IFERROR(IFERROR(INDEX('EMBI+'!$B:$B,MATCH(Base!$K62,'EMBI+'!$A:$A,0)),INDEX('EMBI+'!$B:$B,MATCH(Base!$K62+1,'EMBI+'!$A:$A,0))),INDEX('EMBI+'!$B:$B,MATCH(Base!$K62+2,'EMBI+'!$A:$A,0))),INDEX('EMBI+'!$B:$B,MATCH(Base!$K62+3,'EMBI+'!$A:$A,0)))/100</f>
        <v>2.66</v>
      </c>
      <c r="AL62" s="43"/>
      <c r="AM62" s="28"/>
      <c r="AN62" s="28"/>
    </row>
    <row r="63" spans="1:40" x14ac:dyDescent="0.35">
      <c r="A63">
        <f t="shared" si="8"/>
        <v>61</v>
      </c>
      <c r="B63">
        <f>IF(G63="Bonds",COUNTIF($G$3:G63,"Bonds"),0)</f>
        <v>8</v>
      </c>
      <c r="C63" t="str">
        <f t="shared" si="16"/>
        <v>Azul Linhas Aéreas4303426/10/2024</v>
      </c>
      <c r="D63">
        <f t="shared" si="17"/>
        <v>5</v>
      </c>
      <c r="E63" s="43" t="s">
        <v>107</v>
      </c>
      <c r="F63" s="43" t="s">
        <v>96</v>
      </c>
      <c r="G63" s="43" t="s">
        <v>34</v>
      </c>
      <c r="H63">
        <f t="shared" si="1"/>
        <v>1</v>
      </c>
      <c r="I63" s="43"/>
      <c r="J63" s="34">
        <f t="shared" si="2"/>
        <v>12</v>
      </c>
      <c r="K63" s="28">
        <v>43034</v>
      </c>
      <c r="L63" s="28" t="s">
        <v>109</v>
      </c>
      <c r="M63" s="60">
        <f t="shared" si="3"/>
        <v>7.0054794520547947</v>
      </c>
      <c r="N63" s="4">
        <f t="shared" si="4"/>
        <v>1</v>
      </c>
      <c r="O63" s="43" t="s">
        <v>36</v>
      </c>
      <c r="P63" t="str">
        <f t="shared" si="10"/>
        <v>0</v>
      </c>
      <c r="Q63" s="43"/>
      <c r="R63" s="43"/>
      <c r="S63" s="34">
        <f>IF($V63="USD",INDEX('Dólar Spot'!$B:$B,MATCH(Base!$K63,'Dólar Spot'!$A:$A,0)),"")</f>
        <v>3.2437999999999998</v>
      </c>
      <c r="T63" s="44">
        <v>400000000</v>
      </c>
      <c r="U63" s="8">
        <f t="shared" si="11"/>
        <v>12.975199999999999</v>
      </c>
      <c r="V63" s="43" t="s">
        <v>651</v>
      </c>
      <c r="W63" s="45" t="s">
        <v>29</v>
      </c>
      <c r="X63" s="53">
        <v>5.875</v>
      </c>
      <c r="Y63" s="9">
        <f>IF(AND(V63="DI",$W63=100),$X63/100,
IF(AND(V63="DI",$W63&lt;&gt;100,$X63=""),INDEX('Debs %CDI'!$Q:$Q,MATCH(Base!$C63,'Debs %CDI'!$A:$A,0)),
IF($V63="USD",INDEX(Bonds!$AF:$AF,MATCH(Base!$C63,Bonds!$B:$B,0)),
IF($V63="IPCA",INDEX('Debs IPCA'!$Z:$Z,MATCH(Base!$C63,'Debs IPCA'!$A:$A,0))))))</f>
        <v>4.7873274823730716E-2</v>
      </c>
      <c r="Z63" s="43">
        <v>360</v>
      </c>
      <c r="AA63" s="43" t="s">
        <v>37</v>
      </c>
      <c r="AB63" s="43" t="s">
        <v>32</v>
      </c>
      <c r="AC63">
        <f t="shared" si="5"/>
        <v>0</v>
      </c>
      <c r="AD63" s="43" t="s">
        <v>31</v>
      </c>
      <c r="AE63">
        <f t="shared" si="6"/>
        <v>1</v>
      </c>
      <c r="AF63" s="34" t="str" cm="1">
        <f t="array" ref="AF63">INDEX(Ratings!$B$2:$M$40,_xlfn.XMATCH(Base!F63,Ratings!$A$2:$A$40),_xlfn.XMATCH(YEAR(Base!K63),Ratings!$B$1:$M$1))</f>
        <v>NR</v>
      </c>
      <c r="AG63">
        <f t="shared" si="12"/>
        <v>0</v>
      </c>
      <c r="AH63">
        <f>IFERROR(IFERROR(IFERROR(INDEX('EMBI+'!$B:$B,MATCH(Base!$K63,'EMBI+'!$A:$A,0)),INDEX('EMBI+'!$B:$B,MATCH(Base!$K63+1,'EMBI+'!$A:$A,0))),INDEX('EMBI+'!$B:$B,MATCH(Base!$K63+2,'EMBI+'!$A:$A,0))),INDEX('EMBI+'!$B:$B,MATCH(Base!$K63+3,'EMBI+'!$A:$A,0)))/100</f>
        <v>2.42</v>
      </c>
      <c r="AL63" s="43"/>
      <c r="AM63" s="28"/>
      <c r="AN63" s="28"/>
    </row>
    <row r="64" spans="1:40" x14ac:dyDescent="0.35">
      <c r="A64">
        <f t="shared" si="8"/>
        <v>62</v>
      </c>
      <c r="B64">
        <f>IF(G64="Bonds",COUNTIF($G$3:G64,"Bonds"),0)</f>
        <v>0</v>
      </c>
      <c r="C64" t="str">
        <f t="shared" si="16"/>
        <v>Braskem4469347250</v>
      </c>
      <c r="D64">
        <f t="shared" si="17"/>
        <v>6</v>
      </c>
      <c r="E64" s="43" t="s">
        <v>825</v>
      </c>
      <c r="F64" s="43" t="s">
        <v>110</v>
      </c>
      <c r="G64" s="43" t="s">
        <v>25</v>
      </c>
      <c r="H64">
        <f t="shared" si="1"/>
        <v>0</v>
      </c>
      <c r="I64" s="43" t="s">
        <v>827</v>
      </c>
      <c r="J64" s="34">
        <f t="shared" si="2"/>
        <v>1</v>
      </c>
      <c r="K64" s="28">
        <v>44693</v>
      </c>
      <c r="L64" s="28">
        <v>47250</v>
      </c>
      <c r="M64" s="60">
        <f t="shared" si="3"/>
        <v>7.0054794520547947</v>
      </c>
      <c r="N64" s="4">
        <f t="shared" si="4"/>
        <v>1</v>
      </c>
      <c r="O64" s="43" t="s">
        <v>44</v>
      </c>
      <c r="P64" t="str">
        <f t="shared" si="10"/>
        <v>0</v>
      </c>
      <c r="Q64" s="44">
        <v>755944</v>
      </c>
      <c r="R64" s="43">
        <v>1000</v>
      </c>
      <c r="S64" s="34" t="str">
        <f>IF($V64="USD",INDEX('Dólar Spot'!$B:$B,MATCH(Base!$K64,'Dólar Spot'!$A:$A,0)),"")</f>
        <v/>
      </c>
      <c r="T64" s="4">
        <f t="shared" ref="T64:T68" si="25">Q64*R64</f>
        <v>755944000</v>
      </c>
      <c r="U64" s="8">
        <f t="shared" si="11"/>
        <v>7.5594400000000004</v>
      </c>
      <c r="V64" s="43" t="s">
        <v>41</v>
      </c>
      <c r="W64" s="45">
        <v>100</v>
      </c>
      <c r="X64" s="46">
        <v>1.75</v>
      </c>
      <c r="Y64" s="9">
        <f>IF(AND(V64="DI",$W64=100),$X64/100,
IF(AND(V64="DI",$W64&lt;&gt;100,$X64=""),INDEX('Debs %CDI'!$Q:$Q,MATCH(Base!$C64,'Debs %CDI'!$A:$A,0)),
IF($V64="USD",INDEX(Bonds!$AF:$AF,MATCH(Base!$C64,Bonds!$B:$B,0)),
IF($V64="IPCA",INDEX('Debs IPCA'!$Z:$Z,MATCH(Base!$C64,'Debs IPCA'!$A:$A,0))))))</f>
        <v>1.7500000000000002E-2</v>
      </c>
      <c r="Z64" s="43">
        <v>252</v>
      </c>
      <c r="AA64" s="43" t="s">
        <v>30</v>
      </c>
      <c r="AB64" s="43" t="s">
        <v>32</v>
      </c>
      <c r="AC64">
        <f t="shared" si="5"/>
        <v>0</v>
      </c>
      <c r="AD64" s="43" t="s">
        <v>31</v>
      </c>
      <c r="AE64">
        <f t="shared" si="6"/>
        <v>1</v>
      </c>
      <c r="AF64" s="34" t="str" cm="1">
        <f t="array" ref="AF64">INDEX(Ratings!$B$2:$M$40,_xlfn.XMATCH(Base!F64,Ratings!$A$2:$A$40),_xlfn.XMATCH(YEAR(Base!K64),Ratings!$B$1:$M$1))</f>
        <v>BBB-</v>
      </c>
      <c r="AG64">
        <f t="shared" si="12"/>
        <v>1</v>
      </c>
      <c r="AH64">
        <f>IFERROR(IFERROR(IFERROR(INDEX('EMBI+'!$B:$B,MATCH(Base!$K64,'EMBI+'!$A:$A,0)),INDEX('EMBI+'!$B:$B,MATCH(Base!$K64+1,'EMBI+'!$A:$A,0))),INDEX('EMBI+'!$B:$B,MATCH(Base!$K64+2,'EMBI+'!$A:$A,0))),INDEX('EMBI+'!$B:$B,MATCH(Base!$K64+3,'EMBI+'!$A:$A,0)))/100</f>
        <v>3.18</v>
      </c>
      <c r="AL64" s="43"/>
      <c r="AM64" s="28"/>
      <c r="AN64" s="28"/>
    </row>
    <row r="65" spans="1:40" x14ac:dyDescent="0.35">
      <c r="A65">
        <f t="shared" si="8"/>
        <v>63</v>
      </c>
      <c r="B65">
        <f>IF(G65="Bonds",COUNTIF($G$3:G65,"Bonds"),0)</f>
        <v>0</v>
      </c>
      <c r="C65" t="str">
        <f t="shared" si="16"/>
        <v>Braskem4479547352</v>
      </c>
      <c r="D65">
        <f t="shared" si="17"/>
        <v>6</v>
      </c>
      <c r="E65" s="43" t="s">
        <v>825</v>
      </c>
      <c r="F65" s="43" t="s">
        <v>110</v>
      </c>
      <c r="G65" s="43" t="s">
        <v>25</v>
      </c>
      <c r="H65">
        <f t="shared" si="1"/>
        <v>0</v>
      </c>
      <c r="I65" s="43" t="s">
        <v>828</v>
      </c>
      <c r="J65" s="34">
        <f t="shared" si="2"/>
        <v>2</v>
      </c>
      <c r="K65" s="28">
        <v>44795</v>
      </c>
      <c r="L65" s="28">
        <v>47352</v>
      </c>
      <c r="M65" s="60">
        <f t="shared" si="3"/>
        <v>7.0054794520547947</v>
      </c>
      <c r="N65" s="4">
        <f t="shared" si="4"/>
        <v>1</v>
      </c>
      <c r="O65" s="43" t="s">
        <v>27</v>
      </c>
      <c r="P65" t="str">
        <f t="shared" si="10"/>
        <v>1</v>
      </c>
      <c r="Q65" s="44">
        <v>750000</v>
      </c>
      <c r="R65" s="43">
        <v>1000</v>
      </c>
      <c r="S65" s="34" t="str">
        <f>IF($V65="USD",INDEX('Dólar Spot'!$B:$B,MATCH(Base!$K65,'Dólar Spot'!$A:$A,0)),"")</f>
        <v/>
      </c>
      <c r="T65" s="4">
        <f t="shared" si="25"/>
        <v>750000000</v>
      </c>
      <c r="U65" s="8">
        <f t="shared" si="11"/>
        <v>7.5</v>
      </c>
      <c r="V65" s="43" t="s">
        <v>41</v>
      </c>
      <c r="W65" s="45">
        <v>100</v>
      </c>
      <c r="X65" s="46">
        <v>1.75</v>
      </c>
      <c r="Y65" s="9">
        <f>IF(AND(V65="DI",$W65=100),$X65/100,
IF(AND(V65="DI",$W65&lt;&gt;100,$X65=""),INDEX('Debs %CDI'!$Q:$Q,MATCH(Base!$C65,'Debs %CDI'!$A:$A,0)),
IF($V65="USD",INDEX(Bonds!$AF:$AF,MATCH(Base!$C65,Bonds!$B:$B,0)),
IF($V65="IPCA",INDEX('Debs IPCA'!$Z:$Z,MATCH(Base!$C65,'Debs IPCA'!$A:$A,0))))))</f>
        <v>1.7500000000000002E-2</v>
      </c>
      <c r="Z65" s="43">
        <v>252</v>
      </c>
      <c r="AA65" s="43" t="s">
        <v>30</v>
      </c>
      <c r="AB65" s="43" t="s">
        <v>32</v>
      </c>
      <c r="AC65">
        <f t="shared" si="5"/>
        <v>0</v>
      </c>
      <c r="AD65" s="43" t="s">
        <v>31</v>
      </c>
      <c r="AE65">
        <f t="shared" si="6"/>
        <v>1</v>
      </c>
      <c r="AF65" s="34" t="str" cm="1">
        <f t="array" ref="AF65">INDEX(Ratings!$B$2:$M$40,_xlfn.XMATCH(Base!F65,Ratings!$A$2:$A$40),_xlfn.XMATCH(YEAR(Base!K65),Ratings!$B$1:$M$1))</f>
        <v>BBB-</v>
      </c>
      <c r="AG65">
        <f t="shared" si="12"/>
        <v>1</v>
      </c>
      <c r="AH65">
        <f>IFERROR(IFERROR(IFERROR(INDEX('EMBI+'!$B:$B,MATCH(Base!$K65,'EMBI+'!$A:$A,0)),INDEX('EMBI+'!$B:$B,MATCH(Base!$K65+1,'EMBI+'!$A:$A,0))),INDEX('EMBI+'!$B:$B,MATCH(Base!$K65+2,'EMBI+'!$A:$A,0))),INDEX('EMBI+'!$B:$B,MATCH(Base!$K65+3,'EMBI+'!$A:$A,0)))/100</f>
        <v>3.03</v>
      </c>
      <c r="AL65" s="43"/>
      <c r="AM65" s="28"/>
      <c r="AN65" s="28"/>
    </row>
    <row r="66" spans="1:40" x14ac:dyDescent="0.35">
      <c r="A66">
        <f t="shared" si="8"/>
        <v>64</v>
      </c>
      <c r="B66">
        <f>IF(G66="Bonds",COUNTIF($G$3:G66,"Bonds"),0)</f>
        <v>0</v>
      </c>
      <c r="C66" t="str">
        <f t="shared" si="16"/>
        <v>Braskem4487447431</v>
      </c>
      <c r="D66">
        <f t="shared" si="17"/>
        <v>6</v>
      </c>
      <c r="E66" s="43" t="s">
        <v>825</v>
      </c>
      <c r="F66" s="43" t="s">
        <v>110</v>
      </c>
      <c r="G66" s="43" t="s">
        <v>25</v>
      </c>
      <c r="H66">
        <f t="shared" si="1"/>
        <v>0</v>
      </c>
      <c r="I66" s="43" t="s">
        <v>829</v>
      </c>
      <c r="J66" s="34">
        <f t="shared" si="2"/>
        <v>3</v>
      </c>
      <c r="K66" s="28">
        <v>44874</v>
      </c>
      <c r="L66" s="28">
        <v>47431</v>
      </c>
      <c r="M66" s="60">
        <f t="shared" si="3"/>
        <v>7.0054794520547947</v>
      </c>
      <c r="N66" s="4">
        <f t="shared" si="4"/>
        <v>1</v>
      </c>
      <c r="O66" s="43" t="s">
        <v>44</v>
      </c>
      <c r="P66" t="str">
        <f t="shared" si="10"/>
        <v>0</v>
      </c>
      <c r="Q66" s="44">
        <v>1103750</v>
      </c>
      <c r="R66" s="43">
        <v>1000</v>
      </c>
      <c r="S66" s="34" t="str">
        <f>IF($V66="USD",INDEX('Dólar Spot'!$B:$B,MATCH(Base!$K66,'Dólar Spot'!$A:$A,0)),"")</f>
        <v/>
      </c>
      <c r="T66" s="4">
        <f t="shared" si="25"/>
        <v>1103750000</v>
      </c>
      <c r="U66" s="8">
        <f t="shared" si="11"/>
        <v>11.0375</v>
      </c>
      <c r="V66" s="43" t="s">
        <v>41</v>
      </c>
      <c r="W66" s="45">
        <v>100</v>
      </c>
      <c r="X66" s="46">
        <v>1.7</v>
      </c>
      <c r="Y66" s="9">
        <f>IF(AND(V66="DI",$W66=100),$X66/100,
IF(AND(V66="DI",$W66&lt;&gt;100,$X66=""),INDEX('Debs %CDI'!$Q:$Q,MATCH(Base!$C66,'Debs %CDI'!$A:$A,0)),
IF($V66="USD",INDEX(Bonds!$AF:$AF,MATCH(Base!$C66,Bonds!$B:$B,0)),
IF($V66="IPCA",INDEX('Debs IPCA'!$Z:$Z,MATCH(Base!$C66,'Debs IPCA'!$A:$A,0))))))</f>
        <v>1.7000000000000001E-2</v>
      </c>
      <c r="Z66" s="43">
        <v>252</v>
      </c>
      <c r="AA66" s="43" t="s">
        <v>30</v>
      </c>
      <c r="AB66" s="43" t="s">
        <v>32</v>
      </c>
      <c r="AC66">
        <f t="shared" si="5"/>
        <v>0</v>
      </c>
      <c r="AD66" s="43" t="s">
        <v>31</v>
      </c>
      <c r="AE66">
        <f t="shared" si="6"/>
        <v>1</v>
      </c>
      <c r="AF66" s="34" t="str" cm="1">
        <f t="array" ref="AF66">INDEX(Ratings!$B$2:$M$40,_xlfn.XMATCH(Base!F66,Ratings!$A$2:$A$40),_xlfn.XMATCH(YEAR(Base!K66),Ratings!$B$1:$M$1))</f>
        <v>BBB-</v>
      </c>
      <c r="AG66">
        <f t="shared" si="12"/>
        <v>1</v>
      </c>
      <c r="AH66">
        <f>IFERROR(IFERROR(IFERROR(INDEX('EMBI+'!$B:$B,MATCH(Base!$K66,'EMBI+'!$A:$A,0)),INDEX('EMBI+'!$B:$B,MATCH(Base!$K66+1,'EMBI+'!$A:$A,0))),INDEX('EMBI+'!$B:$B,MATCH(Base!$K66+2,'EMBI+'!$A:$A,0))),INDEX('EMBI+'!$B:$B,MATCH(Base!$K66+3,'EMBI+'!$A:$A,0)))/100</f>
        <v>2.79</v>
      </c>
      <c r="AL66" s="43"/>
      <c r="AM66" s="28"/>
      <c r="AN66" s="28"/>
    </row>
    <row r="67" spans="1:40" x14ac:dyDescent="0.35">
      <c r="A67">
        <f t="shared" si="8"/>
        <v>65</v>
      </c>
      <c r="B67">
        <f>IF(G67="Bonds",COUNTIF($G$3:G67,"Bonds"),0)</f>
        <v>0</v>
      </c>
      <c r="C67" t="str">
        <f t="shared" si="16"/>
        <v>Braskem4469348346</v>
      </c>
      <c r="D67">
        <f t="shared" si="17"/>
        <v>6</v>
      </c>
      <c r="E67" s="43" t="s">
        <v>825</v>
      </c>
      <c r="F67" s="43" t="s">
        <v>110</v>
      </c>
      <c r="G67" s="43" t="s">
        <v>25</v>
      </c>
      <c r="H67">
        <f t="shared" si="1"/>
        <v>0</v>
      </c>
      <c r="I67" s="43" t="s">
        <v>830</v>
      </c>
      <c r="J67" s="34">
        <f t="shared" ref="J67:J130" si="26">IF(F67=F66,J66+1,1)</f>
        <v>4</v>
      </c>
      <c r="K67" s="28">
        <v>44693</v>
      </c>
      <c r="L67" s="28">
        <v>48346</v>
      </c>
      <c r="M67" s="60">
        <f t="shared" si="3"/>
        <v>10.008219178082191</v>
      </c>
      <c r="N67" s="4">
        <f t="shared" si="4"/>
        <v>1</v>
      </c>
      <c r="O67" s="43" t="s">
        <v>44</v>
      </c>
      <c r="P67" t="str">
        <f t="shared" si="10"/>
        <v>0</v>
      </c>
      <c r="Q67" s="44">
        <v>244056</v>
      </c>
      <c r="R67" s="43">
        <v>1000</v>
      </c>
      <c r="S67" s="34" t="str">
        <f>IF($V67="USD",INDEX('Dólar Spot'!$B:$B,MATCH(Base!$K67,'Dólar Spot'!$A:$A,0)),"")</f>
        <v/>
      </c>
      <c r="T67" s="4">
        <f t="shared" si="25"/>
        <v>244056000</v>
      </c>
      <c r="U67" s="8">
        <f t="shared" si="11"/>
        <v>2.4405600000000001</v>
      </c>
      <c r="V67" s="43" t="s">
        <v>41</v>
      </c>
      <c r="W67" s="45">
        <v>100</v>
      </c>
      <c r="X67" s="46">
        <v>2</v>
      </c>
      <c r="Y67" s="9">
        <f>IF(AND(V67="DI",$W67=100),$X67/100,
IF(AND(V67="DI",$W67&lt;&gt;100,$X67=""),INDEX('Debs %CDI'!$Q:$Q,MATCH(Base!$C67,'Debs %CDI'!$A:$A,0)),
IF($V67="USD",INDEX(Bonds!$AF:$AF,MATCH(Base!$C67,Bonds!$B:$B,0)),
IF($V67="IPCA",INDEX('Debs IPCA'!$Z:$Z,MATCH(Base!$C67,'Debs IPCA'!$A:$A,0))))))</f>
        <v>0.02</v>
      </c>
      <c r="Z67" s="43">
        <v>252</v>
      </c>
      <c r="AA67" s="43" t="s">
        <v>30</v>
      </c>
      <c r="AB67" s="43" t="s">
        <v>32</v>
      </c>
      <c r="AC67">
        <f t="shared" si="5"/>
        <v>0</v>
      </c>
      <c r="AD67" s="43" t="s">
        <v>31</v>
      </c>
      <c r="AE67">
        <f t="shared" si="6"/>
        <v>1</v>
      </c>
      <c r="AF67" s="34" t="str" cm="1">
        <f t="array" ref="AF67">INDEX(Ratings!$B$2:$M$40,_xlfn.XMATCH(Base!F67,Ratings!$A$2:$A$40),_xlfn.XMATCH(YEAR(Base!K67),Ratings!$B$1:$M$1))</f>
        <v>BBB-</v>
      </c>
      <c r="AG67">
        <f t="shared" si="12"/>
        <v>1</v>
      </c>
      <c r="AH67">
        <f>IFERROR(IFERROR(IFERROR(INDEX('EMBI+'!$B:$B,MATCH(Base!$K67,'EMBI+'!$A:$A,0)),INDEX('EMBI+'!$B:$B,MATCH(Base!$K67+1,'EMBI+'!$A:$A,0))),INDEX('EMBI+'!$B:$B,MATCH(Base!$K67+2,'EMBI+'!$A:$A,0))),INDEX('EMBI+'!$B:$B,MATCH(Base!$K67+3,'EMBI+'!$A:$A,0)))/100</f>
        <v>3.18</v>
      </c>
      <c r="AL67" s="43"/>
      <c r="AM67" s="28"/>
      <c r="AN67" s="28"/>
    </row>
    <row r="68" spans="1:40" x14ac:dyDescent="0.35">
      <c r="A68">
        <f t="shared" si="8"/>
        <v>66</v>
      </c>
      <c r="B68">
        <f>IF(G68="Bonds",COUNTIF($G$3:G68,"Bonds"),0)</f>
        <v>0</v>
      </c>
      <c r="C68" t="str">
        <f t="shared" si="16"/>
        <v>Braskem4487448527</v>
      </c>
      <c r="D68">
        <f t="shared" si="17"/>
        <v>6</v>
      </c>
      <c r="E68" s="43" t="s">
        <v>825</v>
      </c>
      <c r="F68" s="43" t="s">
        <v>110</v>
      </c>
      <c r="G68" s="43" t="s">
        <v>25</v>
      </c>
      <c r="H68">
        <f t="shared" si="1"/>
        <v>0</v>
      </c>
      <c r="I68" s="43" t="s">
        <v>831</v>
      </c>
      <c r="J68" s="34">
        <f t="shared" si="26"/>
        <v>5</v>
      </c>
      <c r="K68" s="28">
        <v>44874</v>
      </c>
      <c r="L68" s="28">
        <v>48527</v>
      </c>
      <c r="M68" s="60">
        <f t="shared" si="3"/>
        <v>10.008219178082191</v>
      </c>
      <c r="N68" s="4">
        <f t="shared" si="4"/>
        <v>1</v>
      </c>
      <c r="O68" s="43" t="s">
        <v>44</v>
      </c>
      <c r="P68" t="str">
        <f t="shared" si="10"/>
        <v>0</v>
      </c>
      <c r="Q68" s="44">
        <v>96250</v>
      </c>
      <c r="R68" s="43">
        <v>1000</v>
      </c>
      <c r="S68" s="34" t="str">
        <f>IF($V68="USD",INDEX('Dólar Spot'!$B:$B,MATCH(Base!$K68,'Dólar Spot'!$A:$A,0)),"")</f>
        <v/>
      </c>
      <c r="T68" s="4">
        <f t="shared" si="25"/>
        <v>96250000</v>
      </c>
      <c r="U68" s="8">
        <f t="shared" si="11"/>
        <v>0.96250000000000002</v>
      </c>
      <c r="V68" s="43" t="s">
        <v>41</v>
      </c>
      <c r="W68" s="45">
        <v>100</v>
      </c>
      <c r="X68" s="46">
        <v>1.95</v>
      </c>
      <c r="Y68" s="9">
        <f>IF(AND(V68="DI",$W68=100),$X68/100,
IF(AND(V68="DI",$W68&lt;&gt;100,$X68=""),INDEX('Debs %CDI'!$Q:$Q,MATCH(Base!$C68,'Debs %CDI'!$A:$A,0)),
IF($V68="USD",INDEX(Bonds!$AF:$AF,MATCH(Base!$C68,Bonds!$B:$B,0)),
IF($V68="IPCA",INDEX('Debs IPCA'!$Z:$Z,MATCH(Base!$C68,'Debs IPCA'!$A:$A,0))))))</f>
        <v>1.95E-2</v>
      </c>
      <c r="Z68" s="43">
        <v>252</v>
      </c>
      <c r="AA68" s="43" t="s">
        <v>30</v>
      </c>
      <c r="AB68" s="43" t="s">
        <v>32</v>
      </c>
      <c r="AC68">
        <f t="shared" si="5"/>
        <v>0</v>
      </c>
      <c r="AD68" s="43" t="s">
        <v>31</v>
      </c>
      <c r="AE68">
        <f t="shared" si="6"/>
        <v>1</v>
      </c>
      <c r="AF68" s="34" t="str" cm="1">
        <f t="array" ref="AF68">INDEX(Ratings!$B$2:$M$40,_xlfn.XMATCH(Base!F68,Ratings!$A$2:$A$40),_xlfn.XMATCH(YEAR(Base!K68),Ratings!$B$1:$M$1))</f>
        <v>BBB-</v>
      </c>
      <c r="AG68">
        <f t="shared" ref="AG68:AG131" si="27">IF(AND(AF68&lt;&gt;"BBB-",AF68&lt;&gt;"BBB",AF68&lt;&gt;"BBB+"),0,1)</f>
        <v>1</v>
      </c>
      <c r="AH68">
        <f>IFERROR(IFERROR(IFERROR(INDEX('EMBI+'!$B:$B,MATCH(Base!$K68,'EMBI+'!$A:$A,0)),INDEX('EMBI+'!$B:$B,MATCH(Base!$K68+1,'EMBI+'!$A:$A,0))),INDEX('EMBI+'!$B:$B,MATCH(Base!$K68+2,'EMBI+'!$A:$A,0))),INDEX('EMBI+'!$B:$B,MATCH(Base!$K68+3,'EMBI+'!$A:$A,0)))/100</f>
        <v>2.79</v>
      </c>
      <c r="AL68" s="43"/>
      <c r="AM68" s="28"/>
      <c r="AN68" s="28"/>
    </row>
    <row r="69" spans="1:40" x14ac:dyDescent="0.35">
      <c r="A69">
        <f t="shared" si="8"/>
        <v>67</v>
      </c>
      <c r="B69">
        <f>IF(G69="Bonds",COUNTIF($G$3:G69,"Bonds"),0)</f>
        <v>9</v>
      </c>
      <c r="C69" t="str">
        <f t="shared" si="16"/>
        <v>Braskem4074622/07/2041</v>
      </c>
      <c r="D69">
        <f t="shared" si="17"/>
        <v>6</v>
      </c>
      <c r="E69" s="43" t="s">
        <v>111</v>
      </c>
      <c r="F69" s="43" t="s">
        <v>110</v>
      </c>
      <c r="G69" s="43" t="s">
        <v>34</v>
      </c>
      <c r="H69">
        <f t="shared" ref="H69:H139" si="28">IF(G69="Bonds",1,0)</f>
        <v>1</v>
      </c>
      <c r="I69" s="43"/>
      <c r="J69" s="34">
        <f t="shared" si="26"/>
        <v>6</v>
      </c>
      <c r="K69" s="28">
        <v>40746</v>
      </c>
      <c r="L69" s="28" t="s">
        <v>112</v>
      </c>
      <c r="M69" s="60">
        <f t="shared" ref="M69:M139" si="29">(L69-K69)/365</f>
        <v>30.021917808219179</v>
      </c>
      <c r="N69" s="4">
        <f t="shared" ref="N69:N139" si="30">IF(M69&gt;5,1,0)</f>
        <v>1</v>
      </c>
      <c r="O69" s="43" t="s">
        <v>36</v>
      </c>
      <c r="P69" t="str">
        <f t="shared" ref="P69:P140" si="31">IF(OR(O69="Real",O69="Flutuante",O69="SR SECURED"),"1","0")</f>
        <v>0</v>
      </c>
      <c r="Q69" s="43"/>
      <c r="R69" s="43"/>
      <c r="S69" s="34">
        <f>IF($V69="USD",INDEX('Dólar Spot'!$B:$B,MATCH(Base!$K69,'Dólar Spot'!$A:$A,0)),"")</f>
        <v>1.5539000000000001</v>
      </c>
      <c r="T69" s="44">
        <v>500000000</v>
      </c>
      <c r="U69" s="8">
        <f t="shared" ref="U69:U140" si="32">IF(V69="USD",T69*S69/100000000,Q69*R69/100000000)</f>
        <v>7.7694999999999999</v>
      </c>
      <c r="V69" s="43" t="s">
        <v>651</v>
      </c>
      <c r="W69" s="45" t="s">
        <v>29</v>
      </c>
      <c r="X69" s="53">
        <v>7.125</v>
      </c>
      <c r="Y69" s="9">
        <f>IF(AND(V69="DI",$W69=100),$X69/100,
IF(AND(V69="DI",$W69&lt;&gt;100,$X69=""),INDEX('Debs %CDI'!$Q:$Q,MATCH(Base!$C69,'Debs %CDI'!$A:$A,0)),
IF($V69="USD",INDEX(Bonds!$AF:$AF,MATCH(Base!$C69,Bonds!$B:$B,0)),
IF($V69="IPCA",INDEX('Debs IPCA'!$Z:$Z,MATCH(Base!$C69,'Debs IPCA'!$A:$A,0))))))</f>
        <v>3.1506175639021139E-2</v>
      </c>
      <c r="Z69" s="43">
        <v>360</v>
      </c>
      <c r="AA69" s="43" t="s">
        <v>37</v>
      </c>
      <c r="AB69" s="43" t="s">
        <v>32</v>
      </c>
      <c r="AC69">
        <f t="shared" ref="AC69:AC139" si="33">IF(AB69="S",1,0)</f>
        <v>0</v>
      </c>
      <c r="AD69" s="43" t="s">
        <v>31</v>
      </c>
      <c r="AE69">
        <f t="shared" ref="AE69:AE139" si="34">IF(OR(AD69="N",AD69="AT MATURITY"),0,1)</f>
        <v>1</v>
      </c>
      <c r="AF69" s="34" t="str" cm="1">
        <f t="array" ref="AF69">INDEX(Ratings!$B$2:$M$40,_xlfn.XMATCH(Base!F69,Ratings!$A$2:$A$40),_xlfn.XMATCH(YEAR(Base!K69),Ratings!$B$1:$M$1))</f>
        <v>BB+</v>
      </c>
      <c r="AG69">
        <f t="shared" si="27"/>
        <v>0</v>
      </c>
      <c r="AH69">
        <f>IFERROR(IFERROR(IFERROR(INDEX('EMBI+'!$B:$B,MATCH(Base!$K69,'EMBI+'!$A:$A,0)),INDEX('EMBI+'!$B:$B,MATCH(Base!$K69+1,'EMBI+'!$A:$A,0))),INDEX('EMBI+'!$B:$B,MATCH(Base!$K69+2,'EMBI+'!$A:$A,0))),INDEX('EMBI+'!$B:$B,MATCH(Base!$K69+3,'EMBI+'!$A:$A,0)))/100</f>
        <v>1.63</v>
      </c>
      <c r="AL69" s="43"/>
      <c r="AM69" s="28"/>
      <c r="AN69" s="28"/>
    </row>
    <row r="70" spans="1:40" x14ac:dyDescent="0.35">
      <c r="A70">
        <f t="shared" si="8"/>
        <v>68</v>
      </c>
      <c r="B70">
        <f>IF(G70="Bonds",COUNTIF($G$3:G70,"Bonds"),0)</f>
        <v>10</v>
      </c>
      <c r="C70" t="str">
        <f t="shared" si="16"/>
        <v>Braskem4111322/07/2041</v>
      </c>
      <c r="D70">
        <f t="shared" si="17"/>
        <v>6</v>
      </c>
      <c r="E70" s="43" t="s">
        <v>111</v>
      </c>
      <c r="F70" s="43" t="s">
        <v>110</v>
      </c>
      <c r="G70" s="43" t="s">
        <v>34</v>
      </c>
      <c r="H70">
        <f t="shared" si="28"/>
        <v>1</v>
      </c>
      <c r="I70" s="43"/>
      <c r="J70" s="34">
        <f t="shared" si="26"/>
        <v>7</v>
      </c>
      <c r="K70" s="28">
        <v>41113</v>
      </c>
      <c r="L70" s="28" t="s">
        <v>112</v>
      </c>
      <c r="M70" s="60">
        <f t="shared" si="29"/>
        <v>29.016438356164382</v>
      </c>
      <c r="N70" s="4">
        <f t="shared" si="30"/>
        <v>1</v>
      </c>
      <c r="O70" s="43" t="s">
        <v>36</v>
      </c>
      <c r="P70" t="str">
        <f t="shared" si="31"/>
        <v>0</v>
      </c>
      <c r="Q70" s="43"/>
      <c r="R70" s="43"/>
      <c r="S70" s="34">
        <f>IF($V70="USD",INDEX('Dólar Spot'!$B:$B,MATCH(Base!$K70,'Dólar Spot'!$A:$A,0)),"")</f>
        <v>2.0406</v>
      </c>
      <c r="T70" s="44">
        <v>250000000</v>
      </c>
      <c r="U70" s="8">
        <f t="shared" si="32"/>
        <v>5.1014999999999997</v>
      </c>
      <c r="V70" s="43" t="s">
        <v>651</v>
      </c>
      <c r="W70" s="45" t="s">
        <v>29</v>
      </c>
      <c r="X70" s="53">
        <v>7.125</v>
      </c>
      <c r="Y70" s="9">
        <f>IF(AND(V70="DI",$W70=100),$X70/100,
IF(AND(V70="DI",$W70&lt;&gt;100,$X70=""),INDEX('Debs %CDI'!$Q:$Q,MATCH(Base!$C70,'Debs %CDI'!$A:$A,0)),
IF($V70="USD",INDEX(Bonds!$AF:$AF,MATCH(Base!$C70,Bonds!$B:$B,0)),
IF($V70="IPCA",INDEX('Debs IPCA'!$Z:$Z,MATCH(Base!$C70,'Debs IPCA'!$A:$A,0))))))</f>
        <v>4.015736044542062E-2</v>
      </c>
      <c r="Z70" s="43">
        <v>360</v>
      </c>
      <c r="AA70" s="43" t="s">
        <v>37</v>
      </c>
      <c r="AB70" s="43" t="s">
        <v>32</v>
      </c>
      <c r="AC70">
        <f t="shared" si="33"/>
        <v>0</v>
      </c>
      <c r="AD70" s="43" t="s">
        <v>31</v>
      </c>
      <c r="AE70">
        <f t="shared" si="34"/>
        <v>1</v>
      </c>
      <c r="AF70" s="34" t="str" cm="1">
        <f t="array" ref="AF70">INDEX(Ratings!$B$2:$M$40,_xlfn.XMATCH(Base!F70,Ratings!$A$2:$A$40),_xlfn.XMATCH(YEAR(Base!K70),Ratings!$B$1:$M$1))</f>
        <v>BBB-</v>
      </c>
      <c r="AG70">
        <f t="shared" si="27"/>
        <v>1</v>
      </c>
      <c r="AH70">
        <f>IFERROR(IFERROR(IFERROR(INDEX('EMBI+'!$B:$B,MATCH(Base!$K70,'EMBI+'!$A:$A,0)),INDEX('EMBI+'!$B:$B,MATCH(Base!$K70+1,'EMBI+'!$A:$A,0))),INDEX('EMBI+'!$B:$B,MATCH(Base!$K70+2,'EMBI+'!$A:$A,0))),INDEX('EMBI+'!$B:$B,MATCH(Base!$K70+3,'EMBI+'!$A:$A,0)))/100</f>
        <v>2.0499999999999998</v>
      </c>
      <c r="AL70" s="43"/>
      <c r="AM70" s="28"/>
      <c r="AN70" s="28"/>
    </row>
    <row r="71" spans="1:40" x14ac:dyDescent="0.35">
      <c r="A71">
        <f t="shared" ref="A71:A134" si="35">+A70+1</f>
        <v>69</v>
      </c>
      <c r="B71">
        <f>IF(G71="Bonds",COUNTIF($G$3:G71,"Bonds"),0)</f>
        <v>11</v>
      </c>
      <c r="C71" t="str">
        <f t="shared" si="16"/>
        <v>Braskem4167303/02/2024</v>
      </c>
      <c r="D71">
        <f t="shared" si="17"/>
        <v>6</v>
      </c>
      <c r="E71" s="43" t="s">
        <v>113</v>
      </c>
      <c r="F71" s="43" t="s">
        <v>110</v>
      </c>
      <c r="G71" s="43" t="s">
        <v>34</v>
      </c>
      <c r="H71">
        <f t="shared" si="28"/>
        <v>1</v>
      </c>
      <c r="I71" s="43"/>
      <c r="J71" s="34">
        <f t="shared" si="26"/>
        <v>8</v>
      </c>
      <c r="K71" s="28">
        <v>41673</v>
      </c>
      <c r="L71" s="28" t="s">
        <v>114</v>
      </c>
      <c r="M71" s="60">
        <f t="shared" si="29"/>
        <v>10.005479452054795</v>
      </c>
      <c r="N71" s="4">
        <f t="shared" si="30"/>
        <v>1</v>
      </c>
      <c r="O71" s="43" t="s">
        <v>36</v>
      </c>
      <c r="P71" t="str">
        <f t="shared" si="31"/>
        <v>0</v>
      </c>
      <c r="Q71" s="43"/>
      <c r="R71" s="43"/>
      <c r="S71" s="34">
        <f>IF($V71="USD",INDEX('Dólar Spot'!$B:$B,MATCH(Base!$K71,'Dólar Spot'!$A:$A,0)),"")</f>
        <v>2.4083999999999999</v>
      </c>
      <c r="T71" s="44">
        <v>500000000</v>
      </c>
      <c r="U71" s="8">
        <f t="shared" si="32"/>
        <v>12.042</v>
      </c>
      <c r="V71" s="43" t="s">
        <v>651</v>
      </c>
      <c r="W71" s="45" t="s">
        <v>29</v>
      </c>
      <c r="X71" s="53">
        <v>6.45</v>
      </c>
      <c r="Y71" s="9">
        <f>IF(AND(V71="DI",$W71=100),$X71/100,
IF(AND(V71="DI",$W71&lt;&gt;100,$X71=""),INDEX('Debs %CDI'!$Q:$Q,MATCH(Base!$C71,'Debs %CDI'!$A:$A,0)),
IF($V71="USD",INDEX(Bonds!$AF:$AF,MATCH(Base!$C71,Bonds!$B:$B,0)),
IF($V71="IPCA",INDEX('Debs IPCA'!$Z:$Z,MATCH(Base!$C71,'Debs IPCA'!$A:$A,0))))))</f>
        <v>1.5655636247780658E-2</v>
      </c>
      <c r="Z71" s="43">
        <v>360</v>
      </c>
      <c r="AA71" s="43" t="s">
        <v>37</v>
      </c>
      <c r="AB71" s="43" t="s">
        <v>32</v>
      </c>
      <c r="AC71">
        <f t="shared" si="33"/>
        <v>0</v>
      </c>
      <c r="AD71" s="43" t="s">
        <v>32</v>
      </c>
      <c r="AE71">
        <f t="shared" si="34"/>
        <v>0</v>
      </c>
      <c r="AF71" s="34" t="str" cm="1">
        <f t="array" ref="AF71">INDEX(Ratings!$B$2:$M$40,_xlfn.XMATCH(Base!F71,Ratings!$A$2:$A$40),_xlfn.XMATCH(YEAR(Base!K71),Ratings!$B$1:$M$1))</f>
        <v>BBB-</v>
      </c>
      <c r="AG71">
        <f t="shared" si="27"/>
        <v>1</v>
      </c>
      <c r="AH71">
        <f>IFERROR(IFERROR(IFERROR(INDEX('EMBI+'!$B:$B,MATCH(Base!$K71,'EMBI+'!$A:$A,0)),INDEX('EMBI+'!$B:$B,MATCH(Base!$K71+1,'EMBI+'!$A:$A,0))),INDEX('EMBI+'!$B:$B,MATCH(Base!$K71+2,'EMBI+'!$A:$A,0))),INDEX('EMBI+'!$B:$B,MATCH(Base!$K71+3,'EMBI+'!$A:$A,0)))/100</f>
        <v>2.78</v>
      </c>
      <c r="AL71" s="43"/>
      <c r="AM71" s="28"/>
      <c r="AN71" s="28"/>
    </row>
    <row r="72" spans="1:40" x14ac:dyDescent="0.35">
      <c r="A72">
        <f t="shared" si="35"/>
        <v>70</v>
      </c>
      <c r="B72">
        <f>IF(G72="Bonds",COUNTIF($G$3:G72,"Bonds"),0)</f>
        <v>12</v>
      </c>
      <c r="C72" t="str">
        <f t="shared" si="16"/>
        <v>Braskem4103102/05/2022</v>
      </c>
      <c r="D72">
        <f t="shared" si="17"/>
        <v>6</v>
      </c>
      <c r="E72" s="43" t="s">
        <v>113</v>
      </c>
      <c r="F72" s="43" t="s">
        <v>110</v>
      </c>
      <c r="G72" s="43" t="s">
        <v>34</v>
      </c>
      <c r="H72">
        <f t="shared" si="28"/>
        <v>1</v>
      </c>
      <c r="I72" s="43"/>
      <c r="J72" s="34">
        <f t="shared" si="26"/>
        <v>9</v>
      </c>
      <c r="K72" s="28">
        <v>41031</v>
      </c>
      <c r="L72" s="28" t="s">
        <v>115</v>
      </c>
      <c r="M72" s="60">
        <f t="shared" si="29"/>
        <v>10.005479452054795</v>
      </c>
      <c r="N72" s="4">
        <f t="shared" si="30"/>
        <v>1</v>
      </c>
      <c r="O72" s="43" t="s">
        <v>36</v>
      </c>
      <c r="P72" t="str">
        <f t="shared" si="31"/>
        <v>0</v>
      </c>
      <c r="Q72" s="43"/>
      <c r="R72" s="43"/>
      <c r="S72" s="34">
        <f>IF($V72="USD",INDEX('Dólar Spot'!$B:$B,MATCH(Base!$K72,'Dólar Spot'!$A:$A,0)),"")</f>
        <v>1.9142999999999999</v>
      </c>
      <c r="T72" s="44">
        <v>500000000</v>
      </c>
      <c r="U72" s="8">
        <f t="shared" si="32"/>
        <v>9.5715000000000003</v>
      </c>
      <c r="V72" s="43" t="s">
        <v>651</v>
      </c>
      <c r="W72" s="45" t="s">
        <v>29</v>
      </c>
      <c r="X72" s="53">
        <v>5.375</v>
      </c>
      <c r="Y72" s="9">
        <f>IF(AND(V72="DI",$W72=100),$X72/100,
IF(AND(V72="DI",$W72&lt;&gt;100,$X72=""),INDEX('Debs %CDI'!$Q:$Q,MATCH(Base!$C72,'Debs %CDI'!$A:$A,0)),
IF($V72="USD",INDEX(Bonds!$AF:$AF,MATCH(Base!$C72,Bonds!$B:$B,0)),
IF($V72="IPCA",INDEX('Debs IPCA'!$Z:$Z,MATCH(Base!$C72,'Debs IPCA'!$A:$A,0))))))</f>
        <v>1.3981539578857394E-2</v>
      </c>
      <c r="Z72" s="43">
        <v>360</v>
      </c>
      <c r="AA72" s="43" t="s">
        <v>37</v>
      </c>
      <c r="AB72" s="43" t="s">
        <v>32</v>
      </c>
      <c r="AC72">
        <f t="shared" si="33"/>
        <v>0</v>
      </c>
      <c r="AD72" s="43" t="s">
        <v>32</v>
      </c>
      <c r="AE72">
        <f t="shared" si="34"/>
        <v>0</v>
      </c>
      <c r="AF72" s="34" t="str" cm="1">
        <f t="array" ref="AF72">INDEX(Ratings!$B$2:$M$40,_xlfn.XMATCH(Base!F72,Ratings!$A$2:$A$40),_xlfn.XMATCH(YEAR(Base!K72),Ratings!$B$1:$M$1))</f>
        <v>BBB-</v>
      </c>
      <c r="AG72">
        <f t="shared" si="27"/>
        <v>1</v>
      </c>
      <c r="AH72">
        <f>IFERROR(IFERROR(IFERROR(INDEX('EMBI+'!$B:$B,MATCH(Base!$K72,'EMBI+'!$A:$A,0)),INDEX('EMBI+'!$B:$B,MATCH(Base!$K72+1,'EMBI+'!$A:$A,0))),INDEX('EMBI+'!$B:$B,MATCH(Base!$K72+2,'EMBI+'!$A:$A,0))),INDEX('EMBI+'!$B:$B,MATCH(Base!$K72+3,'EMBI+'!$A:$A,0)))/100</f>
        <v>1.83</v>
      </c>
      <c r="AL72" s="43"/>
      <c r="AM72" s="28"/>
      <c r="AN72" s="28"/>
    </row>
    <row r="73" spans="1:40" x14ac:dyDescent="0.35">
      <c r="A73">
        <f t="shared" si="35"/>
        <v>71</v>
      </c>
      <c r="B73">
        <f>IF(G73="Bonds",COUNTIF($G$3:G73,"Bonds"),0)</f>
        <v>13</v>
      </c>
      <c r="C73" t="str">
        <f t="shared" si="16"/>
        <v>Braskem4064815/04/2021</v>
      </c>
      <c r="D73">
        <f t="shared" si="17"/>
        <v>6</v>
      </c>
      <c r="E73" s="43" t="s">
        <v>113</v>
      </c>
      <c r="F73" s="43" t="s">
        <v>110</v>
      </c>
      <c r="G73" s="43" t="s">
        <v>34</v>
      </c>
      <c r="H73">
        <f t="shared" si="28"/>
        <v>1</v>
      </c>
      <c r="I73" s="43"/>
      <c r="J73" s="34">
        <f t="shared" si="26"/>
        <v>10</v>
      </c>
      <c r="K73" s="28">
        <v>40648</v>
      </c>
      <c r="L73" s="28" t="s">
        <v>116</v>
      </c>
      <c r="M73" s="60">
        <f t="shared" si="29"/>
        <v>10.008219178082191</v>
      </c>
      <c r="N73" s="4">
        <f t="shared" si="30"/>
        <v>1</v>
      </c>
      <c r="O73" s="43" t="s">
        <v>36</v>
      </c>
      <c r="P73" t="str">
        <f t="shared" si="31"/>
        <v>0</v>
      </c>
      <c r="Q73" s="43"/>
      <c r="R73" s="43"/>
      <c r="S73" s="34">
        <f>IF($V73="USD",INDEX('Dólar Spot'!$B:$B,MATCH(Base!$K73,'Dólar Spot'!$A:$A,0)),"")</f>
        <v>1.5768</v>
      </c>
      <c r="T73" s="44">
        <v>750000000</v>
      </c>
      <c r="U73" s="8">
        <f t="shared" si="32"/>
        <v>11.826000000000001</v>
      </c>
      <c r="V73" s="43" t="s">
        <v>651</v>
      </c>
      <c r="W73" s="45" t="s">
        <v>29</v>
      </c>
      <c r="X73" s="53">
        <v>5.75</v>
      </c>
      <c r="Y73" s="9">
        <f>IF(AND(V73="DI",$W73=100),$X73/100,
IF(AND(V73="DI",$W73&lt;&gt;100,$X73=""),INDEX('Debs %CDI'!$Q:$Q,MATCH(Base!$C73,'Debs %CDI'!$A:$A,0)),
IF($V73="USD",INDEX(Bonds!$AF:$AF,MATCH(Base!$C73,Bonds!$B:$B,0)),
IF($V73="IPCA",INDEX('Debs IPCA'!$Z:$Z,MATCH(Base!$C73,'Debs IPCA'!$A:$A,0))))))</f>
        <v>6.4483573642899472E-3</v>
      </c>
      <c r="Z73" s="43">
        <v>360</v>
      </c>
      <c r="AA73" s="43" t="s">
        <v>37</v>
      </c>
      <c r="AB73" s="43" t="s">
        <v>32</v>
      </c>
      <c r="AC73">
        <f t="shared" si="33"/>
        <v>0</v>
      </c>
      <c r="AD73" s="43" t="s">
        <v>32</v>
      </c>
      <c r="AE73">
        <f t="shared" si="34"/>
        <v>0</v>
      </c>
      <c r="AF73" s="34" t="str" cm="1">
        <f t="array" ref="AF73">INDEX(Ratings!$B$2:$M$40,_xlfn.XMATCH(Base!F73,Ratings!$A$2:$A$40),_xlfn.XMATCH(YEAR(Base!K73),Ratings!$B$1:$M$1))</f>
        <v>BB+</v>
      </c>
      <c r="AG73">
        <f t="shared" si="27"/>
        <v>0</v>
      </c>
      <c r="AH73">
        <f>IFERROR(IFERROR(IFERROR(INDEX('EMBI+'!$B:$B,MATCH(Base!$K73,'EMBI+'!$A:$A,0)),INDEX('EMBI+'!$B:$B,MATCH(Base!$K73+1,'EMBI+'!$A:$A,0))),INDEX('EMBI+'!$B:$B,MATCH(Base!$K73+2,'EMBI+'!$A:$A,0))),INDEX('EMBI+'!$B:$B,MATCH(Base!$K73+3,'EMBI+'!$A:$A,0)))/100</f>
        <v>1.75</v>
      </c>
      <c r="AL73" s="43"/>
      <c r="AM73" s="28"/>
      <c r="AN73" s="28"/>
    </row>
    <row r="74" spans="1:40" x14ac:dyDescent="0.35">
      <c r="A74">
        <f t="shared" si="35"/>
        <v>72</v>
      </c>
      <c r="B74">
        <f>IF(G74="Bonds",COUNTIF($G$3:G74,"Bonds"),0)</f>
        <v>14</v>
      </c>
      <c r="C74" t="str">
        <f t="shared" si="16"/>
        <v>Braskem4094115/04/2021</v>
      </c>
      <c r="D74">
        <f t="shared" si="17"/>
        <v>6</v>
      </c>
      <c r="E74" s="43" t="s">
        <v>113</v>
      </c>
      <c r="F74" s="43" t="s">
        <v>110</v>
      </c>
      <c r="G74" s="43" t="s">
        <v>34</v>
      </c>
      <c r="H74">
        <f t="shared" si="28"/>
        <v>1</v>
      </c>
      <c r="I74" s="43"/>
      <c r="J74" s="34">
        <f t="shared" si="26"/>
        <v>11</v>
      </c>
      <c r="K74" s="28">
        <v>40941</v>
      </c>
      <c r="L74" s="28" t="s">
        <v>116</v>
      </c>
      <c r="M74" s="60">
        <f t="shared" si="29"/>
        <v>9.205479452054794</v>
      </c>
      <c r="N74" s="4">
        <f t="shared" si="30"/>
        <v>1</v>
      </c>
      <c r="O74" s="43" t="s">
        <v>36</v>
      </c>
      <c r="P74" t="str">
        <f t="shared" si="31"/>
        <v>0</v>
      </c>
      <c r="Q74" s="43"/>
      <c r="R74" s="43"/>
      <c r="S74" s="34">
        <f>IF($V74="USD",INDEX('Dólar Spot'!$B:$B,MATCH(Base!$K74,'Dólar Spot'!$A:$A,0)),"")</f>
        <v>1.732</v>
      </c>
      <c r="T74" s="44">
        <v>250000000</v>
      </c>
      <c r="U74" s="8">
        <f t="shared" si="32"/>
        <v>4.33</v>
      </c>
      <c r="V74" s="43" t="s">
        <v>651</v>
      </c>
      <c r="W74" s="45" t="s">
        <v>29</v>
      </c>
      <c r="X74" s="53">
        <v>5.75</v>
      </c>
      <c r="Y74" s="9">
        <f>IF(AND(V74="DI",$W74=100),$X74/100,
IF(AND(V74="DI",$W74&lt;&gt;100,$X74=""),INDEX('Debs %CDI'!$Q:$Q,MATCH(Base!$C74,'Debs %CDI'!$A:$A,0)),
IF($V74="USD",INDEX(Bonds!$AF:$AF,MATCH(Base!$C74,Bonds!$B:$B,0)),
IF($V74="IPCA",INDEX('Debs IPCA'!$Z:$Z,MATCH(Base!$C74,'Debs IPCA'!$A:$A,0))))))</f>
        <v>1.6699915905651563E-2</v>
      </c>
      <c r="Z74" s="43">
        <v>360</v>
      </c>
      <c r="AA74" s="43" t="s">
        <v>37</v>
      </c>
      <c r="AB74" s="43" t="s">
        <v>32</v>
      </c>
      <c r="AC74">
        <f t="shared" si="33"/>
        <v>0</v>
      </c>
      <c r="AD74" s="43" t="s">
        <v>31</v>
      </c>
      <c r="AE74">
        <f t="shared" si="34"/>
        <v>1</v>
      </c>
      <c r="AF74" s="34" t="str" cm="1">
        <f t="array" ref="AF74">INDEX(Ratings!$B$2:$M$40,_xlfn.XMATCH(Base!F74,Ratings!$A$2:$A$40),_xlfn.XMATCH(YEAR(Base!K74),Ratings!$B$1:$M$1))</f>
        <v>BBB-</v>
      </c>
      <c r="AG74">
        <f t="shared" si="27"/>
        <v>1</v>
      </c>
      <c r="AH74">
        <f>IFERROR(IFERROR(IFERROR(INDEX('EMBI+'!$B:$B,MATCH(Base!$K74,'EMBI+'!$A:$A,0)),INDEX('EMBI+'!$B:$B,MATCH(Base!$K74+1,'EMBI+'!$A:$A,0))),INDEX('EMBI+'!$B:$B,MATCH(Base!$K74+2,'EMBI+'!$A:$A,0))),INDEX('EMBI+'!$B:$B,MATCH(Base!$K74+3,'EMBI+'!$A:$A,0)))/100</f>
        <v>2.1800000000000002</v>
      </c>
      <c r="AL74" s="43"/>
      <c r="AM74" s="28"/>
      <c r="AN74" s="28"/>
    </row>
    <row r="75" spans="1:40" x14ac:dyDescent="0.35">
      <c r="A75">
        <f t="shared" si="35"/>
        <v>73</v>
      </c>
      <c r="B75">
        <f>IF(G75="Bonds",COUNTIF($G$3:G75,"Bonds"),0)</f>
        <v>15</v>
      </c>
      <c r="C75" t="str">
        <f t="shared" si="16"/>
        <v>Braskem4377031/01/2030</v>
      </c>
      <c r="D75">
        <f t="shared" si="17"/>
        <v>6</v>
      </c>
      <c r="E75" s="43" t="s">
        <v>117</v>
      </c>
      <c r="F75" s="43" t="s">
        <v>110</v>
      </c>
      <c r="G75" s="43" t="s">
        <v>34</v>
      </c>
      <c r="H75">
        <f t="shared" si="28"/>
        <v>1</v>
      </c>
      <c r="I75" s="43"/>
      <c r="J75" s="34">
        <f t="shared" si="26"/>
        <v>12</v>
      </c>
      <c r="K75" s="28">
        <v>43770</v>
      </c>
      <c r="L75" s="28" t="s">
        <v>118</v>
      </c>
      <c r="M75" s="60">
        <f t="shared" si="29"/>
        <v>10.257534246575343</v>
      </c>
      <c r="N75" s="4">
        <f t="shared" si="30"/>
        <v>1</v>
      </c>
      <c r="O75" s="43" t="s">
        <v>36</v>
      </c>
      <c r="P75" t="str">
        <f t="shared" si="31"/>
        <v>0</v>
      </c>
      <c r="Q75" s="43"/>
      <c r="R75" s="43"/>
      <c r="S75" s="34">
        <f>IF($V75="USD",INDEX('Dólar Spot'!$B:$B,MATCH(Base!$K75,'Dólar Spot'!$A:$A,0)),"")</f>
        <v>3.9780000000000002</v>
      </c>
      <c r="T75" s="44">
        <v>1500000000</v>
      </c>
      <c r="U75" s="8">
        <f t="shared" si="32"/>
        <v>59.67</v>
      </c>
      <c r="V75" s="43" t="s">
        <v>651</v>
      </c>
      <c r="W75" s="45" t="s">
        <v>29</v>
      </c>
      <c r="X75" s="53">
        <v>4.5</v>
      </c>
      <c r="Y75" s="9">
        <f>IF(AND(V75="DI",$W75=100),$X75/100,
IF(AND(V75="DI",$W75&lt;&gt;100,$X75=""),INDEX('Debs %CDI'!$Q:$Q,MATCH(Base!$C75,'Debs %CDI'!$A:$A,0)),
IF($V75="USD",INDEX(Bonds!$AF:$AF,MATCH(Base!$C75,Bonds!$B:$B,0)),
IF($V75="IPCA",INDEX('Debs IPCA'!$Z:$Z,MATCH(Base!$C75,'Debs IPCA'!$A:$A,0))))))</f>
        <v>1.5244251038439627E-2</v>
      </c>
      <c r="Z75" s="43">
        <v>360</v>
      </c>
      <c r="AA75" s="43" t="s">
        <v>37</v>
      </c>
      <c r="AB75" s="43" t="s">
        <v>32</v>
      </c>
      <c r="AC75">
        <f t="shared" si="33"/>
        <v>0</v>
      </c>
      <c r="AD75" s="43" t="s">
        <v>32</v>
      </c>
      <c r="AE75">
        <f t="shared" si="34"/>
        <v>0</v>
      </c>
      <c r="AF75" s="34" t="str" cm="1">
        <f t="array" ref="AF75">INDEX(Ratings!$B$2:$M$40,_xlfn.XMATCH(Base!F75,Ratings!$A$2:$A$40),_xlfn.XMATCH(YEAR(Base!K75),Ratings!$B$1:$M$1))</f>
        <v>BBB-</v>
      </c>
      <c r="AG75">
        <f t="shared" si="27"/>
        <v>1</v>
      </c>
      <c r="AH75">
        <f>IFERROR(IFERROR(IFERROR(INDEX('EMBI+'!$B:$B,MATCH(Base!$K75,'EMBI+'!$A:$A,0)),INDEX('EMBI+'!$B:$B,MATCH(Base!$K75+1,'EMBI+'!$A:$A,0))),INDEX('EMBI+'!$B:$B,MATCH(Base!$K75+2,'EMBI+'!$A:$A,0))),INDEX('EMBI+'!$B:$B,MATCH(Base!$K75+3,'EMBI+'!$A:$A,0)))/100</f>
        <v>2.31</v>
      </c>
      <c r="AL75" s="43"/>
      <c r="AM75" s="28"/>
      <c r="AN75" s="28"/>
    </row>
    <row r="76" spans="1:40" x14ac:dyDescent="0.35">
      <c r="A76">
        <f t="shared" si="35"/>
        <v>74</v>
      </c>
      <c r="B76">
        <f>IF(G76="Bonds",COUNTIF($G$3:G76,"Bonds"),0)</f>
        <v>16</v>
      </c>
      <c r="C76" t="str">
        <f t="shared" si="16"/>
        <v>Braskem4301810/01/2028</v>
      </c>
      <c r="D76">
        <f t="shared" si="17"/>
        <v>6</v>
      </c>
      <c r="E76" s="43" t="s">
        <v>117</v>
      </c>
      <c r="F76" s="43" t="s">
        <v>110</v>
      </c>
      <c r="G76" s="43" t="s">
        <v>34</v>
      </c>
      <c r="H76">
        <f t="shared" si="28"/>
        <v>1</v>
      </c>
      <c r="I76" s="43"/>
      <c r="J76" s="34">
        <f t="shared" si="26"/>
        <v>13</v>
      </c>
      <c r="K76" s="28">
        <v>43018</v>
      </c>
      <c r="L76" s="28" t="s">
        <v>119</v>
      </c>
      <c r="M76" s="60">
        <f t="shared" si="29"/>
        <v>10.257534246575343</v>
      </c>
      <c r="N76" s="4">
        <f t="shared" si="30"/>
        <v>1</v>
      </c>
      <c r="O76" s="43" t="s">
        <v>36</v>
      </c>
      <c r="P76" t="str">
        <f t="shared" si="31"/>
        <v>0</v>
      </c>
      <c r="Q76" s="43"/>
      <c r="R76" s="43"/>
      <c r="S76" s="34">
        <f>IF($V76="USD",INDEX('Dólar Spot'!$B:$B,MATCH(Base!$K76,'Dólar Spot'!$A:$A,0)),"")</f>
        <v>3.1682000000000001</v>
      </c>
      <c r="T76" s="44">
        <v>1250000000</v>
      </c>
      <c r="U76" s="8">
        <f t="shared" si="32"/>
        <v>39.602499999999999</v>
      </c>
      <c r="V76" s="43" t="s">
        <v>651</v>
      </c>
      <c r="W76" s="45" t="s">
        <v>29</v>
      </c>
      <c r="X76" s="53">
        <v>4.5</v>
      </c>
      <c r="Y76" s="9">
        <f>IF(AND(V76="DI",$W76=100),$X76/100,
IF(AND(V76="DI",$W76&lt;&gt;100,$X76=""),INDEX('Debs %CDI'!$Q:$Q,MATCH(Base!$C76,'Debs %CDI'!$A:$A,0)),
IF($V76="USD",INDEX(Bonds!$AF:$AF,MATCH(Base!$C76,Bonds!$B:$B,0)),
IF($V76="IPCA",INDEX('Debs IPCA'!$Z:$Z,MATCH(Base!$C76,'Debs IPCA'!$A:$A,0))))))</f>
        <v>4.7333622949210508E-3</v>
      </c>
      <c r="Z76" s="43">
        <v>360</v>
      </c>
      <c r="AA76" s="43" t="s">
        <v>37</v>
      </c>
      <c r="AB76" s="43" t="s">
        <v>32</v>
      </c>
      <c r="AC76">
        <f t="shared" si="33"/>
        <v>0</v>
      </c>
      <c r="AD76" s="43" t="s">
        <v>31</v>
      </c>
      <c r="AE76">
        <f t="shared" si="34"/>
        <v>1</v>
      </c>
      <c r="AF76" s="34" t="str" cm="1">
        <f t="array" ref="AF76">INDEX(Ratings!$B$2:$M$40,_xlfn.XMATCH(Base!F76,Ratings!$A$2:$A$40),_xlfn.XMATCH(YEAR(Base!K76),Ratings!$B$1:$M$1))</f>
        <v>BBB-</v>
      </c>
      <c r="AG76">
        <f t="shared" si="27"/>
        <v>1</v>
      </c>
      <c r="AH76">
        <f>IFERROR(IFERROR(IFERROR(INDEX('EMBI+'!$B:$B,MATCH(Base!$K76,'EMBI+'!$A:$A,0)),INDEX('EMBI+'!$B:$B,MATCH(Base!$K76+1,'EMBI+'!$A:$A,0))),INDEX('EMBI+'!$B:$B,MATCH(Base!$K76+2,'EMBI+'!$A:$A,0))),INDEX('EMBI+'!$B:$B,MATCH(Base!$K76+3,'EMBI+'!$A:$A,0)))/100</f>
        <v>2.48</v>
      </c>
      <c r="AL76" s="43"/>
      <c r="AM76" s="28"/>
      <c r="AN76" s="28"/>
    </row>
    <row r="77" spans="1:40" x14ac:dyDescent="0.35">
      <c r="A77">
        <f t="shared" si="35"/>
        <v>75</v>
      </c>
      <c r="B77">
        <f>IF(G77="Bonds",COUNTIF($G$3:G77,"Bonds"),0)</f>
        <v>17</v>
      </c>
      <c r="C77" t="str">
        <f t="shared" si="16"/>
        <v>Braskem4377031/01/2050</v>
      </c>
      <c r="D77">
        <f t="shared" si="17"/>
        <v>6</v>
      </c>
      <c r="E77" s="43" t="s">
        <v>117</v>
      </c>
      <c r="F77" s="43" t="s">
        <v>110</v>
      </c>
      <c r="G77" s="43" t="s">
        <v>34</v>
      </c>
      <c r="H77">
        <f t="shared" si="28"/>
        <v>1</v>
      </c>
      <c r="I77" s="43"/>
      <c r="J77" s="34">
        <f t="shared" si="26"/>
        <v>14</v>
      </c>
      <c r="K77" s="28">
        <v>43770</v>
      </c>
      <c r="L77" s="28" t="s">
        <v>120</v>
      </c>
      <c r="M77" s="60">
        <f t="shared" si="29"/>
        <v>30.271232876712329</v>
      </c>
      <c r="N77" s="4">
        <f t="shared" si="30"/>
        <v>1</v>
      </c>
      <c r="O77" s="43" t="s">
        <v>36</v>
      </c>
      <c r="P77" t="str">
        <f t="shared" si="31"/>
        <v>0</v>
      </c>
      <c r="Q77" s="43"/>
      <c r="R77" s="43"/>
      <c r="S77" s="34">
        <f>IF($V77="USD",INDEX('Dólar Spot'!$B:$B,MATCH(Base!$K77,'Dólar Spot'!$A:$A,0)),"")</f>
        <v>3.9780000000000002</v>
      </c>
      <c r="T77" s="44">
        <v>750000000</v>
      </c>
      <c r="U77" s="8">
        <f t="shared" si="32"/>
        <v>29.835000000000001</v>
      </c>
      <c r="V77" s="43" t="s">
        <v>651</v>
      </c>
      <c r="W77" s="45" t="s">
        <v>29</v>
      </c>
      <c r="X77" s="53">
        <v>5.875</v>
      </c>
      <c r="Y77" s="9">
        <f>IF(AND(V77="DI",$W77=100),$X77/100,
IF(AND(V77="DI",$W77&lt;&gt;100,$X77=""),INDEX('Debs %CDI'!$Q:$Q,MATCH(Base!$C77,'Debs %CDI'!$A:$A,0)),
IF($V77="USD",INDEX(Bonds!$AF:$AF,MATCH(Base!$C77,Bonds!$B:$B,0)),
IF($V77="IPCA",INDEX('Debs IPCA'!$Z:$Z,MATCH(Base!$C77,'Debs IPCA'!$A:$A,0))))))</f>
        <v>3.4199026263797672E-2</v>
      </c>
      <c r="Z77" s="43">
        <v>360</v>
      </c>
      <c r="AA77" s="43" t="s">
        <v>37</v>
      </c>
      <c r="AB77" s="43" t="s">
        <v>32</v>
      </c>
      <c r="AC77">
        <f t="shared" si="33"/>
        <v>0</v>
      </c>
      <c r="AD77" s="43" t="s">
        <v>32</v>
      </c>
      <c r="AE77">
        <f t="shared" si="34"/>
        <v>0</v>
      </c>
      <c r="AF77" s="34" t="str" cm="1">
        <f t="array" ref="AF77">INDEX(Ratings!$B$2:$M$40,_xlfn.XMATCH(Base!F77,Ratings!$A$2:$A$40),_xlfn.XMATCH(YEAR(Base!K77),Ratings!$B$1:$M$1))</f>
        <v>BBB-</v>
      </c>
      <c r="AG77">
        <f t="shared" si="27"/>
        <v>1</v>
      </c>
      <c r="AH77">
        <f>IFERROR(IFERROR(IFERROR(INDEX('EMBI+'!$B:$B,MATCH(Base!$K77,'EMBI+'!$A:$A,0)),INDEX('EMBI+'!$B:$B,MATCH(Base!$K77+1,'EMBI+'!$A:$A,0))),INDEX('EMBI+'!$B:$B,MATCH(Base!$K77+2,'EMBI+'!$A:$A,0))),INDEX('EMBI+'!$B:$B,MATCH(Base!$K77+3,'EMBI+'!$A:$A,0)))/100</f>
        <v>2.31</v>
      </c>
      <c r="AL77" s="43"/>
      <c r="AM77" s="28"/>
      <c r="AN77" s="28"/>
    </row>
    <row r="78" spans="1:40" x14ac:dyDescent="0.35">
      <c r="A78">
        <f t="shared" si="35"/>
        <v>76</v>
      </c>
      <c r="B78">
        <f>IF(G78="Bonds",COUNTIF($G$3:G78,"Bonds"),0)</f>
        <v>18</v>
      </c>
      <c r="C78" t="str">
        <f t="shared" si="16"/>
        <v>Braskem4403523/01/2081</v>
      </c>
      <c r="D78">
        <f t="shared" si="17"/>
        <v>6</v>
      </c>
      <c r="E78" s="43" t="s">
        <v>117</v>
      </c>
      <c r="F78" s="43" t="s">
        <v>110</v>
      </c>
      <c r="G78" s="43" t="s">
        <v>34</v>
      </c>
      <c r="H78">
        <f t="shared" si="28"/>
        <v>1</v>
      </c>
      <c r="I78" s="43"/>
      <c r="J78" s="34">
        <f t="shared" si="26"/>
        <v>15</v>
      </c>
      <c r="K78" s="28">
        <v>44035</v>
      </c>
      <c r="L78" s="28" t="s">
        <v>121</v>
      </c>
      <c r="M78" s="60">
        <f t="shared" si="29"/>
        <v>60.545205479452058</v>
      </c>
      <c r="N78" s="4">
        <f t="shared" si="30"/>
        <v>1</v>
      </c>
      <c r="O78" s="43" t="s">
        <v>36</v>
      </c>
      <c r="P78" t="str">
        <f t="shared" si="31"/>
        <v>0</v>
      </c>
      <c r="Q78" s="43"/>
      <c r="R78" s="43"/>
      <c r="S78" s="34">
        <f>IF($V78="USD",INDEX('Dólar Spot'!$B:$B,MATCH(Base!$K78,'Dólar Spot'!$A:$A,0)),"")</f>
        <v>5.1641000000000004</v>
      </c>
      <c r="T78" s="44">
        <v>600000000</v>
      </c>
      <c r="U78" s="8">
        <f t="shared" si="32"/>
        <v>30.9846</v>
      </c>
      <c r="V78" s="43" t="s">
        <v>651</v>
      </c>
      <c r="W78" s="45" t="s">
        <v>29</v>
      </c>
      <c r="X78" s="53">
        <v>8.5</v>
      </c>
      <c r="Y78" s="9">
        <f>IF(AND(V78="DI",$W78=100),$X78/100,
IF(AND(V78="DI",$W78&lt;&gt;100,$X78=""),INDEX('Debs %CDI'!$Q:$Q,MATCH(Base!$C78,'Debs %CDI'!$A:$A,0)),
IF($V78="USD",INDEX(Bonds!$AF:$AF,MATCH(Base!$C78,Bonds!$B:$B,0)),
IF($V78="IPCA",INDEX('Debs IPCA'!$Z:$Z,MATCH(Base!$C78,'Debs IPCA'!$A:$A,0))))))</f>
        <v>7.0491951816031628E-2</v>
      </c>
      <c r="Z78" s="43">
        <v>360</v>
      </c>
      <c r="AA78" s="43" t="s">
        <v>37</v>
      </c>
      <c r="AB78" s="43" t="s">
        <v>32</v>
      </c>
      <c r="AC78">
        <f t="shared" si="33"/>
        <v>0</v>
      </c>
      <c r="AD78" s="43" t="s">
        <v>31</v>
      </c>
      <c r="AE78">
        <f t="shared" si="34"/>
        <v>1</v>
      </c>
      <c r="AF78" s="34" t="str" cm="1">
        <f t="array" ref="AF78">INDEX(Ratings!$B$2:$M$40,_xlfn.XMATCH(Base!F78,Ratings!$A$2:$A$40),_xlfn.XMATCH(YEAR(Base!K78),Ratings!$B$1:$M$1))</f>
        <v>BB+</v>
      </c>
      <c r="AG78">
        <f t="shared" si="27"/>
        <v>0</v>
      </c>
      <c r="AH78">
        <f>IFERROR(IFERROR(IFERROR(INDEX('EMBI+'!$B:$B,MATCH(Base!$K78,'EMBI+'!$A:$A,0)),INDEX('EMBI+'!$B:$B,MATCH(Base!$K78+1,'EMBI+'!$A:$A,0))),INDEX('EMBI+'!$B:$B,MATCH(Base!$K78+2,'EMBI+'!$A:$A,0))),INDEX('EMBI+'!$B:$B,MATCH(Base!$K78+3,'EMBI+'!$A:$A,0)))/100</f>
        <v>3.51</v>
      </c>
      <c r="AL78" s="43"/>
      <c r="AM78" s="28"/>
      <c r="AN78" s="28"/>
    </row>
    <row r="79" spans="1:40" x14ac:dyDescent="0.35">
      <c r="A79">
        <f t="shared" si="35"/>
        <v>77</v>
      </c>
      <c r="B79">
        <f>IF(G79="Bonds",COUNTIF($G$3:G79,"Bonds"),0)</f>
        <v>19</v>
      </c>
      <c r="C79" t="str">
        <f t="shared" ref="C79:C142" si="36">F79&amp;K79&amp;L79</f>
        <v>Braskem4301810/01/2023</v>
      </c>
      <c r="D79">
        <f t="shared" ref="D79:D142" si="37">IF(F79&lt;&gt;F78,D78+1,D78)</f>
        <v>6</v>
      </c>
      <c r="E79" s="43" t="s">
        <v>117</v>
      </c>
      <c r="F79" s="43" t="s">
        <v>110</v>
      </c>
      <c r="G79" s="43" t="s">
        <v>34</v>
      </c>
      <c r="H79">
        <f t="shared" si="28"/>
        <v>1</v>
      </c>
      <c r="I79" s="43"/>
      <c r="J79" s="34">
        <f t="shared" si="26"/>
        <v>16</v>
      </c>
      <c r="K79" s="28">
        <v>43018</v>
      </c>
      <c r="L79" s="28" t="s">
        <v>122</v>
      </c>
      <c r="M79" s="60">
        <f t="shared" si="29"/>
        <v>5.2547945205479456</v>
      </c>
      <c r="N79" s="4">
        <f t="shared" si="30"/>
        <v>1</v>
      </c>
      <c r="O79" s="43" t="s">
        <v>36</v>
      </c>
      <c r="P79" t="str">
        <f t="shared" si="31"/>
        <v>0</v>
      </c>
      <c r="Q79" s="43"/>
      <c r="R79" s="43"/>
      <c r="S79" s="34">
        <f>IF($V79="USD",INDEX('Dólar Spot'!$B:$B,MATCH(Base!$K79,'Dólar Spot'!$A:$A,0)),"")</f>
        <v>3.1682000000000001</v>
      </c>
      <c r="T79" s="44">
        <v>500000000</v>
      </c>
      <c r="U79" s="8">
        <f t="shared" si="32"/>
        <v>15.840999999999999</v>
      </c>
      <c r="V79" s="43" t="s">
        <v>651</v>
      </c>
      <c r="W79" s="45" t="s">
        <v>29</v>
      </c>
      <c r="X79" s="53">
        <v>3.5</v>
      </c>
      <c r="Y79" s="9">
        <f>IF(AND(V79="DI",$W79=100),$X79/100,
IF(AND(V79="DI",$W79&lt;&gt;100,$X79=""),INDEX('Debs %CDI'!$Q:$Q,MATCH(Base!$C79,'Debs %CDI'!$A:$A,0)),
IF($V79="USD",INDEX(Bonds!$AF:$AF,MATCH(Base!$C79,Bonds!$B:$B,0)),
IF($V79="IPCA",INDEX('Debs IPCA'!$Z:$Z,MATCH(Base!$C79,'Debs IPCA'!$A:$A,0))))))</f>
        <v>1.0791639435281386E-3</v>
      </c>
      <c r="Z79" s="43">
        <v>360</v>
      </c>
      <c r="AA79" s="43" t="s">
        <v>37</v>
      </c>
      <c r="AB79" s="43" t="s">
        <v>32</v>
      </c>
      <c r="AC79">
        <f t="shared" si="33"/>
        <v>0</v>
      </c>
      <c r="AD79" s="43" t="s">
        <v>31</v>
      </c>
      <c r="AE79">
        <f t="shared" si="34"/>
        <v>1</v>
      </c>
      <c r="AF79" s="34" t="str" cm="1">
        <f t="array" ref="AF79">INDEX(Ratings!$B$2:$M$40,_xlfn.XMATCH(Base!F79,Ratings!$A$2:$A$40),_xlfn.XMATCH(YEAR(Base!K79),Ratings!$B$1:$M$1))</f>
        <v>BBB-</v>
      </c>
      <c r="AG79">
        <f t="shared" si="27"/>
        <v>1</v>
      </c>
      <c r="AH79">
        <f>IFERROR(IFERROR(IFERROR(INDEX('EMBI+'!$B:$B,MATCH(Base!$K79,'EMBI+'!$A:$A,0)),INDEX('EMBI+'!$B:$B,MATCH(Base!$K79+1,'EMBI+'!$A:$A,0))),INDEX('EMBI+'!$B:$B,MATCH(Base!$K79+2,'EMBI+'!$A:$A,0))),INDEX('EMBI+'!$B:$B,MATCH(Base!$K79+3,'EMBI+'!$A:$A,0)))/100</f>
        <v>2.48</v>
      </c>
      <c r="AL79" s="43"/>
      <c r="AM79" s="28"/>
      <c r="AN79" s="28"/>
    </row>
    <row r="80" spans="1:40" x14ac:dyDescent="0.35">
      <c r="A80">
        <f t="shared" si="35"/>
        <v>78</v>
      </c>
      <c r="B80">
        <f>IF(G80="Bonds",COUNTIF($G$3:G80,"Bonds"),0)</f>
        <v>0</v>
      </c>
      <c r="C80" t="str">
        <f t="shared" si="36"/>
        <v>BRF4358544681</v>
      </c>
      <c r="D80">
        <f t="shared" si="37"/>
        <v>7</v>
      </c>
      <c r="E80" s="43" t="s">
        <v>123</v>
      </c>
      <c r="F80" s="43" t="s">
        <v>124</v>
      </c>
      <c r="G80" s="43" t="s">
        <v>25</v>
      </c>
      <c r="H80">
        <f t="shared" si="28"/>
        <v>0</v>
      </c>
      <c r="I80" s="43" t="s">
        <v>125</v>
      </c>
      <c r="J80" s="34">
        <f t="shared" si="26"/>
        <v>1</v>
      </c>
      <c r="K80" s="28">
        <v>43585</v>
      </c>
      <c r="L80" s="28">
        <v>44681</v>
      </c>
      <c r="M80" s="60">
        <f t="shared" si="29"/>
        <v>3.0027397260273974</v>
      </c>
      <c r="N80" s="4">
        <f t="shared" si="30"/>
        <v>0</v>
      </c>
      <c r="O80" s="43" t="s">
        <v>44</v>
      </c>
      <c r="P80" t="str">
        <f t="shared" si="31"/>
        <v>0</v>
      </c>
      <c r="Q80" s="44">
        <v>70000</v>
      </c>
      <c r="R80" s="43">
        <v>1000</v>
      </c>
      <c r="S80" s="34" t="str">
        <f>IF($V80="USD",INDEX('Dólar Spot'!$B:$B,MATCH(Base!$K80,'Dólar Spot'!$A:$A,0)),"")</f>
        <v/>
      </c>
      <c r="T80" s="4">
        <f>Q80*R80</f>
        <v>70000000</v>
      </c>
      <c r="U80" s="8">
        <f t="shared" si="32"/>
        <v>0.7</v>
      </c>
      <c r="V80" s="43" t="s">
        <v>41</v>
      </c>
      <c r="W80" s="45">
        <v>100</v>
      </c>
      <c r="X80" s="46">
        <v>0.8</v>
      </c>
      <c r="Y80" s="9">
        <f>IF(AND(V80="DI",$W80=100),$X80/100,
IF(AND(V80="DI",$W80&lt;&gt;100,$X80=""),INDEX('Debs %CDI'!$Q:$Q,MATCH(Base!$C80,'Debs %CDI'!$A:$A,0)),
IF($V80="USD",INDEX(Bonds!$AF:$AF,MATCH(Base!$C80,Bonds!$B:$B,0)),
IF($V80="IPCA",INDEX('Debs IPCA'!$Z:$Z,MATCH(Base!$C80,'Debs IPCA'!$A:$A,0))))))</f>
        <v>8.0000000000000002E-3</v>
      </c>
      <c r="Z80" s="43">
        <v>252</v>
      </c>
      <c r="AA80" s="43" t="s">
        <v>30</v>
      </c>
      <c r="AB80" s="43" t="s">
        <v>32</v>
      </c>
      <c r="AC80">
        <f t="shared" si="33"/>
        <v>0</v>
      </c>
      <c r="AD80" s="43" t="s">
        <v>31</v>
      </c>
      <c r="AE80">
        <f t="shared" si="34"/>
        <v>1</v>
      </c>
      <c r="AF80" s="34" t="str" cm="1">
        <f t="array" ref="AF80">INDEX(Ratings!$B$2:$M$40,_xlfn.XMATCH(Base!F80,Ratings!$A$2:$A$40),_xlfn.XMATCH(YEAR(Base!K80),Ratings!$B$1:$M$1))</f>
        <v>BB</v>
      </c>
      <c r="AG80">
        <f t="shared" si="27"/>
        <v>0</v>
      </c>
      <c r="AH80">
        <f>IFERROR(IFERROR(IFERROR(INDEX('EMBI+'!$B:$B,MATCH(Base!$K80,'EMBI+'!$A:$A,0)),INDEX('EMBI+'!$B:$B,MATCH(Base!$K80+1,'EMBI+'!$A:$A,0))),INDEX('EMBI+'!$B:$B,MATCH(Base!$K80+2,'EMBI+'!$A:$A,0))),INDEX('EMBI+'!$B:$B,MATCH(Base!$K80+3,'EMBI+'!$A:$A,0)))/100</f>
        <v>2.52</v>
      </c>
      <c r="AL80" s="43"/>
      <c r="AM80" s="28"/>
      <c r="AN80" s="28"/>
    </row>
    <row r="81" spans="1:40" x14ac:dyDescent="0.35">
      <c r="A81">
        <f t="shared" si="35"/>
        <v>79</v>
      </c>
      <c r="B81">
        <f>IF(G81="Bonds",COUNTIF($G$3:G81,"Bonds"),0)</f>
        <v>0</v>
      </c>
      <c r="C81" t="str">
        <f t="shared" si="36"/>
        <v>BRF4358546142</v>
      </c>
      <c r="D81">
        <f t="shared" si="37"/>
        <v>7</v>
      </c>
      <c r="E81" s="43" t="s">
        <v>123</v>
      </c>
      <c r="F81" s="43" t="s">
        <v>124</v>
      </c>
      <c r="G81" s="43" t="s">
        <v>25</v>
      </c>
      <c r="H81">
        <f t="shared" si="28"/>
        <v>0</v>
      </c>
      <c r="I81" s="43" t="s">
        <v>126</v>
      </c>
      <c r="J81" s="34">
        <f t="shared" si="26"/>
        <v>2</v>
      </c>
      <c r="K81" s="28">
        <v>43585</v>
      </c>
      <c r="L81" s="28">
        <v>46142</v>
      </c>
      <c r="M81" s="60">
        <f t="shared" si="29"/>
        <v>7.0054794520547947</v>
      </c>
      <c r="N81" s="4">
        <f t="shared" si="30"/>
        <v>1</v>
      </c>
      <c r="O81" s="43" t="s">
        <v>44</v>
      </c>
      <c r="P81" t="str">
        <f t="shared" si="31"/>
        <v>0</v>
      </c>
      <c r="Q81" s="44">
        <v>411732</v>
      </c>
      <c r="R81" s="43">
        <v>1000</v>
      </c>
      <c r="S81" s="34" t="str">
        <f>IF($V81="USD",INDEX('Dólar Spot'!$B:$B,MATCH(Base!$K81,'Dólar Spot'!$A:$A,0)),"")</f>
        <v/>
      </c>
      <c r="T81" s="4">
        <f>Q81*R81</f>
        <v>411732000</v>
      </c>
      <c r="U81" s="8">
        <f t="shared" si="32"/>
        <v>4.1173200000000003</v>
      </c>
      <c r="V81" s="43" t="s">
        <v>28</v>
      </c>
      <c r="W81" s="45" t="s">
        <v>29</v>
      </c>
      <c r="X81" s="46">
        <v>5.5</v>
      </c>
      <c r="Y81" s="9">
        <f>IF(AND(V81="DI",$W81=100),$X81/100,
IF(AND(V81="DI",$W81&lt;&gt;100,$X81=""),INDEX('Debs %CDI'!$Q:$Q,MATCH(Base!$C81,'Debs %CDI'!$A:$A,0)),
IF($V81="USD",INDEX(Bonds!$AF:$AF,MATCH(Base!$C81,Bonds!$B:$B,0)),
IF($V81="IPCA",INDEX('Debs IPCA'!$Z:$Z,MATCH(Base!$C81,'Debs IPCA'!$A:$A,0))))))</f>
        <v>2.6438609515595513E-2</v>
      </c>
      <c r="Z81" s="43">
        <v>252</v>
      </c>
      <c r="AA81" s="43" t="s">
        <v>30</v>
      </c>
      <c r="AB81" s="43" t="s">
        <v>32</v>
      </c>
      <c r="AC81">
        <f t="shared" si="33"/>
        <v>0</v>
      </c>
      <c r="AD81" s="43" t="s">
        <v>31</v>
      </c>
      <c r="AE81">
        <f t="shared" si="34"/>
        <v>1</v>
      </c>
      <c r="AF81" s="34" t="str" cm="1">
        <f t="array" ref="AF81">INDEX(Ratings!$B$2:$M$40,_xlfn.XMATCH(Base!F81,Ratings!$A$2:$A$40),_xlfn.XMATCH(YEAR(Base!K81),Ratings!$B$1:$M$1))</f>
        <v>BB</v>
      </c>
      <c r="AG81">
        <f t="shared" si="27"/>
        <v>0</v>
      </c>
      <c r="AH81">
        <f>IFERROR(IFERROR(IFERROR(INDEX('EMBI+'!$B:$B,MATCH(Base!$K81,'EMBI+'!$A:$A,0)),INDEX('EMBI+'!$B:$B,MATCH(Base!$K81+1,'EMBI+'!$A:$A,0))),INDEX('EMBI+'!$B:$B,MATCH(Base!$K81+2,'EMBI+'!$A:$A,0))),INDEX('EMBI+'!$B:$B,MATCH(Base!$K81+3,'EMBI+'!$A:$A,0)))/100</f>
        <v>2.52</v>
      </c>
      <c r="AL81" s="43"/>
      <c r="AM81" s="28"/>
      <c r="AN81" s="28"/>
    </row>
    <row r="82" spans="1:40" x14ac:dyDescent="0.35">
      <c r="A82">
        <f t="shared" si="35"/>
        <v>80</v>
      </c>
      <c r="B82">
        <f>IF(G82="Bonds",COUNTIF($G$3:G82,"Bonds"),0)</f>
        <v>0</v>
      </c>
      <c r="C82" t="str">
        <f t="shared" si="36"/>
        <v>BRF4358546142</v>
      </c>
      <c r="D82">
        <f t="shared" si="37"/>
        <v>7</v>
      </c>
      <c r="E82" s="43" t="s">
        <v>123</v>
      </c>
      <c r="F82" s="43" t="s">
        <v>124</v>
      </c>
      <c r="G82" s="43" t="s">
        <v>25</v>
      </c>
      <c r="H82">
        <f t="shared" si="28"/>
        <v>0</v>
      </c>
      <c r="I82" s="43" t="s">
        <v>127</v>
      </c>
      <c r="J82" s="34">
        <f t="shared" si="26"/>
        <v>3</v>
      </c>
      <c r="K82" s="28">
        <v>43585</v>
      </c>
      <c r="L82" s="28">
        <v>46142</v>
      </c>
      <c r="M82" s="60">
        <f t="shared" si="29"/>
        <v>7.0054794520547947</v>
      </c>
      <c r="N82" s="4">
        <f t="shared" si="30"/>
        <v>1</v>
      </c>
      <c r="O82" s="43" t="s">
        <v>44</v>
      </c>
      <c r="P82" t="str">
        <f t="shared" si="31"/>
        <v>0</v>
      </c>
      <c r="Q82" s="44">
        <v>268268</v>
      </c>
      <c r="R82" s="43">
        <v>1000</v>
      </c>
      <c r="S82" s="34" t="str">
        <f>IF($V82="USD",INDEX('Dólar Spot'!$B:$B,MATCH(Base!$K82,'Dólar Spot'!$A:$A,0)),"")</f>
        <v/>
      </c>
      <c r="T82" s="4">
        <f>Q82*R82</f>
        <v>268268000</v>
      </c>
      <c r="U82" s="8">
        <f t="shared" si="32"/>
        <v>2.68268</v>
      </c>
      <c r="V82" s="43" t="s">
        <v>41</v>
      </c>
      <c r="W82" s="45">
        <v>100</v>
      </c>
      <c r="X82" s="46">
        <v>1.45</v>
      </c>
      <c r="Y82" s="9">
        <f>IF(AND(V82="DI",$W82=100),$X82/100,
IF(AND(V82="DI",$W82&lt;&gt;100,$X82=""),INDEX('Debs %CDI'!$Q:$Q,MATCH(Base!$C82,'Debs %CDI'!$A:$A,0)),
IF($V82="USD",INDEX(Bonds!$AF:$AF,MATCH(Base!$C82,Bonds!$B:$B,0)),
IF($V82="IPCA",INDEX('Debs IPCA'!$Z:$Z,MATCH(Base!$C82,'Debs IPCA'!$A:$A,0))))))</f>
        <v>1.4499999999999999E-2</v>
      </c>
      <c r="Z82" s="43">
        <v>252</v>
      </c>
      <c r="AA82" s="43" t="s">
        <v>30</v>
      </c>
      <c r="AB82" s="43" t="s">
        <v>32</v>
      </c>
      <c r="AC82">
        <f t="shared" si="33"/>
        <v>0</v>
      </c>
      <c r="AD82" s="43" t="s">
        <v>31</v>
      </c>
      <c r="AE82">
        <f t="shared" si="34"/>
        <v>1</v>
      </c>
      <c r="AF82" s="34" t="str" cm="1">
        <f t="array" ref="AF82">INDEX(Ratings!$B$2:$M$40,_xlfn.XMATCH(Base!F82,Ratings!$A$2:$A$40),_xlfn.XMATCH(YEAR(Base!K82),Ratings!$B$1:$M$1))</f>
        <v>BB</v>
      </c>
      <c r="AG82">
        <f t="shared" si="27"/>
        <v>0</v>
      </c>
      <c r="AH82">
        <f>IFERROR(IFERROR(IFERROR(INDEX('EMBI+'!$B:$B,MATCH(Base!$K82,'EMBI+'!$A:$A,0)),INDEX('EMBI+'!$B:$B,MATCH(Base!$K82+1,'EMBI+'!$A:$A,0))),INDEX('EMBI+'!$B:$B,MATCH(Base!$K82+2,'EMBI+'!$A:$A,0))),INDEX('EMBI+'!$B:$B,MATCH(Base!$K82+3,'EMBI+'!$A:$A,0)))/100</f>
        <v>2.52</v>
      </c>
      <c r="AL82" s="43"/>
      <c r="AM82" s="28"/>
      <c r="AN82" s="28"/>
    </row>
    <row r="83" spans="1:40" x14ac:dyDescent="0.35">
      <c r="A83">
        <f t="shared" si="35"/>
        <v>81</v>
      </c>
      <c r="B83">
        <f>IF(G83="Bonds",COUNTIF($G$3:G83,"Bonds"),0)</f>
        <v>20</v>
      </c>
      <c r="C83" t="str">
        <f t="shared" si="36"/>
        <v>BRF4264229/09/2026</v>
      </c>
      <c r="D83">
        <f t="shared" si="37"/>
        <v>7</v>
      </c>
      <c r="E83" s="43" t="s">
        <v>128</v>
      </c>
      <c r="F83" s="43" t="s">
        <v>124</v>
      </c>
      <c r="G83" s="43" t="s">
        <v>34</v>
      </c>
      <c r="H83">
        <f t="shared" si="28"/>
        <v>1</v>
      </c>
      <c r="I83" s="43"/>
      <c r="J83" s="34">
        <f t="shared" si="26"/>
        <v>4</v>
      </c>
      <c r="K83" s="28">
        <v>42642</v>
      </c>
      <c r="L83" s="28" t="s">
        <v>129</v>
      </c>
      <c r="M83" s="60">
        <f t="shared" si="29"/>
        <v>10.005479452054795</v>
      </c>
      <c r="N83" s="4">
        <f t="shared" si="30"/>
        <v>1</v>
      </c>
      <c r="O83" s="43" t="s">
        <v>36</v>
      </c>
      <c r="P83" t="str">
        <f t="shared" si="31"/>
        <v>0</v>
      </c>
      <c r="Q83" s="43"/>
      <c r="R83" s="43"/>
      <c r="S83" s="34">
        <f>IF($V83="USD",INDEX('Dólar Spot'!$B:$B,MATCH(Base!$K83,'Dólar Spot'!$A:$A,0)),"")</f>
        <v>3.2229000000000001</v>
      </c>
      <c r="T83" s="44">
        <v>500000000</v>
      </c>
      <c r="U83" s="8">
        <f t="shared" si="32"/>
        <v>16.1145</v>
      </c>
      <c r="V83" s="43" t="s">
        <v>651</v>
      </c>
      <c r="W83" s="45" t="s">
        <v>29</v>
      </c>
      <c r="X83" s="53">
        <v>4.3499999999999996</v>
      </c>
      <c r="Y83" s="9">
        <f>IF(AND(V83="DI",$W83=100),$X83/100,
IF(AND(V83="DI",$W83&lt;&gt;100,$X83=""),INDEX('Debs %CDI'!$Q:$Q,MATCH(Base!$C83,'Debs %CDI'!$A:$A,0)),
IF($V83="USD",INDEX(Bonds!$AF:$AF,MATCH(Base!$C83,Bonds!$B:$B,0)),
IF($V83="IPCA",INDEX('Debs IPCA'!$Z:$Z,MATCH(Base!$C83,'Debs IPCA'!$A:$A,0))))))</f>
        <v>-3.8286906505957674E-4</v>
      </c>
      <c r="Z83" s="43">
        <v>360</v>
      </c>
      <c r="AA83" s="43" t="s">
        <v>37</v>
      </c>
      <c r="AB83" s="43" t="s">
        <v>32</v>
      </c>
      <c r="AC83">
        <f t="shared" si="33"/>
        <v>0</v>
      </c>
      <c r="AD83" s="43" t="s">
        <v>32</v>
      </c>
      <c r="AE83">
        <f t="shared" si="34"/>
        <v>0</v>
      </c>
      <c r="AF83" s="34" t="str" cm="1">
        <f t="array" ref="AF83">INDEX(Ratings!$B$2:$M$40,_xlfn.XMATCH(Base!F83,Ratings!$A$2:$A$40),_xlfn.XMATCH(YEAR(Base!K83),Ratings!$B$1:$M$1))</f>
        <v>BBB</v>
      </c>
      <c r="AG83">
        <f t="shared" si="27"/>
        <v>1</v>
      </c>
      <c r="AH83">
        <f>IFERROR(IFERROR(IFERROR(INDEX('EMBI+'!$B:$B,MATCH(Base!$K83,'EMBI+'!$A:$A,0)),INDEX('EMBI+'!$B:$B,MATCH(Base!$K83+1,'EMBI+'!$A:$A,0))),INDEX('EMBI+'!$B:$B,MATCH(Base!$K83+2,'EMBI+'!$A:$A,0))),INDEX('EMBI+'!$B:$B,MATCH(Base!$K83+3,'EMBI+'!$A:$A,0)))/100</f>
        <v>3.18</v>
      </c>
      <c r="AL83" s="43"/>
      <c r="AM83" s="28"/>
      <c r="AN83" s="28"/>
    </row>
    <row r="84" spans="1:40" x14ac:dyDescent="0.35">
      <c r="A84">
        <f t="shared" si="35"/>
        <v>82</v>
      </c>
      <c r="B84">
        <f>IF(G84="Bonds",COUNTIF($G$3:G84,"Bonds"),0)</f>
        <v>21</v>
      </c>
      <c r="C84" t="str">
        <f t="shared" si="36"/>
        <v>BRF4373224/01/2030</v>
      </c>
      <c r="D84">
        <f t="shared" si="37"/>
        <v>7</v>
      </c>
      <c r="E84" s="43" t="s">
        <v>130</v>
      </c>
      <c r="F84" s="43" t="s">
        <v>124</v>
      </c>
      <c r="G84" s="43" t="s">
        <v>34</v>
      </c>
      <c r="H84">
        <f t="shared" si="28"/>
        <v>1</v>
      </c>
      <c r="I84" s="43"/>
      <c r="J84" s="34">
        <f t="shared" si="26"/>
        <v>5</v>
      </c>
      <c r="K84" s="28">
        <v>43732</v>
      </c>
      <c r="L84" s="28" t="s">
        <v>131</v>
      </c>
      <c r="M84" s="60">
        <f t="shared" si="29"/>
        <v>10.342465753424657</v>
      </c>
      <c r="N84" s="4">
        <f t="shared" si="30"/>
        <v>1</v>
      </c>
      <c r="O84" s="43" t="s">
        <v>29</v>
      </c>
      <c r="P84" t="str">
        <f t="shared" si="31"/>
        <v>0</v>
      </c>
      <c r="Q84" s="43"/>
      <c r="R84" s="43"/>
      <c r="S84" s="34">
        <f>IF($V84="USD",INDEX('Dólar Spot'!$B:$B,MATCH(Base!$K84,'Dólar Spot'!$A:$A,0)),"")</f>
        <v>4.1715</v>
      </c>
      <c r="T84" s="44">
        <v>750000000</v>
      </c>
      <c r="U84" s="8">
        <f t="shared" si="32"/>
        <v>31.286249999999999</v>
      </c>
      <c r="V84" s="43" t="s">
        <v>651</v>
      </c>
      <c r="W84" s="45" t="s">
        <v>29</v>
      </c>
      <c r="X84" s="53">
        <v>4.875</v>
      </c>
      <c r="Y84" s="9">
        <f>IF(AND(V84="DI",$W84=100),$X84/100,
IF(AND(V84="DI",$W84&lt;&gt;100,$X84=""),INDEX('Debs %CDI'!$Q:$Q,MATCH(Base!$C84,'Debs %CDI'!$A:$A,0)),
IF($V84="USD",INDEX(Bonds!$AF:$AF,MATCH(Base!$C84,Bonds!$B:$B,0)),
IF($V84="IPCA",INDEX('Debs IPCA'!$Z:$Z,MATCH(Base!$C84,'Debs IPCA'!$A:$A,0))))))</f>
        <v>2.11059573457959E-2</v>
      </c>
      <c r="Z84" s="43">
        <v>360</v>
      </c>
      <c r="AA84" s="43" t="s">
        <v>37</v>
      </c>
      <c r="AB84" s="43" t="s">
        <v>32</v>
      </c>
      <c r="AC84">
        <f t="shared" si="33"/>
        <v>0</v>
      </c>
      <c r="AD84" s="43" t="s">
        <v>31</v>
      </c>
      <c r="AE84">
        <f t="shared" si="34"/>
        <v>1</v>
      </c>
      <c r="AF84" s="34" t="str" cm="1">
        <f t="array" ref="AF84">INDEX(Ratings!$B$2:$M$40,_xlfn.XMATCH(Base!F84,Ratings!$A$2:$A$40),_xlfn.XMATCH(YEAR(Base!K84),Ratings!$B$1:$M$1))</f>
        <v>BB</v>
      </c>
      <c r="AG84">
        <f t="shared" si="27"/>
        <v>0</v>
      </c>
      <c r="AH84">
        <f>IFERROR(IFERROR(IFERROR(INDEX('EMBI+'!$B:$B,MATCH(Base!$K84,'EMBI+'!$A:$A,0)),INDEX('EMBI+'!$B:$B,MATCH(Base!$K84+1,'EMBI+'!$A:$A,0))),INDEX('EMBI+'!$B:$B,MATCH(Base!$K84+2,'EMBI+'!$A:$A,0))),INDEX('EMBI+'!$B:$B,MATCH(Base!$K84+3,'EMBI+'!$A:$A,0)))/100</f>
        <v>2.4300000000000002</v>
      </c>
      <c r="AL84" s="43"/>
      <c r="AM84" s="28"/>
      <c r="AN84" s="28"/>
    </row>
    <row r="85" spans="1:40" x14ac:dyDescent="0.35">
      <c r="A85">
        <f t="shared" si="35"/>
        <v>83</v>
      </c>
      <c r="B85">
        <f>IF(G85="Bonds",COUNTIF($G$3:G85,"Bonds"),0)</f>
        <v>22</v>
      </c>
      <c r="C85" t="str">
        <f t="shared" si="36"/>
        <v>BRF4409521/09/2050</v>
      </c>
      <c r="D85">
        <f t="shared" si="37"/>
        <v>7</v>
      </c>
      <c r="E85" s="43" t="s">
        <v>130</v>
      </c>
      <c r="F85" s="43" t="s">
        <v>124</v>
      </c>
      <c r="G85" s="43" t="s">
        <v>34</v>
      </c>
      <c r="H85">
        <f t="shared" si="28"/>
        <v>1</v>
      </c>
      <c r="I85" s="43"/>
      <c r="J85" s="34">
        <f t="shared" si="26"/>
        <v>6</v>
      </c>
      <c r="K85" s="28">
        <v>44095</v>
      </c>
      <c r="L85" s="28" t="s">
        <v>132</v>
      </c>
      <c r="M85" s="60">
        <f t="shared" si="29"/>
        <v>30.019178082191782</v>
      </c>
      <c r="N85" s="4">
        <f t="shared" si="30"/>
        <v>1</v>
      </c>
      <c r="O85" s="43" t="s">
        <v>29</v>
      </c>
      <c r="P85" t="str">
        <f t="shared" si="31"/>
        <v>0</v>
      </c>
      <c r="Q85" s="43"/>
      <c r="R85" s="43"/>
      <c r="S85" s="34">
        <f>IF($V85="USD",INDEX('Dólar Spot'!$B:$B,MATCH(Base!$K85,'Dólar Spot'!$A:$A,0)),"")</f>
        <v>5.4433999999999996</v>
      </c>
      <c r="T85" s="44">
        <v>500000000</v>
      </c>
      <c r="U85" s="8">
        <f t="shared" si="32"/>
        <v>27.216999999999999</v>
      </c>
      <c r="V85" s="43" t="s">
        <v>651</v>
      </c>
      <c r="W85" s="45" t="s">
        <v>29</v>
      </c>
      <c r="X85" s="53">
        <v>5.75</v>
      </c>
      <c r="Y85" s="9">
        <f>IF(AND(V85="DI",$W85=100),$X85/100,
IF(AND(V85="DI",$W85&lt;&gt;100,$X85=""),INDEX('Debs %CDI'!$Q:$Q,MATCH(Base!$C85,'Debs %CDI'!$A:$A,0)),
IF($V85="USD",INDEX(Bonds!$AF:$AF,MATCH(Base!$C85,Bonds!$B:$B,0)),
IF($V85="IPCA",INDEX('Debs IPCA'!$Z:$Z,MATCH(Base!$C85,'Debs IPCA'!$A:$A,0))))))</f>
        <v>4.023753387741702E-2</v>
      </c>
      <c r="Z85" s="43">
        <v>360</v>
      </c>
      <c r="AA85" s="43" t="s">
        <v>37</v>
      </c>
      <c r="AB85" s="43" t="s">
        <v>32</v>
      </c>
      <c r="AC85">
        <f t="shared" si="33"/>
        <v>0</v>
      </c>
      <c r="AD85" s="43" t="s">
        <v>31</v>
      </c>
      <c r="AE85">
        <f t="shared" si="34"/>
        <v>1</v>
      </c>
      <c r="AF85" s="34" t="str" cm="1">
        <f t="array" ref="AF85">INDEX(Ratings!$B$2:$M$40,_xlfn.XMATCH(Base!F85,Ratings!$A$2:$A$40),_xlfn.XMATCH(YEAR(Base!K85),Ratings!$B$1:$M$1))</f>
        <v>BB</v>
      </c>
      <c r="AG85">
        <f t="shared" si="27"/>
        <v>0</v>
      </c>
      <c r="AH85">
        <f>IFERROR(IFERROR(IFERROR(INDEX('EMBI+'!$B:$B,MATCH(Base!$K85,'EMBI+'!$A:$A,0)),INDEX('EMBI+'!$B:$B,MATCH(Base!$K85+1,'EMBI+'!$A:$A,0))),INDEX('EMBI+'!$B:$B,MATCH(Base!$K85+2,'EMBI+'!$A:$A,0))),INDEX('EMBI+'!$B:$B,MATCH(Base!$K85+3,'EMBI+'!$A:$A,0)))/100</f>
        <v>3.27</v>
      </c>
      <c r="AL85" s="43"/>
      <c r="AM85" s="28"/>
      <c r="AN85" s="28"/>
    </row>
    <row r="86" spans="1:40" x14ac:dyDescent="0.35">
      <c r="A86">
        <f t="shared" si="35"/>
        <v>84</v>
      </c>
      <c r="B86">
        <f>IF(G86="Bonds",COUNTIF($G$3:G86,"Bonds"),0)</f>
        <v>23</v>
      </c>
      <c r="C86" t="str">
        <f t="shared" si="36"/>
        <v>BRF4178122/05/2024</v>
      </c>
      <c r="D86">
        <f t="shared" si="37"/>
        <v>7</v>
      </c>
      <c r="E86" s="43" t="s">
        <v>130</v>
      </c>
      <c r="F86" s="43" t="s">
        <v>124</v>
      </c>
      <c r="G86" s="43" t="s">
        <v>34</v>
      </c>
      <c r="H86">
        <f t="shared" si="28"/>
        <v>1</v>
      </c>
      <c r="I86" s="43"/>
      <c r="J86" s="34">
        <f t="shared" si="26"/>
        <v>7</v>
      </c>
      <c r="K86" s="28">
        <v>41781</v>
      </c>
      <c r="L86" s="28" t="s">
        <v>133</v>
      </c>
      <c r="M86" s="60">
        <f t="shared" si="29"/>
        <v>10.008219178082191</v>
      </c>
      <c r="N86" s="4">
        <f t="shared" si="30"/>
        <v>1</v>
      </c>
      <c r="O86" s="43" t="s">
        <v>29</v>
      </c>
      <c r="P86" t="str">
        <f t="shared" si="31"/>
        <v>0</v>
      </c>
      <c r="Q86" s="43"/>
      <c r="R86" s="43"/>
      <c r="S86" s="34">
        <f>IF($V86="USD",INDEX('Dólar Spot'!$B:$B,MATCH(Base!$K86,'Dólar Spot'!$A:$A,0)),"")</f>
        <v>2.2124999999999999</v>
      </c>
      <c r="T86" s="44">
        <v>500000000</v>
      </c>
      <c r="U86" s="8">
        <f t="shared" si="32"/>
        <v>11.0625</v>
      </c>
      <c r="V86" s="43" t="s">
        <v>651</v>
      </c>
      <c r="W86" s="45" t="s">
        <v>29</v>
      </c>
      <c r="X86" s="53">
        <v>4.75</v>
      </c>
      <c r="Y86" s="9">
        <f>IF(AND(V86="DI",$W86=100),$X86/100,
IF(AND(V86="DI",$W86&lt;&gt;100,$X86=""),INDEX('Debs %CDI'!$Q:$Q,MATCH(Base!$C86,'Debs %CDI'!$A:$A,0)),
IF($V86="USD",INDEX(Bonds!$AF:$AF,MATCH(Base!$C86,Bonds!$B:$B,0)),
IF($V86="IPCA",INDEX('Debs IPCA'!$Z:$Z,MATCH(Base!$C86,'Debs IPCA'!$A:$A,0))))))</f>
        <v>3.0723252824105263E-3</v>
      </c>
      <c r="Z86" s="43">
        <v>360</v>
      </c>
      <c r="AA86" s="43" t="s">
        <v>37</v>
      </c>
      <c r="AB86" s="43" t="s">
        <v>32</v>
      </c>
      <c r="AC86">
        <f t="shared" si="33"/>
        <v>0</v>
      </c>
      <c r="AD86" s="43" t="s">
        <v>32</v>
      </c>
      <c r="AE86">
        <f t="shared" si="34"/>
        <v>0</v>
      </c>
      <c r="AF86" s="34" t="str" cm="1">
        <f t="array" ref="AF86">INDEX(Ratings!$B$2:$M$40,_xlfn.XMATCH(Base!F86,Ratings!$A$2:$A$40),_xlfn.XMATCH(YEAR(Base!K86),Ratings!$B$1:$M$1))</f>
        <v>BBB-</v>
      </c>
      <c r="AG86">
        <f t="shared" si="27"/>
        <v>1</v>
      </c>
      <c r="AH86">
        <f>IFERROR(IFERROR(IFERROR(INDEX('EMBI+'!$B:$B,MATCH(Base!$K86,'EMBI+'!$A:$A,0)),INDEX('EMBI+'!$B:$B,MATCH(Base!$K86+1,'EMBI+'!$A:$A,0))),INDEX('EMBI+'!$B:$B,MATCH(Base!$K86+2,'EMBI+'!$A:$A,0))),INDEX('EMBI+'!$B:$B,MATCH(Base!$K86+3,'EMBI+'!$A:$A,0)))/100</f>
        <v>2.15</v>
      </c>
      <c r="AL86" s="43"/>
      <c r="AM86" s="28"/>
      <c r="AN86" s="28"/>
    </row>
    <row r="87" spans="1:40" x14ac:dyDescent="0.35">
      <c r="A87">
        <f t="shared" si="35"/>
        <v>85</v>
      </c>
      <c r="B87">
        <f>IF(G87="Bonds",COUNTIF($G$3:G87,"Bonds"),0)</f>
        <v>24</v>
      </c>
      <c r="C87" t="str">
        <f t="shared" si="36"/>
        <v>BRF4141622/05/2023</v>
      </c>
      <c r="D87">
        <f t="shared" si="37"/>
        <v>7</v>
      </c>
      <c r="E87" s="43" t="s">
        <v>130</v>
      </c>
      <c r="F87" s="43" t="s">
        <v>124</v>
      </c>
      <c r="G87" s="43" t="s">
        <v>34</v>
      </c>
      <c r="H87">
        <f t="shared" si="28"/>
        <v>1</v>
      </c>
      <c r="I87" s="43"/>
      <c r="J87" s="34">
        <f t="shared" si="26"/>
        <v>8</v>
      </c>
      <c r="K87" s="28">
        <v>41416</v>
      </c>
      <c r="L87" s="28" t="s">
        <v>134</v>
      </c>
      <c r="M87" s="60">
        <f t="shared" si="29"/>
        <v>10.005479452054795</v>
      </c>
      <c r="N87" s="4">
        <f t="shared" si="30"/>
        <v>1</v>
      </c>
      <c r="O87" s="43" t="s">
        <v>29</v>
      </c>
      <c r="P87" t="str">
        <f t="shared" si="31"/>
        <v>0</v>
      </c>
      <c r="Q87" s="43"/>
      <c r="R87" s="43"/>
      <c r="S87" s="34">
        <f>IF($V87="USD",INDEX('Dólar Spot'!$B:$B,MATCH(Base!$K87,'Dólar Spot'!$A:$A,0)),"")</f>
        <v>2.0381</v>
      </c>
      <c r="T87" s="44">
        <v>500000000</v>
      </c>
      <c r="U87" s="8">
        <f t="shared" si="32"/>
        <v>10.1905</v>
      </c>
      <c r="V87" s="43" t="s">
        <v>651</v>
      </c>
      <c r="W87" s="45" t="s">
        <v>29</v>
      </c>
      <c r="X87" s="53">
        <v>3.95</v>
      </c>
      <c r="Y87" s="9">
        <f>IF(AND(V87="DI",$W87=100),$X87/100,
IF(AND(V87="DI",$W87&lt;&gt;100,$X87=""),INDEX('Debs %CDI'!$Q:$Q,MATCH(Base!$C87,'Debs %CDI'!$A:$A,0)),
IF($V87="USD",INDEX(Bonds!$AF:$AF,MATCH(Base!$C87,Bonds!$B:$B,0)),
IF($V87="IPCA",INDEX('Debs IPCA'!$Z:$Z,MATCH(Base!$C87,'Debs IPCA'!$A:$A,0))))))</f>
        <v>4.1188055372809451E-4</v>
      </c>
      <c r="Z87" s="43">
        <v>360</v>
      </c>
      <c r="AA87" s="43" t="s">
        <v>37</v>
      </c>
      <c r="AB87" s="43" t="s">
        <v>32</v>
      </c>
      <c r="AC87">
        <f t="shared" si="33"/>
        <v>0</v>
      </c>
      <c r="AD87" s="43" t="s">
        <v>32</v>
      </c>
      <c r="AE87">
        <f t="shared" si="34"/>
        <v>0</v>
      </c>
      <c r="AF87" s="34" t="str" cm="1">
        <f t="array" ref="AF87">INDEX(Ratings!$B$2:$M$40,_xlfn.XMATCH(Base!F87,Ratings!$A$2:$A$40),_xlfn.XMATCH(YEAR(Base!K87),Ratings!$B$1:$M$1))</f>
        <v>BBB-</v>
      </c>
      <c r="AG87">
        <f t="shared" si="27"/>
        <v>1</v>
      </c>
      <c r="AH87">
        <f>IFERROR(IFERROR(IFERROR(INDEX('EMBI+'!$B:$B,MATCH(Base!$K87,'EMBI+'!$A:$A,0)),INDEX('EMBI+'!$B:$B,MATCH(Base!$K87+1,'EMBI+'!$A:$A,0))),INDEX('EMBI+'!$B:$B,MATCH(Base!$K87+2,'EMBI+'!$A:$A,0))),INDEX('EMBI+'!$B:$B,MATCH(Base!$K87+3,'EMBI+'!$A:$A,0)))/100</f>
        <v>1.78</v>
      </c>
      <c r="AL87" s="43"/>
      <c r="AM87" s="28"/>
      <c r="AN87" s="28"/>
    </row>
    <row r="88" spans="1:40" x14ac:dyDescent="0.35">
      <c r="A88">
        <f t="shared" si="35"/>
        <v>86</v>
      </c>
      <c r="B88">
        <f>IF(G88="Bonds",COUNTIF($G$3:G88,"Bonds"),0)</f>
        <v>25</v>
      </c>
      <c r="C88" t="str">
        <f t="shared" si="36"/>
        <v>BRF4106606/06/2022</v>
      </c>
      <c r="D88">
        <f t="shared" si="37"/>
        <v>7</v>
      </c>
      <c r="E88" s="43" t="s">
        <v>130</v>
      </c>
      <c r="F88" s="43" t="s">
        <v>124</v>
      </c>
      <c r="G88" s="43" t="s">
        <v>34</v>
      </c>
      <c r="H88">
        <f t="shared" si="28"/>
        <v>1</v>
      </c>
      <c r="I88" s="43"/>
      <c r="J88" s="34">
        <f t="shared" si="26"/>
        <v>9</v>
      </c>
      <c r="K88" s="28">
        <v>41066</v>
      </c>
      <c r="L88" s="28" t="s">
        <v>135</v>
      </c>
      <c r="M88" s="60">
        <f t="shared" si="29"/>
        <v>10.005479452054795</v>
      </c>
      <c r="N88" s="4">
        <f t="shared" si="30"/>
        <v>1</v>
      </c>
      <c r="O88" s="43" t="s">
        <v>29</v>
      </c>
      <c r="P88" t="str">
        <f t="shared" si="31"/>
        <v>0</v>
      </c>
      <c r="Q88" s="43"/>
      <c r="R88" s="43"/>
      <c r="S88" s="34">
        <f>IF($V88="USD",INDEX('Dólar Spot'!$B:$B,MATCH(Base!$K88,'Dólar Spot'!$A:$A,0)),"")</f>
        <v>2.0175999999999998</v>
      </c>
      <c r="T88" s="44">
        <v>500000000</v>
      </c>
      <c r="U88" s="8">
        <f t="shared" si="32"/>
        <v>10.087999999999999</v>
      </c>
      <c r="V88" s="43" t="s">
        <v>651</v>
      </c>
      <c r="W88" s="45" t="s">
        <v>29</v>
      </c>
      <c r="X88" s="53">
        <v>5.875</v>
      </c>
      <c r="Y88" s="9">
        <f>IF(AND(V88="DI",$W88=100),$X88/100,
IF(AND(V88="DI",$W88&lt;&gt;100,$X88=""),INDEX('Debs %CDI'!$Q:$Q,MATCH(Base!$C88,'Debs %CDI'!$A:$A,0)),
IF($V88="USD",INDEX(Bonds!$AF:$AF,MATCH(Base!$C88,Bonds!$B:$B,0)),
IF($V88="IPCA",INDEX('Debs IPCA'!$Z:$Z,MATCH(Base!$C88,'Debs IPCA'!$A:$A,0))))))</f>
        <v>1.9452624262604967E-2</v>
      </c>
      <c r="Z88" s="43">
        <v>360</v>
      </c>
      <c r="AA88" s="43" t="s">
        <v>37</v>
      </c>
      <c r="AB88" s="43" t="s">
        <v>32</v>
      </c>
      <c r="AC88">
        <f t="shared" si="33"/>
        <v>0</v>
      </c>
      <c r="AD88" s="43" t="s">
        <v>32</v>
      </c>
      <c r="AE88">
        <f t="shared" si="34"/>
        <v>0</v>
      </c>
      <c r="AF88" s="34" t="str" cm="1">
        <f t="array" ref="AF88">INDEX(Ratings!$B$2:$M$40,_xlfn.XMATCH(Base!F88,Ratings!$A$2:$A$40),_xlfn.XMATCH(YEAR(Base!K88),Ratings!$B$1:$M$1))</f>
        <v>BBB-</v>
      </c>
      <c r="AG88">
        <f t="shared" si="27"/>
        <v>1</v>
      </c>
      <c r="AH88">
        <f>IFERROR(IFERROR(IFERROR(INDEX('EMBI+'!$B:$B,MATCH(Base!$K88,'EMBI+'!$A:$A,0)),INDEX('EMBI+'!$B:$B,MATCH(Base!$K88+1,'EMBI+'!$A:$A,0))),INDEX('EMBI+'!$B:$B,MATCH(Base!$K88+2,'EMBI+'!$A:$A,0))),INDEX('EMBI+'!$B:$B,MATCH(Base!$K88+3,'EMBI+'!$A:$A,0)))/100</f>
        <v>2.21</v>
      </c>
      <c r="AL88" s="43"/>
      <c r="AM88" s="28"/>
      <c r="AN88" s="28"/>
    </row>
    <row r="89" spans="1:40" x14ac:dyDescent="0.35">
      <c r="A89">
        <f t="shared" si="35"/>
        <v>87</v>
      </c>
      <c r="B89">
        <f>IF(G89="Bonds",COUNTIF($G$3:G89,"Bonds"),0)</f>
        <v>26</v>
      </c>
      <c r="C89" t="str">
        <f t="shared" si="36"/>
        <v>BRF4413021/09/2050</v>
      </c>
      <c r="D89">
        <f t="shared" si="37"/>
        <v>7</v>
      </c>
      <c r="E89" s="43" t="s">
        <v>130</v>
      </c>
      <c r="F89" s="43" t="s">
        <v>124</v>
      </c>
      <c r="G89" s="43" t="s">
        <v>34</v>
      </c>
      <c r="H89">
        <f t="shared" si="28"/>
        <v>1</v>
      </c>
      <c r="I89" s="43"/>
      <c r="J89" s="34">
        <f t="shared" si="26"/>
        <v>10</v>
      </c>
      <c r="K89" s="28">
        <v>44130</v>
      </c>
      <c r="L89" s="28" t="s">
        <v>132</v>
      </c>
      <c r="M89" s="60">
        <f t="shared" si="29"/>
        <v>29.923287671232877</v>
      </c>
      <c r="N89" s="4">
        <f t="shared" si="30"/>
        <v>1</v>
      </c>
      <c r="O89" s="43" t="s">
        <v>29</v>
      </c>
      <c r="P89" t="str">
        <f t="shared" si="31"/>
        <v>0</v>
      </c>
      <c r="Q89" s="43"/>
      <c r="R89" s="43"/>
      <c r="S89" s="34">
        <f>IF($V89="USD",INDEX('Dólar Spot'!$B:$B,MATCH(Base!$K89,'Dólar Spot'!$A:$A,0)),"")</f>
        <v>5.6322000000000001</v>
      </c>
      <c r="T89" s="44">
        <v>300000000</v>
      </c>
      <c r="U89" s="8">
        <f t="shared" si="32"/>
        <v>16.896599999999999</v>
      </c>
      <c r="V89" s="43" t="s">
        <v>651</v>
      </c>
      <c r="W89" s="45" t="s">
        <v>29</v>
      </c>
      <c r="X89" s="53">
        <v>5.75</v>
      </c>
      <c r="Y89" s="9">
        <f>IF(AND(V89="DI",$W89=100),$X89/100,
IF(AND(V89="DI",$W89&lt;&gt;100,$X89=""),INDEX('Debs %CDI'!$Q:$Q,MATCH(Base!$C89,'Debs %CDI'!$A:$A,0)),
IF($V89="USD",INDEX(Bonds!$AF:$AF,MATCH(Base!$C89,Bonds!$B:$B,0)),
IF($V89="IPCA",INDEX('Debs IPCA'!$Z:$Z,MATCH(Base!$C89,'Debs IPCA'!$A:$A,0))))))</f>
        <v>3.9972371689434905E-2</v>
      </c>
      <c r="Z89" s="43">
        <v>360</v>
      </c>
      <c r="AA89" s="43" t="s">
        <v>37</v>
      </c>
      <c r="AB89" s="43" t="s">
        <v>32</v>
      </c>
      <c r="AC89">
        <f t="shared" si="33"/>
        <v>0</v>
      </c>
      <c r="AD89" s="43" t="s">
        <v>31</v>
      </c>
      <c r="AE89">
        <f t="shared" si="34"/>
        <v>1</v>
      </c>
      <c r="AF89" s="34" t="str" cm="1">
        <f t="array" ref="AF89">INDEX(Ratings!$B$2:$M$40,_xlfn.XMATCH(Base!F89,Ratings!$A$2:$A$40),_xlfn.XMATCH(YEAR(Base!K89),Ratings!$B$1:$M$1))</f>
        <v>BB</v>
      </c>
      <c r="AG89">
        <f t="shared" si="27"/>
        <v>0</v>
      </c>
      <c r="AH89">
        <f>IFERROR(IFERROR(IFERROR(INDEX('EMBI+'!$B:$B,MATCH(Base!$K89,'EMBI+'!$A:$A,0)),INDEX('EMBI+'!$B:$B,MATCH(Base!$K89+1,'EMBI+'!$A:$A,0))),INDEX('EMBI+'!$B:$B,MATCH(Base!$K89+2,'EMBI+'!$A:$A,0))),INDEX('EMBI+'!$B:$B,MATCH(Base!$K89+3,'EMBI+'!$A:$A,0)))/100</f>
        <v>3.17</v>
      </c>
      <c r="AL89" s="43"/>
      <c r="AM89" s="28"/>
      <c r="AN89" s="28"/>
    </row>
    <row r="90" spans="1:40" x14ac:dyDescent="0.35">
      <c r="A90">
        <f t="shared" si="35"/>
        <v>88</v>
      </c>
      <c r="B90">
        <f>IF(G90="Bonds",COUNTIF($G$3:G90,"Bonds"),0)</f>
        <v>27</v>
      </c>
      <c r="C90" t="str">
        <f t="shared" si="36"/>
        <v>BRF4108606/06/2022</v>
      </c>
      <c r="D90">
        <f t="shared" si="37"/>
        <v>7</v>
      </c>
      <c r="E90" s="43" t="s">
        <v>130</v>
      </c>
      <c r="F90" s="43" t="s">
        <v>124</v>
      </c>
      <c r="G90" s="43" t="s">
        <v>34</v>
      </c>
      <c r="H90">
        <f t="shared" si="28"/>
        <v>1</v>
      </c>
      <c r="I90" s="43"/>
      <c r="J90" s="34">
        <f t="shared" si="26"/>
        <v>11</v>
      </c>
      <c r="K90" s="28">
        <v>41086</v>
      </c>
      <c r="L90" s="28" t="s">
        <v>135</v>
      </c>
      <c r="M90" s="60">
        <f t="shared" si="29"/>
        <v>9.9506849315068493</v>
      </c>
      <c r="N90" s="4">
        <f t="shared" si="30"/>
        <v>1</v>
      </c>
      <c r="O90" s="43" t="s">
        <v>36</v>
      </c>
      <c r="P90" t="str">
        <f t="shared" si="31"/>
        <v>0</v>
      </c>
      <c r="Q90" s="43"/>
      <c r="R90" s="43"/>
      <c r="S90" s="34">
        <f>IF($V90="USD",INDEX('Dólar Spot'!$B:$B,MATCH(Base!$K90,'Dólar Spot'!$A:$A,0)),"")</f>
        <v>2.0737000000000001</v>
      </c>
      <c r="T90" s="44">
        <v>250000000</v>
      </c>
      <c r="U90" s="8">
        <f t="shared" si="32"/>
        <v>5.1842499999999996</v>
      </c>
      <c r="V90" s="43" t="s">
        <v>651</v>
      </c>
      <c r="W90" s="45" t="s">
        <v>29</v>
      </c>
      <c r="X90" s="53">
        <v>5.875</v>
      </c>
      <c r="Y90" s="9">
        <f>IF(AND(V90="DI",$W90=100),$X90/100,
IF(AND(V90="DI",$W90&lt;&gt;100,$X90=""),INDEX('Debs %CDI'!$Q:$Q,MATCH(Base!$C90,'Debs %CDI'!$A:$A,0)),
IF($V90="USD",INDEX(Bonds!$AF:$AF,MATCH(Base!$C90,Bonds!$B:$B,0)),
IF($V90="IPCA",INDEX('Debs IPCA'!$Z:$Z,MATCH(Base!$C90,'Debs IPCA'!$A:$A,0))))))</f>
        <v>1.8972618106170458E-2</v>
      </c>
      <c r="Z90" s="43">
        <v>360</v>
      </c>
      <c r="AA90" s="43" t="s">
        <v>37</v>
      </c>
      <c r="AB90" s="43" t="s">
        <v>32</v>
      </c>
      <c r="AC90">
        <f t="shared" si="33"/>
        <v>0</v>
      </c>
      <c r="AD90" s="43" t="s">
        <v>31</v>
      </c>
      <c r="AE90">
        <f t="shared" si="34"/>
        <v>1</v>
      </c>
      <c r="AF90" s="34" t="str" cm="1">
        <f t="array" ref="AF90">INDEX(Ratings!$B$2:$M$40,_xlfn.XMATCH(Base!F90,Ratings!$A$2:$A$40),_xlfn.XMATCH(YEAR(Base!K90),Ratings!$B$1:$M$1))</f>
        <v>BBB-</v>
      </c>
      <c r="AG90">
        <f t="shared" si="27"/>
        <v>1</v>
      </c>
      <c r="AH90">
        <f>IFERROR(IFERROR(IFERROR(INDEX('EMBI+'!$B:$B,MATCH(Base!$K90,'EMBI+'!$A:$A,0)),INDEX('EMBI+'!$B:$B,MATCH(Base!$K90+1,'EMBI+'!$A:$A,0))),INDEX('EMBI+'!$B:$B,MATCH(Base!$K90+2,'EMBI+'!$A:$A,0))),INDEX('EMBI+'!$B:$B,MATCH(Base!$K90+3,'EMBI+'!$A:$A,0)))/100</f>
        <v>2.13</v>
      </c>
      <c r="AL90" s="43"/>
      <c r="AM90" s="28"/>
      <c r="AN90" s="28"/>
    </row>
    <row r="91" spans="1:40" x14ac:dyDescent="0.35">
      <c r="A91">
        <f t="shared" si="35"/>
        <v>89</v>
      </c>
      <c r="B91">
        <f>IF(G91="Bonds",COUNTIF($G$3:G91,"Bonds"),0)</f>
        <v>0</v>
      </c>
      <c r="C91" t="str">
        <f t="shared" si="36"/>
        <v>Cemig4136043186</v>
      </c>
      <c r="D91">
        <f t="shared" si="37"/>
        <v>8</v>
      </c>
      <c r="E91" s="43" t="s">
        <v>136</v>
      </c>
      <c r="F91" s="43" t="s">
        <v>137</v>
      </c>
      <c r="G91" s="43" t="s">
        <v>25</v>
      </c>
      <c r="H91">
        <f t="shared" si="28"/>
        <v>0</v>
      </c>
      <c r="I91" s="43" t="s">
        <v>138</v>
      </c>
      <c r="J91" s="34">
        <f t="shared" si="26"/>
        <v>1</v>
      </c>
      <c r="K91" s="28">
        <v>41360</v>
      </c>
      <c r="L91" s="28">
        <v>43186</v>
      </c>
      <c r="M91" s="60">
        <f t="shared" si="29"/>
        <v>5.0027397260273974</v>
      </c>
      <c r="N91" s="4">
        <f t="shared" si="30"/>
        <v>1</v>
      </c>
      <c r="O91" s="43" t="s">
        <v>44</v>
      </c>
      <c r="P91" t="str">
        <f t="shared" si="31"/>
        <v>0</v>
      </c>
      <c r="Q91" s="44">
        <v>7200</v>
      </c>
      <c r="R91" s="43">
        <v>10000</v>
      </c>
      <c r="S91" s="34" t="str">
        <f>IF($V91="USD",INDEX('Dólar Spot'!$B:$B,MATCH(Base!$K91,'Dólar Spot'!$A:$A,0)),"")</f>
        <v/>
      </c>
      <c r="T91" s="4">
        <f t="shared" ref="T91:T112" si="38">Q91*R91</f>
        <v>72000000</v>
      </c>
      <c r="U91" s="8">
        <f t="shared" si="32"/>
        <v>0.72</v>
      </c>
      <c r="V91" s="43" t="s">
        <v>41</v>
      </c>
      <c r="W91" s="45">
        <v>100</v>
      </c>
      <c r="X91" s="46">
        <v>0.8</v>
      </c>
      <c r="Y91" s="9">
        <f>IF(AND(V91="DI",$W91=100),$X91/100,
IF(AND(V91="DI",$W91&lt;&gt;100,$X91=""),INDEX('Debs %CDI'!$Q:$Q,MATCH(Base!$C91,'Debs %CDI'!$A:$A,0)),
IF($V91="USD",INDEX(Bonds!$AF:$AF,MATCH(Base!$C91,Bonds!$B:$B,0)),
IF($V91="IPCA",INDEX('Debs IPCA'!$Z:$Z,MATCH(Base!$C91,'Debs IPCA'!$A:$A,0))))))</f>
        <v>8.0000000000000002E-3</v>
      </c>
      <c r="Z91" s="43">
        <v>252</v>
      </c>
      <c r="AA91" s="43" t="s">
        <v>30</v>
      </c>
      <c r="AB91" s="43" t="s">
        <v>32</v>
      </c>
      <c r="AC91">
        <f t="shared" si="33"/>
        <v>0</v>
      </c>
      <c r="AD91" s="43" t="s">
        <v>32</v>
      </c>
      <c r="AE91">
        <f t="shared" si="34"/>
        <v>0</v>
      </c>
      <c r="AF91" s="34" t="str" cm="1">
        <f t="array" ref="AF91">INDEX(Ratings!$B$2:$M$40,_xlfn.XMATCH(Base!F91,Ratings!$A$2:$A$40),_xlfn.XMATCH(YEAR(Base!K91),Ratings!$B$1:$M$1))</f>
        <v>NR</v>
      </c>
      <c r="AG91">
        <f t="shared" si="27"/>
        <v>0</v>
      </c>
      <c r="AH91">
        <f>IFERROR(IFERROR(IFERROR(INDEX('EMBI+'!$B:$B,MATCH(Base!$K91,'EMBI+'!$A:$A,0)),INDEX('EMBI+'!$B:$B,MATCH(Base!$K91+1,'EMBI+'!$A:$A,0))),INDEX('EMBI+'!$B:$B,MATCH(Base!$K91+2,'EMBI+'!$A:$A,0))),INDEX('EMBI+'!$B:$B,MATCH(Base!$K91+3,'EMBI+'!$A:$A,0)))/100</f>
        <v>1.91</v>
      </c>
      <c r="AL91" s="43"/>
      <c r="AM91" s="28"/>
      <c r="AN91" s="28"/>
    </row>
    <row r="92" spans="1:40" x14ac:dyDescent="0.35">
      <c r="A92">
        <f t="shared" si="35"/>
        <v>90</v>
      </c>
      <c r="B92">
        <f>IF(G92="Bonds",COUNTIF($G$3:G92,"Bonds"),0)</f>
        <v>0</v>
      </c>
      <c r="C92" t="str">
        <f t="shared" si="36"/>
        <v>Cemig4132043146</v>
      </c>
      <c r="D92">
        <f t="shared" si="37"/>
        <v>8</v>
      </c>
      <c r="E92" s="43" t="s">
        <v>139</v>
      </c>
      <c r="F92" s="43" t="s">
        <v>137</v>
      </c>
      <c r="G92" s="43" t="s">
        <v>25</v>
      </c>
      <c r="H92">
        <f t="shared" si="28"/>
        <v>0</v>
      </c>
      <c r="I92" s="43" t="s">
        <v>140</v>
      </c>
      <c r="J92" s="34">
        <f t="shared" si="26"/>
        <v>2</v>
      </c>
      <c r="K92" s="28">
        <v>41320</v>
      </c>
      <c r="L92" s="28">
        <v>43146</v>
      </c>
      <c r="M92" s="60">
        <f t="shared" si="29"/>
        <v>5.0027397260273974</v>
      </c>
      <c r="N92" s="4">
        <f t="shared" si="30"/>
        <v>1</v>
      </c>
      <c r="O92" s="43" t="s">
        <v>44</v>
      </c>
      <c r="P92" t="str">
        <f t="shared" si="31"/>
        <v>0</v>
      </c>
      <c r="Q92" s="44">
        <v>410817</v>
      </c>
      <c r="R92" s="43">
        <v>1000</v>
      </c>
      <c r="S92" s="34" t="str">
        <f>IF($V92="USD",INDEX('Dólar Spot'!$B:$B,MATCH(Base!$K92,'Dólar Spot'!$A:$A,0)),"")</f>
        <v/>
      </c>
      <c r="T92" s="4">
        <f t="shared" si="38"/>
        <v>410817000</v>
      </c>
      <c r="U92" s="8">
        <f t="shared" si="32"/>
        <v>4.1081700000000003</v>
      </c>
      <c r="V92" s="43" t="s">
        <v>41</v>
      </c>
      <c r="W92" s="45">
        <v>100</v>
      </c>
      <c r="X92" s="46">
        <v>0.69</v>
      </c>
      <c r="Y92" s="9">
        <f>IF(AND(V92="DI",$W92=100),$X92/100,
IF(AND(V92="DI",$W92&lt;&gt;100,$X92=""),INDEX('Debs %CDI'!$Q:$Q,MATCH(Base!$C92,'Debs %CDI'!$A:$A,0)),
IF($V92="USD",INDEX(Bonds!$AF:$AF,MATCH(Base!$C92,Bonds!$B:$B,0)),
IF($V92="IPCA",INDEX('Debs IPCA'!$Z:$Z,MATCH(Base!$C92,'Debs IPCA'!$A:$A,0))))))</f>
        <v>6.8999999999999999E-3</v>
      </c>
      <c r="Z92" s="43">
        <v>252</v>
      </c>
      <c r="AA92" s="43" t="s">
        <v>30</v>
      </c>
      <c r="AB92" s="43" t="s">
        <v>32</v>
      </c>
      <c r="AC92">
        <f t="shared" si="33"/>
        <v>0</v>
      </c>
      <c r="AD92" s="43" t="s">
        <v>32</v>
      </c>
      <c r="AE92">
        <f t="shared" si="34"/>
        <v>0</v>
      </c>
      <c r="AF92" s="34" t="str" cm="1">
        <f t="array" ref="AF92">INDEX(Ratings!$B$2:$M$40,_xlfn.XMATCH(Base!F92,Ratings!$A$2:$A$40),_xlfn.XMATCH(YEAR(Base!K92),Ratings!$B$1:$M$1))</f>
        <v>NR</v>
      </c>
      <c r="AG92">
        <f t="shared" si="27"/>
        <v>0</v>
      </c>
      <c r="AH92">
        <f>IFERROR(IFERROR(IFERROR(INDEX('EMBI+'!$B:$B,MATCH(Base!$K92,'EMBI+'!$A:$A,0)),INDEX('EMBI+'!$B:$B,MATCH(Base!$K92+1,'EMBI+'!$A:$A,0))),INDEX('EMBI+'!$B:$B,MATCH(Base!$K92+2,'EMBI+'!$A:$A,0))),INDEX('EMBI+'!$B:$B,MATCH(Base!$K92+3,'EMBI+'!$A:$A,0)))/100</f>
        <v>1.58</v>
      </c>
      <c r="AL92" s="43"/>
      <c r="AM92" s="28"/>
      <c r="AN92" s="28"/>
    </row>
    <row r="93" spans="1:40" x14ac:dyDescent="0.35">
      <c r="A93">
        <f t="shared" si="35"/>
        <v>91</v>
      </c>
      <c r="B93">
        <f>IF(G93="Bonds",COUNTIF($G$3:G93,"Bonds"),0)</f>
        <v>0</v>
      </c>
      <c r="C93" t="str">
        <f t="shared" si="36"/>
        <v>Cemig4235343449</v>
      </c>
      <c r="D93">
        <f t="shared" si="37"/>
        <v>8</v>
      </c>
      <c r="E93" s="43" t="s">
        <v>139</v>
      </c>
      <c r="F93" s="43" t="s">
        <v>137</v>
      </c>
      <c r="G93" s="43" t="s">
        <v>25</v>
      </c>
      <c r="H93">
        <f t="shared" si="28"/>
        <v>0</v>
      </c>
      <c r="I93" s="43" t="s">
        <v>141</v>
      </c>
      <c r="J93" s="34">
        <f t="shared" si="26"/>
        <v>3</v>
      </c>
      <c r="K93" s="28">
        <v>42353</v>
      </c>
      <c r="L93" s="28">
        <v>43449</v>
      </c>
      <c r="M93" s="60">
        <f t="shared" si="29"/>
        <v>3.0027397260273974</v>
      </c>
      <c r="N93" s="4">
        <f t="shared" si="30"/>
        <v>0</v>
      </c>
      <c r="O93" s="43" t="s">
        <v>44</v>
      </c>
      <c r="P93" t="str">
        <f t="shared" si="31"/>
        <v>0</v>
      </c>
      <c r="Q93" s="44">
        <v>161500</v>
      </c>
      <c r="R93" s="43">
        <v>10000</v>
      </c>
      <c r="S93" s="34" t="str">
        <f>IF($V93="USD",INDEX('Dólar Spot'!$B:$B,MATCH(Base!$K93,'Dólar Spot'!$A:$A,0)),"")</f>
        <v/>
      </c>
      <c r="T93" s="4">
        <f t="shared" si="38"/>
        <v>1615000000</v>
      </c>
      <c r="U93" s="8">
        <f t="shared" si="32"/>
        <v>16.149999999999999</v>
      </c>
      <c r="V93" s="43" t="s">
        <v>41</v>
      </c>
      <c r="W93" s="45">
        <v>100</v>
      </c>
      <c r="X93" s="46">
        <v>4.05</v>
      </c>
      <c r="Y93" s="9">
        <f>IF(AND(V93="DI",$W93=100),$X93/100,
IF(AND(V93="DI",$W93&lt;&gt;100,$X93=""),INDEX('Debs %CDI'!$Q:$Q,MATCH(Base!$C93,'Debs %CDI'!$A:$A,0)),
IF($V93="USD",INDEX(Bonds!$AF:$AF,MATCH(Base!$C93,Bonds!$B:$B,0)),
IF($V93="IPCA",INDEX('Debs IPCA'!$Z:$Z,MATCH(Base!$C93,'Debs IPCA'!$A:$A,0))))))</f>
        <v>4.0500000000000001E-2</v>
      </c>
      <c r="Z93" s="43">
        <v>252</v>
      </c>
      <c r="AA93" s="43" t="s">
        <v>30</v>
      </c>
      <c r="AB93" s="43" t="s">
        <v>32</v>
      </c>
      <c r="AC93">
        <f t="shared" si="33"/>
        <v>0</v>
      </c>
      <c r="AD93" s="43" t="s">
        <v>31</v>
      </c>
      <c r="AE93">
        <f t="shared" si="34"/>
        <v>1</v>
      </c>
      <c r="AF93" s="34" t="str" cm="1">
        <f t="array" ref="AF93">INDEX(Ratings!$B$2:$M$40,_xlfn.XMATCH(Base!F93,Ratings!$A$2:$A$40),_xlfn.XMATCH(YEAR(Base!K93),Ratings!$B$1:$M$1))</f>
        <v>NR</v>
      </c>
      <c r="AG93">
        <f t="shared" si="27"/>
        <v>0</v>
      </c>
      <c r="AH93">
        <f>IFERROR(IFERROR(IFERROR(INDEX('EMBI+'!$B:$B,MATCH(Base!$K93,'EMBI+'!$A:$A,0)),INDEX('EMBI+'!$B:$B,MATCH(Base!$K93+1,'EMBI+'!$A:$A,0))),INDEX('EMBI+'!$B:$B,MATCH(Base!$K93+2,'EMBI+'!$A:$A,0))),INDEX('EMBI+'!$B:$B,MATCH(Base!$K93+3,'EMBI+'!$A:$A,0)))/100</f>
        <v>4.6500000000000004</v>
      </c>
      <c r="AL93" s="43"/>
      <c r="AM93" s="28"/>
      <c r="AN93" s="28"/>
    </row>
    <row r="94" spans="1:40" x14ac:dyDescent="0.35">
      <c r="A94">
        <f t="shared" si="35"/>
        <v>92</v>
      </c>
      <c r="B94">
        <f>IF(G94="Bonds",COUNTIF($G$3:G94,"Bonds"),0)</f>
        <v>0</v>
      </c>
      <c r="C94" t="str">
        <f t="shared" si="36"/>
        <v>Cemig4132044242</v>
      </c>
      <c r="D94">
        <f t="shared" si="37"/>
        <v>8</v>
      </c>
      <c r="E94" s="43" t="s">
        <v>139</v>
      </c>
      <c r="F94" s="43" t="s">
        <v>137</v>
      </c>
      <c r="G94" s="43" t="s">
        <v>25</v>
      </c>
      <c r="H94">
        <f t="shared" si="28"/>
        <v>0</v>
      </c>
      <c r="I94" s="43" t="s">
        <v>142</v>
      </c>
      <c r="J94" s="34">
        <f t="shared" si="26"/>
        <v>4</v>
      </c>
      <c r="K94" s="28">
        <v>41320</v>
      </c>
      <c r="L94" s="28">
        <v>44242</v>
      </c>
      <c r="M94" s="60">
        <f t="shared" si="29"/>
        <v>8.0054794520547947</v>
      </c>
      <c r="N94" s="4">
        <f t="shared" si="30"/>
        <v>1</v>
      </c>
      <c r="O94" s="43" t="s">
        <v>44</v>
      </c>
      <c r="P94" t="str">
        <f t="shared" si="31"/>
        <v>0</v>
      </c>
      <c r="Q94" s="44">
        <v>1095508</v>
      </c>
      <c r="R94" s="43">
        <v>1000</v>
      </c>
      <c r="S94" s="34" t="str">
        <f>IF($V94="USD",INDEX('Dólar Spot'!$B:$B,MATCH(Base!$K94,'Dólar Spot'!$A:$A,0)),"")</f>
        <v/>
      </c>
      <c r="T94" s="4">
        <f t="shared" si="38"/>
        <v>1095508000</v>
      </c>
      <c r="U94" s="8">
        <f t="shared" si="32"/>
        <v>10.955080000000001</v>
      </c>
      <c r="V94" s="43" t="s">
        <v>28</v>
      </c>
      <c r="W94" s="45" t="s">
        <v>29</v>
      </c>
      <c r="X94" s="46">
        <v>4.7</v>
      </c>
      <c r="Y94" s="9">
        <f>IF(AND(V94="DI",$W94=100),$X94/100,
IF(AND(V94="DI",$W94&lt;&gt;100,$X94=""),INDEX('Debs %CDI'!$Q:$Q,MATCH(Base!$C94,'Debs %CDI'!$A:$A,0)),
IF($V94="USD",INDEX(Bonds!$AF:$AF,MATCH(Base!$C94,Bonds!$B:$B,0)),
IF($V94="IPCA",INDEX('Debs IPCA'!$Z:$Z,MATCH(Base!$C94,'Debs IPCA'!$A:$A,0))))))</f>
        <v>8.1521380967564117E-3</v>
      </c>
      <c r="Z94" s="43">
        <v>252</v>
      </c>
      <c r="AA94" s="43" t="s">
        <v>30</v>
      </c>
      <c r="AB94" s="43" t="s">
        <v>32</v>
      </c>
      <c r="AC94">
        <f t="shared" si="33"/>
        <v>0</v>
      </c>
      <c r="AD94" s="43" t="s">
        <v>31</v>
      </c>
      <c r="AE94">
        <f t="shared" si="34"/>
        <v>1</v>
      </c>
      <c r="AF94" s="34" t="str" cm="1">
        <f t="array" ref="AF94">INDEX(Ratings!$B$2:$M$40,_xlfn.XMATCH(Base!F94,Ratings!$A$2:$A$40),_xlfn.XMATCH(YEAR(Base!K94),Ratings!$B$1:$M$1))</f>
        <v>NR</v>
      </c>
      <c r="AG94">
        <f t="shared" si="27"/>
        <v>0</v>
      </c>
      <c r="AH94">
        <f>IFERROR(IFERROR(IFERROR(INDEX('EMBI+'!$B:$B,MATCH(Base!$K94,'EMBI+'!$A:$A,0)),INDEX('EMBI+'!$B:$B,MATCH(Base!$K94+1,'EMBI+'!$A:$A,0))),INDEX('EMBI+'!$B:$B,MATCH(Base!$K94+2,'EMBI+'!$A:$A,0))),INDEX('EMBI+'!$B:$B,MATCH(Base!$K94+3,'EMBI+'!$A:$A,0)))/100</f>
        <v>1.58</v>
      </c>
      <c r="AL94" s="43"/>
      <c r="AM94" s="28"/>
      <c r="AN94" s="28"/>
    </row>
    <row r="95" spans="1:40" x14ac:dyDescent="0.35">
      <c r="A95">
        <f t="shared" si="35"/>
        <v>93</v>
      </c>
      <c r="B95">
        <f>IF(G95="Bonds",COUNTIF($G$3:G95,"Bonds"),0)</f>
        <v>0</v>
      </c>
      <c r="C95" t="str">
        <f t="shared" si="36"/>
        <v>Cemig4132045703</v>
      </c>
      <c r="D95">
        <f t="shared" si="37"/>
        <v>8</v>
      </c>
      <c r="E95" s="43" t="s">
        <v>139</v>
      </c>
      <c r="F95" s="43" t="s">
        <v>137</v>
      </c>
      <c r="G95" s="43" t="s">
        <v>25</v>
      </c>
      <c r="H95">
        <f t="shared" si="28"/>
        <v>0</v>
      </c>
      <c r="I95" s="43" t="s">
        <v>143</v>
      </c>
      <c r="J95" s="34">
        <f t="shared" si="26"/>
        <v>5</v>
      </c>
      <c r="K95" s="28">
        <v>41320</v>
      </c>
      <c r="L95" s="28">
        <v>45703</v>
      </c>
      <c r="M95" s="60">
        <f t="shared" si="29"/>
        <v>12.008219178082191</v>
      </c>
      <c r="N95" s="4">
        <f t="shared" si="30"/>
        <v>1</v>
      </c>
      <c r="O95" s="43" t="s">
        <v>44</v>
      </c>
      <c r="P95" t="str">
        <f t="shared" si="31"/>
        <v>0</v>
      </c>
      <c r="Q95" s="44">
        <v>653675</v>
      </c>
      <c r="R95" s="43">
        <v>1000</v>
      </c>
      <c r="S95" s="34" t="str">
        <f>IF($V95="USD",INDEX('Dólar Spot'!$B:$B,MATCH(Base!$K95,'Dólar Spot'!$A:$A,0)),"")</f>
        <v/>
      </c>
      <c r="T95" s="4">
        <f t="shared" si="38"/>
        <v>653675000</v>
      </c>
      <c r="U95" s="8">
        <f t="shared" si="32"/>
        <v>6.5367499999999996</v>
      </c>
      <c r="V95" s="43" t="s">
        <v>28</v>
      </c>
      <c r="W95" s="45" t="s">
        <v>29</v>
      </c>
      <c r="X95" s="46">
        <v>5.0999999999999996</v>
      </c>
      <c r="Y95" s="9">
        <f>IF(AND(V95="DI",$W95=100),$X95/100,
IF(AND(V95="DI",$W95&lt;&gt;100,$X95=""),INDEX('Debs %CDI'!$Q:$Q,MATCH(Base!$C95,'Debs %CDI'!$A:$A,0)),
IF($V95="USD",INDEX(Bonds!$AF:$AF,MATCH(Base!$C95,Bonds!$B:$B,0)),
IF($V95="IPCA",INDEX('Debs IPCA'!$Z:$Z,MATCH(Base!$C95,'Debs IPCA'!$A:$A,0))))))</f>
        <v>1.087163456281659E-2</v>
      </c>
      <c r="Z95" s="43">
        <v>252</v>
      </c>
      <c r="AA95" s="43" t="s">
        <v>30</v>
      </c>
      <c r="AB95" s="43" t="s">
        <v>32</v>
      </c>
      <c r="AC95">
        <f t="shared" si="33"/>
        <v>0</v>
      </c>
      <c r="AD95" s="43" t="s">
        <v>31</v>
      </c>
      <c r="AE95">
        <f t="shared" si="34"/>
        <v>1</v>
      </c>
      <c r="AF95" s="34" t="str" cm="1">
        <f t="array" ref="AF95">INDEX(Ratings!$B$2:$M$40,_xlfn.XMATCH(Base!F95,Ratings!$A$2:$A$40),_xlfn.XMATCH(YEAR(Base!K95),Ratings!$B$1:$M$1))</f>
        <v>NR</v>
      </c>
      <c r="AG95">
        <f t="shared" si="27"/>
        <v>0</v>
      </c>
      <c r="AH95">
        <f>IFERROR(IFERROR(IFERROR(INDEX('EMBI+'!$B:$B,MATCH(Base!$K95,'EMBI+'!$A:$A,0)),INDEX('EMBI+'!$B:$B,MATCH(Base!$K95+1,'EMBI+'!$A:$A,0))),INDEX('EMBI+'!$B:$B,MATCH(Base!$K95+2,'EMBI+'!$A:$A,0))),INDEX('EMBI+'!$B:$B,MATCH(Base!$K95+3,'EMBI+'!$A:$A,0)))/100</f>
        <v>1.58</v>
      </c>
      <c r="AL95" s="43"/>
      <c r="AM95" s="28"/>
      <c r="AN95" s="28"/>
    </row>
    <row r="96" spans="1:40" x14ac:dyDescent="0.35">
      <c r="A96">
        <f t="shared" si="35"/>
        <v>94</v>
      </c>
      <c r="B96">
        <f>IF(G96="Bonds",COUNTIF($G$3:G96,"Bonds"),0)</f>
        <v>0</v>
      </c>
      <c r="C96" t="str">
        <f t="shared" si="36"/>
        <v>Cemig4308444727</v>
      </c>
      <c r="D96">
        <f t="shared" si="37"/>
        <v>8</v>
      </c>
      <c r="E96" s="43" t="s">
        <v>139</v>
      </c>
      <c r="F96" s="43" t="s">
        <v>137</v>
      </c>
      <c r="G96" s="43" t="s">
        <v>25</v>
      </c>
      <c r="H96">
        <f t="shared" si="28"/>
        <v>0</v>
      </c>
      <c r="I96" s="43" t="s">
        <v>144</v>
      </c>
      <c r="J96" s="34">
        <f t="shared" si="26"/>
        <v>6</v>
      </c>
      <c r="K96" s="28">
        <v>43084</v>
      </c>
      <c r="L96" s="28">
        <v>44727</v>
      </c>
      <c r="M96" s="60">
        <f t="shared" si="29"/>
        <v>4.5013698630136982</v>
      </c>
      <c r="N96" s="4">
        <f t="shared" si="30"/>
        <v>0</v>
      </c>
      <c r="O96" s="43" t="s">
        <v>27</v>
      </c>
      <c r="P96" t="str">
        <f t="shared" si="31"/>
        <v>1</v>
      </c>
      <c r="Q96" s="44">
        <v>157500</v>
      </c>
      <c r="R96" s="43">
        <v>10000</v>
      </c>
      <c r="S96" s="34" t="str">
        <f>IF($V96="USD",INDEX('Dólar Spot'!$B:$B,MATCH(Base!$K96,'Dólar Spot'!$A:$A,0)),"")</f>
        <v/>
      </c>
      <c r="T96" s="4">
        <f t="shared" si="38"/>
        <v>1575000000</v>
      </c>
      <c r="U96" s="8">
        <f t="shared" si="32"/>
        <v>15.75</v>
      </c>
      <c r="V96" s="43" t="s">
        <v>41</v>
      </c>
      <c r="W96" s="45">
        <v>146.5</v>
      </c>
      <c r="X96" s="46"/>
      <c r="Y96" s="9">
        <f>IF(AND(V96="DI",$W96=100),$X96/100,
IF(AND(V96="DI",$W96&lt;&gt;100,$X96=""),INDEX('Debs %CDI'!$Q:$Q,MATCH(Base!$C96,'Debs %CDI'!$A:$A,0)),
IF($V96="USD",INDEX(Bonds!$AF:$AF,MATCH(Base!$C96,Bonds!$B:$B,0)),
IF($V96="IPCA",INDEX('Debs IPCA'!$Z:$Z,MATCH(Base!$C96,'Debs IPCA'!$A:$A,0))))))</f>
        <v>4.6923739593280958E-2</v>
      </c>
      <c r="Z96" s="43">
        <v>252</v>
      </c>
      <c r="AA96" s="43" t="s">
        <v>30</v>
      </c>
      <c r="AB96" s="43" t="s">
        <v>32</v>
      </c>
      <c r="AC96">
        <f t="shared" si="33"/>
        <v>0</v>
      </c>
      <c r="AD96" s="43" t="s">
        <v>31</v>
      </c>
      <c r="AE96">
        <f t="shared" si="34"/>
        <v>1</v>
      </c>
      <c r="AF96" s="34" t="str" cm="1">
        <f t="array" ref="AF96">INDEX(Ratings!$B$2:$M$40,_xlfn.XMATCH(Base!F96,Ratings!$A$2:$A$40),_xlfn.XMATCH(YEAR(Base!K96),Ratings!$B$1:$M$1))</f>
        <v>B+</v>
      </c>
      <c r="AG96">
        <f t="shared" si="27"/>
        <v>0</v>
      </c>
      <c r="AH96">
        <f>IFERROR(IFERROR(IFERROR(INDEX('EMBI+'!$B:$B,MATCH(Base!$K96,'EMBI+'!$A:$A,0)),INDEX('EMBI+'!$B:$B,MATCH(Base!$K96+1,'EMBI+'!$A:$A,0))),INDEX('EMBI+'!$B:$B,MATCH(Base!$K96+2,'EMBI+'!$A:$A,0))),INDEX('EMBI+'!$B:$B,MATCH(Base!$K96+3,'EMBI+'!$A:$A,0)))/100</f>
        <v>2.44</v>
      </c>
      <c r="AL96" s="43"/>
      <c r="AM96" s="28"/>
      <c r="AN96" s="28"/>
    </row>
    <row r="97" spans="1:40" x14ac:dyDescent="0.35">
      <c r="A97">
        <f t="shared" si="35"/>
        <v>95</v>
      </c>
      <c r="B97">
        <f>IF(G97="Bonds",COUNTIF($G$3:G97,"Bonds"),0)</f>
        <v>0</v>
      </c>
      <c r="C97" t="str">
        <f t="shared" si="36"/>
        <v>Cemig4343743985</v>
      </c>
      <c r="D97">
        <f t="shared" si="37"/>
        <v>8</v>
      </c>
      <c r="E97" s="43" t="s">
        <v>139</v>
      </c>
      <c r="F97" s="43" t="s">
        <v>137</v>
      </c>
      <c r="G97" s="43" t="s">
        <v>25</v>
      </c>
      <c r="H97">
        <f t="shared" si="28"/>
        <v>0</v>
      </c>
      <c r="I97" s="43" t="s">
        <v>145</v>
      </c>
      <c r="J97" s="34">
        <f t="shared" si="26"/>
        <v>7</v>
      </c>
      <c r="K97" s="28">
        <v>43437</v>
      </c>
      <c r="L97" s="28">
        <v>43985</v>
      </c>
      <c r="M97" s="60">
        <f t="shared" si="29"/>
        <v>1.5013698630136987</v>
      </c>
      <c r="N97" s="4">
        <f t="shared" si="30"/>
        <v>0</v>
      </c>
      <c r="O97" s="43" t="s">
        <v>27</v>
      </c>
      <c r="P97" t="str">
        <f t="shared" si="31"/>
        <v>1</v>
      </c>
      <c r="Q97" s="44">
        <v>550000</v>
      </c>
      <c r="R97" s="43">
        <v>1000</v>
      </c>
      <c r="S97" s="34" t="str">
        <f>IF($V97="USD",INDEX('Dólar Spot'!$B:$B,MATCH(Base!$K97,'Dólar Spot'!$A:$A,0)),"")</f>
        <v/>
      </c>
      <c r="T97" s="4">
        <f t="shared" si="38"/>
        <v>550000000</v>
      </c>
      <c r="U97" s="8">
        <f t="shared" si="32"/>
        <v>5.5</v>
      </c>
      <c r="V97" s="43" t="s">
        <v>41</v>
      </c>
      <c r="W97" s="45">
        <v>100</v>
      </c>
      <c r="X97" s="46">
        <v>1.75</v>
      </c>
      <c r="Y97" s="9">
        <f>IF(AND(V97="DI",$W97=100),$X97/100,
IF(AND(V97="DI",$W97&lt;&gt;100,$X97=""),INDEX('Debs %CDI'!$Q:$Q,MATCH(Base!$C97,'Debs %CDI'!$A:$A,0)),
IF($V97="USD",INDEX(Bonds!$AF:$AF,MATCH(Base!$C97,Bonds!$B:$B,0)),
IF($V97="IPCA",INDEX('Debs IPCA'!$Z:$Z,MATCH(Base!$C97,'Debs IPCA'!$A:$A,0))))))</f>
        <v>1.7500000000000002E-2</v>
      </c>
      <c r="Z97" s="43">
        <v>252</v>
      </c>
      <c r="AA97" s="43" t="s">
        <v>30</v>
      </c>
      <c r="AB97" s="43" t="s">
        <v>32</v>
      </c>
      <c r="AC97">
        <f t="shared" si="33"/>
        <v>0</v>
      </c>
      <c r="AD97" s="43" t="s">
        <v>31</v>
      </c>
      <c r="AE97">
        <f t="shared" si="34"/>
        <v>1</v>
      </c>
      <c r="AF97" s="34" t="str" cm="1">
        <f t="array" ref="AF97">INDEX(Ratings!$B$2:$M$40,_xlfn.XMATCH(Base!F97,Ratings!$A$2:$A$40),_xlfn.XMATCH(YEAR(Base!K97),Ratings!$B$1:$M$1))</f>
        <v>B</v>
      </c>
      <c r="AG97">
        <f t="shared" si="27"/>
        <v>0</v>
      </c>
      <c r="AH97">
        <f>IFERROR(IFERROR(IFERROR(INDEX('EMBI+'!$B:$B,MATCH(Base!$K97,'EMBI+'!$A:$A,0)),INDEX('EMBI+'!$B:$B,MATCH(Base!$K97+1,'EMBI+'!$A:$A,0))),INDEX('EMBI+'!$B:$B,MATCH(Base!$K97+2,'EMBI+'!$A:$A,0))),INDEX('EMBI+'!$B:$B,MATCH(Base!$K97+3,'EMBI+'!$A:$A,0)))/100</f>
        <v>2.67</v>
      </c>
      <c r="AL97" s="43"/>
      <c r="AM97" s="28"/>
      <c r="AN97" s="28"/>
    </row>
    <row r="98" spans="1:40" x14ac:dyDescent="0.35">
      <c r="A98">
        <f t="shared" si="35"/>
        <v>96</v>
      </c>
      <c r="B98">
        <f>IF(G98="Bonds",COUNTIF($G$3:G98,"Bonds"),0)</f>
        <v>0</v>
      </c>
      <c r="C98" t="str">
        <f t="shared" si="36"/>
        <v>Cemig4363145458</v>
      </c>
      <c r="D98">
        <f t="shared" si="37"/>
        <v>8</v>
      </c>
      <c r="E98" s="43" t="s">
        <v>139</v>
      </c>
      <c r="F98" s="43" t="s">
        <v>137</v>
      </c>
      <c r="G98" s="43" t="s">
        <v>25</v>
      </c>
      <c r="H98">
        <f t="shared" si="28"/>
        <v>0</v>
      </c>
      <c r="I98" s="43" t="s">
        <v>146</v>
      </c>
      <c r="J98" s="34">
        <f t="shared" si="26"/>
        <v>8</v>
      </c>
      <c r="K98" s="28">
        <v>43631</v>
      </c>
      <c r="L98" s="28">
        <v>45458</v>
      </c>
      <c r="M98" s="60">
        <f t="shared" si="29"/>
        <v>5.0054794520547947</v>
      </c>
      <c r="N98" s="4">
        <f t="shared" si="30"/>
        <v>1</v>
      </c>
      <c r="O98" s="43" t="s">
        <v>44</v>
      </c>
      <c r="P98" t="str">
        <f t="shared" si="31"/>
        <v>0</v>
      </c>
      <c r="Q98" s="44">
        <v>2160000</v>
      </c>
      <c r="R98" s="43">
        <v>1000</v>
      </c>
      <c r="S98" s="34" t="str">
        <f>IF($V98="USD",INDEX('Dólar Spot'!$B:$B,MATCH(Base!$K98,'Dólar Spot'!$A:$A,0)),"")</f>
        <v/>
      </c>
      <c r="T98" s="4">
        <f t="shared" si="38"/>
        <v>2160000000</v>
      </c>
      <c r="U98" s="8">
        <f t="shared" si="32"/>
        <v>21.6</v>
      </c>
      <c r="V98" s="43" t="s">
        <v>41</v>
      </c>
      <c r="W98" s="45">
        <v>100</v>
      </c>
      <c r="X98" s="46">
        <v>0.45400000000000001</v>
      </c>
      <c r="Y98" s="9">
        <f>IF(AND(V98="DI",$W98=100),$X98/100,
IF(AND(V98="DI",$W98&lt;&gt;100,$X98=""),INDEX('Debs %CDI'!$Q:$Q,MATCH(Base!$C98,'Debs %CDI'!$A:$A,0)),
IF($V98="USD",INDEX(Bonds!$AF:$AF,MATCH(Base!$C98,Bonds!$B:$B,0)),
IF($V98="IPCA",INDEX('Debs IPCA'!$Z:$Z,MATCH(Base!$C98,'Debs IPCA'!$A:$A,0))))))</f>
        <v>4.5399999999999998E-3</v>
      </c>
      <c r="Z98" s="43">
        <v>252</v>
      </c>
      <c r="AA98" s="43" t="s">
        <v>30</v>
      </c>
      <c r="AB98" s="43" t="s">
        <v>32</v>
      </c>
      <c r="AC98">
        <f t="shared" si="33"/>
        <v>0</v>
      </c>
      <c r="AD98" s="43" t="s">
        <v>31</v>
      </c>
      <c r="AE98">
        <f t="shared" si="34"/>
        <v>1</v>
      </c>
      <c r="AF98" s="34" t="str" cm="1">
        <f t="array" ref="AF98">INDEX(Ratings!$B$2:$M$40,_xlfn.XMATCH(Base!F98,Ratings!$A$2:$A$40),_xlfn.XMATCH(YEAR(Base!K98),Ratings!$B$1:$M$1))</f>
        <v>B+</v>
      </c>
      <c r="AG98">
        <f t="shared" si="27"/>
        <v>0</v>
      </c>
      <c r="AH98">
        <f>IFERROR(IFERROR(IFERROR(INDEX('EMBI+'!$B:$B,MATCH(Base!$K98,'EMBI+'!$A:$A,0)),INDEX('EMBI+'!$B:$B,MATCH(Base!$K98+1,'EMBI+'!$A:$A,0))),INDEX('EMBI+'!$B:$B,MATCH(Base!$K98+2,'EMBI+'!$A:$A,0))),INDEX('EMBI+'!$B:$B,MATCH(Base!$K98+3,'EMBI+'!$A:$A,0)))/100</f>
        <v>2.52</v>
      </c>
      <c r="AL98" s="43"/>
      <c r="AM98" s="28"/>
      <c r="AN98" s="28"/>
    </row>
    <row r="99" spans="1:40" x14ac:dyDescent="0.35">
      <c r="A99">
        <f t="shared" si="35"/>
        <v>97</v>
      </c>
      <c r="B99">
        <f>IF(G99="Bonds",COUNTIF($G$3:G99,"Bonds"),0)</f>
        <v>0</v>
      </c>
      <c r="C99" t="str">
        <f t="shared" si="36"/>
        <v>Cemig4363146188</v>
      </c>
      <c r="D99">
        <f t="shared" si="37"/>
        <v>8</v>
      </c>
      <c r="E99" s="43" t="s">
        <v>139</v>
      </c>
      <c r="F99" s="43" t="s">
        <v>137</v>
      </c>
      <c r="G99" s="43" t="s">
        <v>25</v>
      </c>
      <c r="H99">
        <f t="shared" si="28"/>
        <v>0</v>
      </c>
      <c r="I99" s="43" t="s">
        <v>147</v>
      </c>
      <c r="J99" s="34">
        <f t="shared" si="26"/>
        <v>9</v>
      </c>
      <c r="K99" s="28">
        <v>43631</v>
      </c>
      <c r="L99" s="28">
        <v>46188</v>
      </c>
      <c r="M99" s="60">
        <f t="shared" si="29"/>
        <v>7.0054794520547947</v>
      </c>
      <c r="N99" s="4">
        <f t="shared" si="30"/>
        <v>1</v>
      </c>
      <c r="O99" s="43" t="s">
        <v>44</v>
      </c>
      <c r="P99" t="str">
        <f t="shared" si="31"/>
        <v>0</v>
      </c>
      <c r="Q99" s="44">
        <v>1500000</v>
      </c>
      <c r="R99" s="43">
        <v>1000</v>
      </c>
      <c r="S99" s="34" t="str">
        <f>IF($V99="USD",INDEX('Dólar Spot'!$B:$B,MATCH(Base!$K99,'Dólar Spot'!$A:$A,0)),"")</f>
        <v/>
      </c>
      <c r="T99" s="4">
        <f t="shared" si="38"/>
        <v>1500000000</v>
      </c>
      <c r="U99" s="8">
        <f t="shared" si="32"/>
        <v>15</v>
      </c>
      <c r="V99" s="43" t="s">
        <v>28</v>
      </c>
      <c r="W99" s="45" t="s">
        <v>29</v>
      </c>
      <c r="X99" s="46">
        <v>4.0999999999999996</v>
      </c>
      <c r="Y99" s="9">
        <f>IF(AND(V99="DI",$W99=100),$X99/100,
IF(AND(V99="DI",$W99&lt;&gt;100,$X99=""),INDEX('Debs %CDI'!$Q:$Q,MATCH(Base!$C99,'Debs %CDI'!$A:$A,0)),
IF($V99="USD",INDEX(Bonds!$AF:$AF,MATCH(Base!$C99,Bonds!$B:$B,0)),
IF($V99="IPCA",INDEX('Debs IPCA'!$Z:$Z,MATCH(Base!$C99,'Debs IPCA'!$A:$A,0))))))</f>
        <v>4.1325287443632064E-3</v>
      </c>
      <c r="Z99" s="43">
        <v>252</v>
      </c>
      <c r="AA99" s="43" t="s">
        <v>30</v>
      </c>
      <c r="AB99" s="43" t="s">
        <v>31</v>
      </c>
      <c r="AC99">
        <f t="shared" si="33"/>
        <v>1</v>
      </c>
      <c r="AD99" s="43" t="s">
        <v>32</v>
      </c>
      <c r="AE99">
        <f t="shared" si="34"/>
        <v>0</v>
      </c>
      <c r="AF99" s="34" t="str" cm="1">
        <f t="array" ref="AF99">INDEX(Ratings!$B$2:$M$40,_xlfn.XMATCH(Base!F99,Ratings!$A$2:$A$40),_xlfn.XMATCH(YEAR(Base!K99),Ratings!$B$1:$M$1))</f>
        <v>B+</v>
      </c>
      <c r="AG99">
        <f t="shared" si="27"/>
        <v>0</v>
      </c>
      <c r="AH99">
        <f>IFERROR(IFERROR(IFERROR(INDEX('EMBI+'!$B:$B,MATCH(Base!$K99,'EMBI+'!$A:$A,0)),INDEX('EMBI+'!$B:$B,MATCH(Base!$K99+1,'EMBI+'!$A:$A,0))),INDEX('EMBI+'!$B:$B,MATCH(Base!$K99+2,'EMBI+'!$A:$A,0))),INDEX('EMBI+'!$B:$B,MATCH(Base!$K99+3,'EMBI+'!$A:$A,0)))/100</f>
        <v>2.52</v>
      </c>
      <c r="AL99" s="43"/>
      <c r="AM99" s="28"/>
      <c r="AN99" s="28"/>
    </row>
    <row r="100" spans="1:40" x14ac:dyDescent="0.35">
      <c r="A100">
        <f t="shared" si="35"/>
        <v>98</v>
      </c>
      <c r="B100">
        <f>IF(G100="Bonds",COUNTIF($G$3:G100,"Bonds"),0)</f>
        <v>0</v>
      </c>
      <c r="C100" t="str">
        <f t="shared" si="36"/>
        <v>Cemig4472746553</v>
      </c>
      <c r="D100">
        <f t="shared" si="37"/>
        <v>8</v>
      </c>
      <c r="E100" s="43" t="s">
        <v>139</v>
      </c>
      <c r="F100" s="43" t="s">
        <v>137</v>
      </c>
      <c r="G100" s="43" t="s">
        <v>25</v>
      </c>
      <c r="H100">
        <f t="shared" si="28"/>
        <v>0</v>
      </c>
      <c r="I100" s="43" t="s">
        <v>834</v>
      </c>
      <c r="J100" s="34">
        <f t="shared" si="26"/>
        <v>10</v>
      </c>
      <c r="K100" s="28">
        <v>44727</v>
      </c>
      <c r="L100" s="28">
        <v>46553</v>
      </c>
      <c r="M100" s="60">
        <f t="shared" si="29"/>
        <v>5.0027397260273974</v>
      </c>
      <c r="N100" s="4">
        <f t="shared" si="30"/>
        <v>1</v>
      </c>
      <c r="O100" s="43" t="s">
        <v>44</v>
      </c>
      <c r="P100" t="str">
        <f t="shared" si="31"/>
        <v>0</v>
      </c>
      <c r="Q100" s="44">
        <v>500000</v>
      </c>
      <c r="R100" s="43">
        <v>1000</v>
      </c>
      <c r="S100" s="34" t="str">
        <f>IF($V100="USD",INDEX('Dólar Spot'!$B:$B,MATCH(Base!$K100,'Dólar Spot'!$A:$A,0)),"")</f>
        <v/>
      </c>
      <c r="T100" s="4">
        <f t="shared" si="38"/>
        <v>500000000</v>
      </c>
      <c r="U100" s="8">
        <f t="shared" si="32"/>
        <v>5</v>
      </c>
      <c r="V100" s="43" t="s">
        <v>41</v>
      </c>
      <c r="W100" s="45">
        <v>100</v>
      </c>
      <c r="X100" s="46">
        <v>1.35</v>
      </c>
      <c r="Y100" s="9">
        <f>IF(AND(V100="DI",$W100=100),$X100/100,
IF(AND(V100="DI",$W100&lt;&gt;100,$X100=""),INDEX('Debs %CDI'!$Q:$Q,MATCH(Base!$C100,'Debs %CDI'!$A:$A,0)),
IF($V100="USD",INDEX(Bonds!$AF:$AF,MATCH(Base!$C100,Bonds!$B:$B,0)),
IF($V100="IPCA",INDEX('Debs IPCA'!$Z:$Z,MATCH(Base!$C100,'Debs IPCA'!$A:$A,0))))))</f>
        <v>1.3500000000000002E-2</v>
      </c>
      <c r="Z100" s="43">
        <v>252</v>
      </c>
      <c r="AA100" s="43" t="s">
        <v>30</v>
      </c>
      <c r="AB100" s="43" t="s">
        <v>32</v>
      </c>
      <c r="AC100">
        <f t="shared" si="33"/>
        <v>0</v>
      </c>
      <c r="AD100" s="43" t="s">
        <v>31</v>
      </c>
      <c r="AE100">
        <f t="shared" si="34"/>
        <v>1</v>
      </c>
      <c r="AF100" s="34" t="str" cm="1">
        <f t="array" ref="AF100">INDEX(Ratings!$B$2:$M$40,_xlfn.XMATCH(Base!F100,Ratings!$A$2:$A$40),_xlfn.XMATCH(YEAR(Base!K100),Ratings!$B$1:$M$1))</f>
        <v>BB-</v>
      </c>
      <c r="AG100">
        <f t="shared" si="27"/>
        <v>0</v>
      </c>
      <c r="AH100">
        <f>IFERROR(IFERROR(IFERROR(INDEX('EMBI+'!$B:$B,MATCH(Base!$K100,'EMBI+'!$A:$A,0)),INDEX('EMBI+'!$B:$B,MATCH(Base!$K100+1,'EMBI+'!$A:$A,0))),INDEX('EMBI+'!$B:$B,MATCH(Base!$K100+2,'EMBI+'!$A:$A,0))),INDEX('EMBI+'!$B:$B,MATCH(Base!$K100+3,'EMBI+'!$A:$A,0)))/100</f>
        <v>3.36</v>
      </c>
      <c r="AL100" s="43"/>
      <c r="AM100" s="28"/>
      <c r="AN100" s="28"/>
    </row>
    <row r="101" spans="1:40" x14ac:dyDescent="0.35">
      <c r="A101">
        <f t="shared" si="35"/>
        <v>99</v>
      </c>
      <c r="B101">
        <f>IF(G101="Bonds",COUNTIF($G$3:G101,"Bonds"),0)</f>
        <v>0</v>
      </c>
      <c r="C101" t="str">
        <f t="shared" si="36"/>
        <v>Cemig4472747284</v>
      </c>
      <c r="D101">
        <f t="shared" si="37"/>
        <v>8</v>
      </c>
      <c r="E101" s="43" t="s">
        <v>139</v>
      </c>
      <c r="F101" s="43" t="s">
        <v>137</v>
      </c>
      <c r="G101" s="43" t="s">
        <v>25</v>
      </c>
      <c r="H101">
        <f t="shared" si="28"/>
        <v>0</v>
      </c>
      <c r="I101" s="43" t="s">
        <v>835</v>
      </c>
      <c r="J101" s="34">
        <f t="shared" si="26"/>
        <v>11</v>
      </c>
      <c r="K101" s="28">
        <v>44727</v>
      </c>
      <c r="L101" s="28">
        <v>47284</v>
      </c>
      <c r="M101" s="60">
        <f t="shared" si="29"/>
        <v>7.0054794520547947</v>
      </c>
      <c r="N101" s="4">
        <f t="shared" si="30"/>
        <v>1</v>
      </c>
      <c r="O101" s="43" t="s">
        <v>44</v>
      </c>
      <c r="P101" t="str">
        <f t="shared" si="31"/>
        <v>0</v>
      </c>
      <c r="Q101" s="44">
        <v>500000</v>
      </c>
      <c r="R101" s="43">
        <v>1000</v>
      </c>
      <c r="S101" s="34" t="str">
        <f>IF($V101="USD",INDEX('Dólar Spot'!$B:$B,MATCH(Base!$K101,'Dólar Spot'!$A:$A,0)),"")</f>
        <v/>
      </c>
      <c r="T101" s="4">
        <f t="shared" si="38"/>
        <v>500000000</v>
      </c>
      <c r="U101" s="8">
        <f t="shared" si="32"/>
        <v>5</v>
      </c>
      <c r="V101" s="43" t="s">
        <v>28</v>
      </c>
      <c r="W101" s="45" t="s">
        <v>874</v>
      </c>
      <c r="X101" s="46">
        <v>6.1052</v>
      </c>
      <c r="Y101" s="9">
        <f>IF(AND(V101="DI",$W101=100),$X101/100,
IF(AND(V101="DI",$W101&lt;&gt;100,$X101=""),INDEX('Debs %CDI'!$Q:$Q,MATCH(Base!$C101,'Debs %CDI'!$A:$A,0)),
IF($V101="USD",INDEX(Bonds!$AF:$AF,MATCH(Base!$C101,Bonds!$B:$B,0)),
IF($V101="IPCA",INDEX('Debs IPCA'!$Z:$Z,MATCH(Base!$C101,'Debs IPCA'!$A:$A,0))))))</f>
        <v>6.378607185869134E-3</v>
      </c>
      <c r="Z101" s="43">
        <v>252</v>
      </c>
      <c r="AA101" s="43" t="s">
        <v>30</v>
      </c>
      <c r="AB101" s="43" t="s">
        <v>31</v>
      </c>
      <c r="AC101">
        <f t="shared" si="33"/>
        <v>1</v>
      </c>
      <c r="AD101" s="43" t="s">
        <v>32</v>
      </c>
      <c r="AE101">
        <f t="shared" si="34"/>
        <v>0</v>
      </c>
      <c r="AF101" s="34" t="str" cm="1">
        <f t="array" ref="AF101">INDEX(Ratings!$B$2:$M$40,_xlfn.XMATCH(Base!F101,Ratings!$A$2:$A$40),_xlfn.XMATCH(YEAR(Base!K101),Ratings!$B$1:$M$1))</f>
        <v>BB-</v>
      </c>
      <c r="AG101">
        <f t="shared" si="27"/>
        <v>0</v>
      </c>
      <c r="AH101">
        <f>IFERROR(IFERROR(IFERROR(INDEX('EMBI+'!$B:$B,MATCH(Base!$K101,'EMBI+'!$A:$A,0)),INDEX('EMBI+'!$B:$B,MATCH(Base!$K101+1,'EMBI+'!$A:$A,0))),INDEX('EMBI+'!$B:$B,MATCH(Base!$K101+2,'EMBI+'!$A:$A,0))),INDEX('EMBI+'!$B:$B,MATCH(Base!$K101+3,'EMBI+'!$A:$A,0)))/100</f>
        <v>3.36</v>
      </c>
      <c r="AL101" s="43"/>
      <c r="AM101" s="28"/>
      <c r="AN101" s="28"/>
    </row>
    <row r="102" spans="1:40" x14ac:dyDescent="0.35">
      <c r="A102">
        <f t="shared" si="35"/>
        <v>100</v>
      </c>
      <c r="B102">
        <f>IF(G102="Bonds",COUNTIF($G$3:G102,"Bonds"),0)</f>
        <v>0</v>
      </c>
      <c r="C102" t="str">
        <f t="shared" si="36"/>
        <v>Cemig4095442781</v>
      </c>
      <c r="D102">
        <f t="shared" si="37"/>
        <v>8</v>
      </c>
      <c r="E102" s="43" t="s">
        <v>148</v>
      </c>
      <c r="F102" s="43" t="s">
        <v>137</v>
      </c>
      <c r="G102" s="43" t="s">
        <v>25</v>
      </c>
      <c r="H102">
        <f t="shared" si="28"/>
        <v>0</v>
      </c>
      <c r="I102" s="43" t="s">
        <v>149</v>
      </c>
      <c r="J102" s="34">
        <f t="shared" si="26"/>
        <v>12</v>
      </c>
      <c r="K102" s="28">
        <v>40954</v>
      </c>
      <c r="L102" s="28">
        <v>42781</v>
      </c>
      <c r="M102" s="60">
        <f t="shared" si="29"/>
        <v>5.0054794520547947</v>
      </c>
      <c r="N102" s="4">
        <f t="shared" si="30"/>
        <v>1</v>
      </c>
      <c r="O102" s="43" t="s">
        <v>44</v>
      </c>
      <c r="P102" t="str">
        <f t="shared" si="31"/>
        <v>0</v>
      </c>
      <c r="Q102" s="44">
        <v>480000</v>
      </c>
      <c r="R102" s="43">
        <v>1000</v>
      </c>
      <c r="S102" s="34" t="str">
        <f>IF($V102="USD",INDEX('Dólar Spot'!$B:$B,MATCH(Base!$K102,'Dólar Spot'!$A:$A,0)),"")</f>
        <v/>
      </c>
      <c r="T102" s="4">
        <f t="shared" si="38"/>
        <v>480000000</v>
      </c>
      <c r="U102" s="8">
        <f t="shared" si="32"/>
        <v>4.8</v>
      </c>
      <c r="V102" s="43" t="s">
        <v>41</v>
      </c>
      <c r="W102" s="45">
        <v>100</v>
      </c>
      <c r="X102" s="46">
        <v>0.9</v>
      </c>
      <c r="Y102" s="9">
        <f>IF(AND(V102="DI",$W102=100),$X102/100,
IF(AND(V102="DI",$W102&lt;&gt;100,$X102=""),INDEX('Debs %CDI'!$Q:$Q,MATCH(Base!$C102,'Debs %CDI'!$A:$A,0)),
IF($V102="USD",INDEX(Bonds!$AF:$AF,MATCH(Base!$C102,Bonds!$B:$B,0)),
IF($V102="IPCA",INDEX('Debs IPCA'!$Z:$Z,MATCH(Base!$C102,'Debs IPCA'!$A:$A,0))))))</f>
        <v>9.0000000000000011E-3</v>
      </c>
      <c r="Z102" s="43">
        <v>252</v>
      </c>
      <c r="AA102" s="43" t="s">
        <v>30</v>
      </c>
      <c r="AB102" s="43" t="s">
        <v>32</v>
      </c>
      <c r="AC102">
        <f t="shared" si="33"/>
        <v>0</v>
      </c>
      <c r="AD102" s="43" t="s">
        <v>31</v>
      </c>
      <c r="AE102">
        <f t="shared" si="34"/>
        <v>1</v>
      </c>
      <c r="AF102" s="34" t="str" cm="1">
        <f t="array" ref="AF102">INDEX(Ratings!$B$2:$M$40,_xlfn.XMATCH(Base!F102,Ratings!$A$2:$A$40),_xlfn.XMATCH(YEAR(Base!K102),Ratings!$B$1:$M$1))</f>
        <v>NR</v>
      </c>
      <c r="AG102">
        <f t="shared" si="27"/>
        <v>0</v>
      </c>
      <c r="AH102">
        <f>IFERROR(IFERROR(IFERROR(INDEX('EMBI+'!$B:$B,MATCH(Base!$K102,'EMBI+'!$A:$A,0)),INDEX('EMBI+'!$B:$B,MATCH(Base!$K102+1,'EMBI+'!$A:$A,0))),INDEX('EMBI+'!$B:$B,MATCH(Base!$K102+2,'EMBI+'!$A:$A,0))),INDEX('EMBI+'!$B:$B,MATCH(Base!$K102+3,'EMBI+'!$A:$A,0)))/100</f>
        <v>2.0499999999999998</v>
      </c>
      <c r="AL102" s="43"/>
      <c r="AM102" s="28"/>
      <c r="AN102" s="28"/>
    </row>
    <row r="103" spans="1:40" x14ac:dyDescent="0.35">
      <c r="A103">
        <f t="shared" si="35"/>
        <v>101</v>
      </c>
      <c r="B103">
        <f>IF(G103="Bonds",COUNTIF($G$3:G103,"Bonds"),0)</f>
        <v>0</v>
      </c>
      <c r="C103" t="str">
        <f t="shared" si="36"/>
        <v>Cemig4163142727</v>
      </c>
      <c r="D103">
        <f t="shared" si="37"/>
        <v>8</v>
      </c>
      <c r="E103" s="43" t="s">
        <v>148</v>
      </c>
      <c r="F103" s="43" t="s">
        <v>137</v>
      </c>
      <c r="G103" s="43" t="s">
        <v>25</v>
      </c>
      <c r="H103">
        <f t="shared" si="28"/>
        <v>0</v>
      </c>
      <c r="I103" s="43" t="s">
        <v>150</v>
      </c>
      <c r="J103" s="34">
        <f t="shared" si="26"/>
        <v>13</v>
      </c>
      <c r="K103" s="28">
        <v>41631</v>
      </c>
      <c r="L103" s="28">
        <v>42727</v>
      </c>
      <c r="M103" s="60">
        <f t="shared" si="29"/>
        <v>3.0027397260273974</v>
      </c>
      <c r="N103" s="4">
        <f t="shared" si="30"/>
        <v>0</v>
      </c>
      <c r="O103" s="43" t="s">
        <v>44</v>
      </c>
      <c r="P103" t="str">
        <f t="shared" si="31"/>
        <v>0</v>
      </c>
      <c r="Q103" s="44">
        <v>50000</v>
      </c>
      <c r="R103" s="43">
        <v>10000</v>
      </c>
      <c r="S103" s="34" t="str">
        <f>IF($V103="USD",INDEX('Dólar Spot'!$B:$B,MATCH(Base!$K103,'Dólar Spot'!$A:$A,0)),"")</f>
        <v/>
      </c>
      <c r="T103" s="4">
        <f t="shared" si="38"/>
        <v>500000000</v>
      </c>
      <c r="U103" s="8">
        <f t="shared" si="32"/>
        <v>5</v>
      </c>
      <c r="V103" s="43" t="s">
        <v>41</v>
      </c>
      <c r="W103" s="45">
        <v>100</v>
      </c>
      <c r="X103" s="46">
        <v>0.85</v>
      </c>
      <c r="Y103" s="9">
        <f>IF(AND(V103="DI",$W103=100),$X103/100,
IF(AND(V103="DI",$W103&lt;&gt;100,$X103=""),INDEX('Debs %CDI'!$Q:$Q,MATCH(Base!$C103,'Debs %CDI'!$A:$A,0)),
IF($V103="USD",INDEX(Bonds!$AF:$AF,MATCH(Base!$C103,Bonds!$B:$B,0)),
IF($V103="IPCA",INDEX('Debs IPCA'!$Z:$Z,MATCH(Base!$C103,'Debs IPCA'!$A:$A,0))))))</f>
        <v>8.5000000000000006E-3</v>
      </c>
      <c r="Z103" s="43">
        <v>252</v>
      </c>
      <c r="AA103" s="43" t="s">
        <v>30</v>
      </c>
      <c r="AB103" s="43" t="s">
        <v>32</v>
      </c>
      <c r="AC103">
        <f t="shared" si="33"/>
        <v>0</v>
      </c>
      <c r="AD103" s="43" t="s">
        <v>32</v>
      </c>
      <c r="AE103">
        <f t="shared" si="34"/>
        <v>0</v>
      </c>
      <c r="AF103" s="34" t="str" cm="1">
        <f t="array" ref="AF103">INDEX(Ratings!$B$2:$M$40,_xlfn.XMATCH(Base!F103,Ratings!$A$2:$A$40),_xlfn.XMATCH(YEAR(Base!K103),Ratings!$B$1:$M$1))</f>
        <v>NR</v>
      </c>
      <c r="AG103">
        <f t="shared" si="27"/>
        <v>0</v>
      </c>
      <c r="AH103">
        <f>IFERROR(IFERROR(IFERROR(INDEX('EMBI+'!$B:$B,MATCH(Base!$K103,'EMBI+'!$A:$A,0)),INDEX('EMBI+'!$B:$B,MATCH(Base!$K103+1,'EMBI+'!$A:$A,0))),INDEX('EMBI+'!$B:$B,MATCH(Base!$K103+2,'EMBI+'!$A:$A,0))),INDEX('EMBI+'!$B:$B,MATCH(Base!$K103+3,'EMBI+'!$A:$A,0)))/100</f>
        <v>2.29</v>
      </c>
      <c r="AL103" s="43"/>
      <c r="AM103" s="28"/>
      <c r="AN103" s="28"/>
    </row>
    <row r="104" spans="1:40" x14ac:dyDescent="0.35">
      <c r="A104">
        <f t="shared" si="35"/>
        <v>102</v>
      </c>
      <c r="B104">
        <f>IF(G104="Bonds",COUNTIF($G$3:G104,"Bonds"),0)</f>
        <v>0</v>
      </c>
      <c r="C104" t="str">
        <f t="shared" si="36"/>
        <v>Cemig4198343444</v>
      </c>
      <c r="D104">
        <f t="shared" si="37"/>
        <v>8</v>
      </c>
      <c r="E104" s="43" t="s">
        <v>148</v>
      </c>
      <c r="F104" s="43" t="s">
        <v>137</v>
      </c>
      <c r="G104" s="43" t="s">
        <v>25</v>
      </c>
      <c r="H104">
        <f t="shared" si="28"/>
        <v>0</v>
      </c>
      <c r="I104" s="43" t="s">
        <v>151</v>
      </c>
      <c r="J104" s="34">
        <f t="shared" si="26"/>
        <v>14</v>
      </c>
      <c r="K104" s="28">
        <v>41983</v>
      </c>
      <c r="L104" s="28">
        <v>43444</v>
      </c>
      <c r="M104" s="60">
        <f t="shared" si="29"/>
        <v>4.0027397260273974</v>
      </c>
      <c r="N104" s="4">
        <f t="shared" si="30"/>
        <v>0</v>
      </c>
      <c r="O104" s="43" t="s">
        <v>44</v>
      </c>
      <c r="P104" t="str">
        <f t="shared" si="31"/>
        <v>0</v>
      </c>
      <c r="Q104" s="44">
        <v>140000</v>
      </c>
      <c r="R104" s="43">
        <v>10000</v>
      </c>
      <c r="S104" s="34" t="str">
        <f>IF($V104="USD",INDEX('Dólar Spot'!$B:$B,MATCH(Base!$K104,'Dólar Spot'!$A:$A,0)),"")</f>
        <v/>
      </c>
      <c r="T104" s="4">
        <f t="shared" si="38"/>
        <v>1400000000</v>
      </c>
      <c r="U104" s="8">
        <f t="shared" si="32"/>
        <v>14</v>
      </c>
      <c r="V104" s="43" t="s">
        <v>41</v>
      </c>
      <c r="W104" s="45">
        <v>100</v>
      </c>
      <c r="X104" s="46">
        <v>1.7</v>
      </c>
      <c r="Y104" s="9">
        <f>IF(AND(V104="DI",$W104=100),$X104/100,
IF(AND(V104="DI",$W104&lt;&gt;100,$X104=""),INDEX('Debs %CDI'!$Q:$Q,MATCH(Base!$C104,'Debs %CDI'!$A:$A,0)),
IF($V104="USD",INDEX(Bonds!$AF:$AF,MATCH(Base!$C104,Bonds!$B:$B,0)),
IF($V104="IPCA",INDEX('Debs IPCA'!$Z:$Z,MATCH(Base!$C104,'Debs IPCA'!$A:$A,0))))))</f>
        <v>1.7000000000000001E-2</v>
      </c>
      <c r="Z104" s="43">
        <v>252</v>
      </c>
      <c r="AA104" s="43" t="s">
        <v>30</v>
      </c>
      <c r="AB104" s="43" t="s">
        <v>32</v>
      </c>
      <c r="AC104">
        <f t="shared" si="33"/>
        <v>0</v>
      </c>
      <c r="AD104" s="43" t="s">
        <v>32</v>
      </c>
      <c r="AE104">
        <f t="shared" si="34"/>
        <v>0</v>
      </c>
      <c r="AF104" s="34" t="str" cm="1">
        <f t="array" ref="AF104">INDEX(Ratings!$B$2:$M$40,_xlfn.XMATCH(Base!F104,Ratings!$A$2:$A$40),_xlfn.XMATCH(YEAR(Base!K104),Ratings!$B$1:$M$1))</f>
        <v>NR</v>
      </c>
      <c r="AG104">
        <f t="shared" si="27"/>
        <v>0</v>
      </c>
      <c r="AH104">
        <f>IFERROR(IFERROR(IFERROR(INDEX('EMBI+'!$B:$B,MATCH(Base!$K104,'EMBI+'!$A:$A,0)),INDEX('EMBI+'!$B:$B,MATCH(Base!$K104+1,'EMBI+'!$A:$A,0))),INDEX('EMBI+'!$B:$B,MATCH(Base!$K104+2,'EMBI+'!$A:$A,0))),INDEX('EMBI+'!$B:$B,MATCH(Base!$K104+3,'EMBI+'!$A:$A,0)))/100</f>
        <v>2.8</v>
      </c>
      <c r="AL104" s="43"/>
      <c r="AM104" s="28"/>
      <c r="AN104" s="28"/>
    </row>
    <row r="105" spans="1:40" x14ac:dyDescent="0.35">
      <c r="A105">
        <f t="shared" si="35"/>
        <v>103</v>
      </c>
      <c r="B105">
        <f>IF(G105="Bonds",COUNTIF($G$3:G105,"Bonds"),0)</f>
        <v>0</v>
      </c>
      <c r="C105" t="str">
        <f t="shared" si="36"/>
        <v>Cemig4220043296</v>
      </c>
      <c r="D105">
        <f t="shared" si="37"/>
        <v>8</v>
      </c>
      <c r="E105" s="43" t="s">
        <v>148</v>
      </c>
      <c r="F105" s="43" t="s">
        <v>137</v>
      </c>
      <c r="G105" s="43" t="s">
        <v>25</v>
      </c>
      <c r="H105">
        <f t="shared" si="28"/>
        <v>0</v>
      </c>
      <c r="I105" s="43" t="s">
        <v>152</v>
      </c>
      <c r="J105" s="34">
        <f t="shared" si="26"/>
        <v>15</v>
      </c>
      <c r="K105" s="28">
        <v>42200</v>
      </c>
      <c r="L105" s="28">
        <v>43296</v>
      </c>
      <c r="M105" s="60">
        <f t="shared" si="29"/>
        <v>3.0027397260273974</v>
      </c>
      <c r="N105" s="4">
        <f t="shared" si="30"/>
        <v>0</v>
      </c>
      <c r="O105" s="43" t="s">
        <v>44</v>
      </c>
      <c r="P105" t="str">
        <f t="shared" si="31"/>
        <v>0</v>
      </c>
      <c r="Q105" s="44">
        <v>97275</v>
      </c>
      <c r="R105" s="43">
        <v>10000</v>
      </c>
      <c r="S105" s="34" t="str">
        <f>IF($V105="USD",INDEX('Dólar Spot'!$B:$B,MATCH(Base!$K105,'Dólar Spot'!$A:$A,0)),"")</f>
        <v/>
      </c>
      <c r="T105" s="4">
        <f t="shared" si="38"/>
        <v>972750000</v>
      </c>
      <c r="U105" s="8">
        <f t="shared" si="32"/>
        <v>9.7274999999999991</v>
      </c>
      <c r="V105" s="43" t="s">
        <v>41</v>
      </c>
      <c r="W105" s="45">
        <v>100</v>
      </c>
      <c r="X105" s="46">
        <v>1.6</v>
      </c>
      <c r="Y105" s="9">
        <f>IF(AND(V105="DI",$W105=100),$X105/100,
IF(AND(V105="DI",$W105&lt;&gt;100,$X105=""),INDEX('Debs %CDI'!$Q:$Q,MATCH(Base!$C105,'Debs %CDI'!$A:$A,0)),
IF($V105="USD",INDEX(Bonds!$AF:$AF,MATCH(Base!$C105,Bonds!$B:$B,0)),
IF($V105="IPCA",INDEX('Debs IPCA'!$Z:$Z,MATCH(Base!$C105,'Debs IPCA'!$A:$A,0))))))</f>
        <v>1.6E-2</v>
      </c>
      <c r="Z105" s="43">
        <v>252</v>
      </c>
      <c r="AA105" s="43" t="s">
        <v>30</v>
      </c>
      <c r="AB105" s="43" t="s">
        <v>32</v>
      </c>
      <c r="AC105">
        <f t="shared" si="33"/>
        <v>0</v>
      </c>
      <c r="AD105" s="43" t="s">
        <v>32</v>
      </c>
      <c r="AE105">
        <f t="shared" si="34"/>
        <v>0</v>
      </c>
      <c r="AF105" s="34" t="str" cm="1">
        <f t="array" ref="AF105">INDEX(Ratings!$B$2:$M$40,_xlfn.XMATCH(Base!F105,Ratings!$A$2:$A$40),_xlfn.XMATCH(YEAR(Base!K105),Ratings!$B$1:$M$1))</f>
        <v>NR</v>
      </c>
      <c r="AG105">
        <f t="shared" si="27"/>
        <v>0</v>
      </c>
      <c r="AH105">
        <f>IFERROR(IFERROR(IFERROR(INDEX('EMBI+'!$B:$B,MATCH(Base!$K105,'EMBI+'!$A:$A,0)),INDEX('EMBI+'!$B:$B,MATCH(Base!$K105+1,'EMBI+'!$A:$A,0))),INDEX('EMBI+'!$B:$B,MATCH(Base!$K105+2,'EMBI+'!$A:$A,0))),INDEX('EMBI+'!$B:$B,MATCH(Base!$K105+3,'EMBI+'!$A:$A,0)))/100</f>
        <v>3.06</v>
      </c>
      <c r="AL105" s="43"/>
      <c r="AM105" s="28"/>
      <c r="AN105" s="28"/>
    </row>
    <row r="106" spans="1:40" x14ac:dyDescent="0.35">
      <c r="A106">
        <f t="shared" si="35"/>
        <v>104</v>
      </c>
      <c r="B106">
        <f>IF(G106="Bonds",COUNTIF($G$3:G106,"Bonds"),0)</f>
        <v>0</v>
      </c>
      <c r="C106" t="str">
        <f t="shared" si="36"/>
        <v>Cemig4272744553</v>
      </c>
      <c r="D106">
        <f t="shared" si="37"/>
        <v>8</v>
      </c>
      <c r="E106" s="43" t="s">
        <v>148</v>
      </c>
      <c r="F106" s="43" t="s">
        <v>137</v>
      </c>
      <c r="G106" s="43" t="s">
        <v>25</v>
      </c>
      <c r="H106">
        <f t="shared" si="28"/>
        <v>0</v>
      </c>
      <c r="I106" s="43" t="s">
        <v>153</v>
      </c>
      <c r="J106" s="34">
        <f t="shared" si="26"/>
        <v>16</v>
      </c>
      <c r="K106" s="28">
        <v>42727</v>
      </c>
      <c r="L106" s="28">
        <v>44553</v>
      </c>
      <c r="M106" s="60">
        <f t="shared" si="29"/>
        <v>5.0027397260273974</v>
      </c>
      <c r="N106" s="4">
        <f t="shared" si="30"/>
        <v>1</v>
      </c>
      <c r="O106" s="43" t="s">
        <v>27</v>
      </c>
      <c r="P106" t="str">
        <f t="shared" si="31"/>
        <v>1</v>
      </c>
      <c r="Q106" s="44">
        <v>224000</v>
      </c>
      <c r="R106" s="43">
        <v>10000</v>
      </c>
      <c r="S106" s="34" t="str">
        <f>IF($V106="USD",INDEX('Dólar Spot'!$B:$B,MATCH(Base!$K106,'Dólar Spot'!$A:$A,0)),"")</f>
        <v/>
      </c>
      <c r="T106" s="4">
        <f t="shared" si="38"/>
        <v>2240000000</v>
      </c>
      <c r="U106" s="8">
        <f t="shared" si="32"/>
        <v>22.4</v>
      </c>
      <c r="V106" s="43" t="s">
        <v>41</v>
      </c>
      <c r="W106" s="45">
        <v>140</v>
      </c>
      <c r="X106" s="46"/>
      <c r="Y106" s="9">
        <f>IF(AND(V106="DI",$W106=100),$X106/100,
IF(AND(V106="DI",$W106&lt;&gt;100,$X106=""),INDEX('Debs %CDI'!$Q:$Q,MATCH(Base!$C106,'Debs %CDI'!$A:$A,0)),
IF($V106="USD",INDEX(Bonds!$AF:$AF,MATCH(Base!$C106,Bonds!$B:$B,0)),
IF($V106="IPCA",INDEX('Debs IPCA'!$Z:$Z,MATCH(Base!$C106,'Debs IPCA'!$A:$A,0))))))</f>
        <v>4.6189209405952517E-2</v>
      </c>
      <c r="Z106" s="43">
        <v>252</v>
      </c>
      <c r="AA106" s="43" t="s">
        <v>30</v>
      </c>
      <c r="AB106" s="43" t="s">
        <v>32</v>
      </c>
      <c r="AC106">
        <f t="shared" si="33"/>
        <v>0</v>
      </c>
      <c r="AD106" s="43" t="s">
        <v>31</v>
      </c>
      <c r="AE106">
        <f t="shared" si="34"/>
        <v>1</v>
      </c>
      <c r="AF106" s="34" t="str" cm="1">
        <f t="array" ref="AF106">INDEX(Ratings!$B$2:$M$40,_xlfn.XMATCH(Base!F106,Ratings!$A$2:$A$40),_xlfn.XMATCH(YEAR(Base!K106),Ratings!$B$1:$M$1))</f>
        <v>NR</v>
      </c>
      <c r="AG106">
        <f t="shared" si="27"/>
        <v>0</v>
      </c>
      <c r="AH106">
        <f>IFERROR(IFERROR(IFERROR(INDEX('EMBI+'!$B:$B,MATCH(Base!$K106,'EMBI+'!$A:$A,0)),INDEX('EMBI+'!$B:$B,MATCH(Base!$K106+1,'EMBI+'!$A:$A,0))),INDEX('EMBI+'!$B:$B,MATCH(Base!$K106+2,'EMBI+'!$A:$A,0))),INDEX('EMBI+'!$B:$B,MATCH(Base!$K106+3,'EMBI+'!$A:$A,0)))/100</f>
        <v>3.25</v>
      </c>
      <c r="AL106" s="43"/>
      <c r="AM106" s="28"/>
      <c r="AN106" s="28"/>
    </row>
    <row r="107" spans="1:40" x14ac:dyDescent="0.35">
      <c r="A107">
        <f t="shared" si="35"/>
        <v>105</v>
      </c>
      <c r="B107">
        <f>IF(G107="Bonds",COUNTIF($G$3:G107,"Bonds"),0)</f>
        <v>0</v>
      </c>
      <c r="C107" t="str">
        <f t="shared" si="36"/>
        <v>Cemig4095443511</v>
      </c>
      <c r="D107">
        <f t="shared" si="37"/>
        <v>8</v>
      </c>
      <c r="E107" s="43" t="s">
        <v>148</v>
      </c>
      <c r="F107" s="43" t="s">
        <v>137</v>
      </c>
      <c r="G107" s="43" t="s">
        <v>25</v>
      </c>
      <c r="H107">
        <f t="shared" si="28"/>
        <v>0</v>
      </c>
      <c r="I107" s="43" t="s">
        <v>154</v>
      </c>
      <c r="J107" s="34">
        <f t="shared" si="26"/>
        <v>17</v>
      </c>
      <c r="K107" s="28">
        <v>40954</v>
      </c>
      <c r="L107" s="28">
        <v>43511</v>
      </c>
      <c r="M107" s="60">
        <f t="shared" si="29"/>
        <v>7.0054794520547947</v>
      </c>
      <c r="N107" s="4">
        <f t="shared" si="30"/>
        <v>1</v>
      </c>
      <c r="O107" s="43" t="s">
        <v>44</v>
      </c>
      <c r="P107" t="str">
        <f t="shared" si="31"/>
        <v>0</v>
      </c>
      <c r="Q107" s="44">
        <v>200000</v>
      </c>
      <c r="R107" s="43">
        <v>1000</v>
      </c>
      <c r="S107" s="34" t="str">
        <f>IF($V107="USD",INDEX('Dólar Spot'!$B:$B,MATCH(Base!$K107,'Dólar Spot'!$A:$A,0)),"")</f>
        <v/>
      </c>
      <c r="T107" s="4">
        <f t="shared" si="38"/>
        <v>200000000</v>
      </c>
      <c r="U107" s="8">
        <f t="shared" si="32"/>
        <v>2</v>
      </c>
      <c r="V107" s="43" t="s">
        <v>28</v>
      </c>
      <c r="W107" s="45" t="s">
        <v>29</v>
      </c>
      <c r="X107" s="46">
        <v>6</v>
      </c>
      <c r="Y107" s="9">
        <f>IF(AND(V107="DI",$W107=100),$X107/100,
IF(AND(V107="DI",$W107&lt;&gt;100,$X107=""),INDEX('Debs %CDI'!$Q:$Q,MATCH(Base!$C107,'Debs %CDI'!$A:$A,0)),
IF($V107="USD",INDEX(Bonds!$AF:$AF,MATCH(Base!$C107,Bonds!$B:$B,0)),
IF($V107="IPCA",INDEX('Debs IPCA'!$Z:$Z,MATCH(Base!$C107,'Debs IPCA'!$A:$A,0))))))</f>
        <v>8.8398325053484772E-3</v>
      </c>
      <c r="Z107" s="43">
        <v>252</v>
      </c>
      <c r="AA107" s="43" t="s">
        <v>30</v>
      </c>
      <c r="AB107" s="43" t="s">
        <v>32</v>
      </c>
      <c r="AC107">
        <f t="shared" si="33"/>
        <v>0</v>
      </c>
      <c r="AD107" s="43" t="s">
        <v>31</v>
      </c>
      <c r="AE107">
        <f t="shared" si="34"/>
        <v>1</v>
      </c>
      <c r="AF107" s="34" t="str" cm="1">
        <f t="array" ref="AF107">INDEX(Ratings!$B$2:$M$40,_xlfn.XMATCH(Base!F107,Ratings!$A$2:$A$40),_xlfn.XMATCH(YEAR(Base!K107),Ratings!$B$1:$M$1))</f>
        <v>NR</v>
      </c>
      <c r="AG107">
        <f t="shared" si="27"/>
        <v>0</v>
      </c>
      <c r="AH107">
        <f>IFERROR(IFERROR(IFERROR(INDEX('EMBI+'!$B:$B,MATCH(Base!$K107,'EMBI+'!$A:$A,0)),INDEX('EMBI+'!$B:$B,MATCH(Base!$K107+1,'EMBI+'!$A:$A,0))),INDEX('EMBI+'!$B:$B,MATCH(Base!$K107+2,'EMBI+'!$A:$A,0))),INDEX('EMBI+'!$B:$B,MATCH(Base!$K107+3,'EMBI+'!$A:$A,0)))/100</f>
        <v>2.0499999999999998</v>
      </c>
      <c r="AL107" s="43"/>
      <c r="AM107" s="28"/>
      <c r="AN107" s="28"/>
    </row>
    <row r="108" spans="1:40" x14ac:dyDescent="0.35">
      <c r="A108">
        <f t="shared" si="35"/>
        <v>106</v>
      </c>
      <c r="B108">
        <f>IF(G108="Bonds",COUNTIF($G$3:G108,"Bonds"),0)</f>
        <v>0</v>
      </c>
      <c r="C108" t="str">
        <f t="shared" si="36"/>
        <v>Cemig4220044027</v>
      </c>
      <c r="D108">
        <f t="shared" si="37"/>
        <v>8</v>
      </c>
      <c r="E108" s="43" t="s">
        <v>148</v>
      </c>
      <c r="F108" s="43" t="s">
        <v>137</v>
      </c>
      <c r="G108" s="43" t="s">
        <v>25</v>
      </c>
      <c r="H108">
        <f t="shared" si="28"/>
        <v>0</v>
      </c>
      <c r="I108" s="43" t="s">
        <v>155</v>
      </c>
      <c r="J108" s="34">
        <f t="shared" si="26"/>
        <v>18</v>
      </c>
      <c r="K108" s="28">
        <v>42200</v>
      </c>
      <c r="L108" s="28">
        <v>44027</v>
      </c>
      <c r="M108" s="60">
        <f t="shared" si="29"/>
        <v>5.0054794520547947</v>
      </c>
      <c r="N108" s="4">
        <f t="shared" si="30"/>
        <v>1</v>
      </c>
      <c r="O108" s="43" t="s">
        <v>44</v>
      </c>
      <c r="P108" t="str">
        <f t="shared" si="31"/>
        <v>0</v>
      </c>
      <c r="Q108" s="44">
        <v>2725</v>
      </c>
      <c r="R108" s="43">
        <v>10000</v>
      </c>
      <c r="S108" s="34" t="str">
        <f>IF($V108="USD",INDEX('Dólar Spot'!$B:$B,MATCH(Base!$K108,'Dólar Spot'!$A:$A,0)),"")</f>
        <v/>
      </c>
      <c r="T108" s="4">
        <f t="shared" si="38"/>
        <v>27250000</v>
      </c>
      <c r="U108" s="8">
        <f t="shared" si="32"/>
        <v>0.27250000000000002</v>
      </c>
      <c r="V108" s="43" t="s">
        <v>28</v>
      </c>
      <c r="W108" s="45" t="s">
        <v>29</v>
      </c>
      <c r="X108" s="46">
        <v>8.0670000000000002</v>
      </c>
      <c r="Y108" s="9">
        <f>IF(AND(V108="DI",$W108=100),$X108/100,
IF(AND(V108="DI",$W108&lt;&gt;100,$X108=""),INDEX('Debs %CDI'!$Q:$Q,MATCH(Base!$C108,'Debs %CDI'!$A:$A,0)),
IF($V108="USD",INDEX(Bonds!$AF:$AF,MATCH(Base!$C108,Bonds!$B:$B,0)),
IF($V108="IPCA",INDEX('Debs IPCA'!$Z:$Z,MATCH(Base!$C108,'Debs IPCA'!$A:$A,0))))))</f>
        <v>1.4475248313748024E-2</v>
      </c>
      <c r="Z108" s="43">
        <v>252</v>
      </c>
      <c r="AA108" s="43" t="s">
        <v>30</v>
      </c>
      <c r="AB108" s="43" t="s">
        <v>32</v>
      </c>
      <c r="AC108">
        <f t="shared" si="33"/>
        <v>0</v>
      </c>
      <c r="AD108" s="43" t="s">
        <v>32</v>
      </c>
      <c r="AE108">
        <f t="shared" si="34"/>
        <v>0</v>
      </c>
      <c r="AF108" s="34" t="str" cm="1">
        <f t="array" ref="AF108">INDEX(Ratings!$B$2:$M$40,_xlfn.XMATCH(Base!F108,Ratings!$A$2:$A$40),_xlfn.XMATCH(YEAR(Base!K108),Ratings!$B$1:$M$1))</f>
        <v>NR</v>
      </c>
      <c r="AG108">
        <f t="shared" si="27"/>
        <v>0</v>
      </c>
      <c r="AH108">
        <f>IFERROR(IFERROR(IFERROR(INDEX('EMBI+'!$B:$B,MATCH(Base!$K108,'EMBI+'!$A:$A,0)),INDEX('EMBI+'!$B:$B,MATCH(Base!$K108+1,'EMBI+'!$A:$A,0))),INDEX('EMBI+'!$B:$B,MATCH(Base!$K108+2,'EMBI+'!$A:$A,0))),INDEX('EMBI+'!$B:$B,MATCH(Base!$K108+3,'EMBI+'!$A:$A,0)))/100</f>
        <v>3.06</v>
      </c>
      <c r="AL108" s="43"/>
      <c r="AM108" s="28"/>
      <c r="AN108" s="28"/>
    </row>
    <row r="109" spans="1:40" x14ac:dyDescent="0.35">
      <c r="A109">
        <f t="shared" si="35"/>
        <v>107</v>
      </c>
      <c r="B109">
        <f>IF(G109="Bonds",COUNTIF($G$3:G109,"Bonds"),0)</f>
        <v>0</v>
      </c>
      <c r="C109" t="str">
        <f t="shared" si="36"/>
        <v>Cemig4095444607</v>
      </c>
      <c r="D109">
        <f t="shared" si="37"/>
        <v>8</v>
      </c>
      <c r="E109" s="43" t="s">
        <v>148</v>
      </c>
      <c r="F109" s="43" t="s">
        <v>137</v>
      </c>
      <c r="G109" s="43" t="s">
        <v>25</v>
      </c>
      <c r="H109">
        <f t="shared" si="28"/>
        <v>0</v>
      </c>
      <c r="I109" s="43" t="s">
        <v>156</v>
      </c>
      <c r="J109" s="34">
        <f t="shared" si="26"/>
        <v>19</v>
      </c>
      <c r="K109" s="28">
        <v>40954</v>
      </c>
      <c r="L109" s="28">
        <v>44607</v>
      </c>
      <c r="M109" s="60">
        <f t="shared" si="29"/>
        <v>10.008219178082191</v>
      </c>
      <c r="N109" s="4">
        <f t="shared" si="30"/>
        <v>1</v>
      </c>
      <c r="O109" s="43" t="s">
        <v>44</v>
      </c>
      <c r="P109" t="str">
        <f t="shared" si="31"/>
        <v>0</v>
      </c>
      <c r="Q109" s="44">
        <v>670000</v>
      </c>
      <c r="R109" s="43">
        <v>1000</v>
      </c>
      <c r="S109" s="34" t="str">
        <f>IF($V109="USD",INDEX('Dólar Spot'!$B:$B,MATCH(Base!$K109,'Dólar Spot'!$A:$A,0)),"")</f>
        <v/>
      </c>
      <c r="T109" s="4">
        <f t="shared" si="38"/>
        <v>670000000</v>
      </c>
      <c r="U109" s="8">
        <f t="shared" si="32"/>
        <v>6.7</v>
      </c>
      <c r="V109" s="43" t="s">
        <v>28</v>
      </c>
      <c r="W109" s="45" t="s">
        <v>29</v>
      </c>
      <c r="X109" s="46">
        <v>6.2</v>
      </c>
      <c r="Y109" s="9">
        <f>IF(AND(V109="DI",$W109=100),$X109/100,
IF(AND(V109="DI",$W109&lt;&gt;100,$X109=""),INDEX('Debs %CDI'!$Q:$Q,MATCH(Base!$C109,'Debs %CDI'!$A:$A,0)),
IF($V109="USD",INDEX(Bonds!$AF:$AF,MATCH(Base!$C109,Bonds!$B:$B,0)),
IF($V109="IPCA",INDEX('Debs IPCA'!$Z:$Z,MATCH(Base!$C109,'Debs IPCA'!$A:$A,0))))))</f>
        <v>9.5540485226726091E-3</v>
      </c>
      <c r="Z109" s="43">
        <v>252</v>
      </c>
      <c r="AA109" s="43" t="s">
        <v>30</v>
      </c>
      <c r="AB109" s="43" t="s">
        <v>32</v>
      </c>
      <c r="AC109">
        <f t="shared" si="33"/>
        <v>0</v>
      </c>
      <c r="AD109" s="43" t="s">
        <v>31</v>
      </c>
      <c r="AE109">
        <f t="shared" si="34"/>
        <v>1</v>
      </c>
      <c r="AF109" s="34" t="str" cm="1">
        <f t="array" ref="AF109">INDEX(Ratings!$B$2:$M$40,_xlfn.XMATCH(Base!F109,Ratings!$A$2:$A$40),_xlfn.XMATCH(YEAR(Base!K109),Ratings!$B$1:$M$1))</f>
        <v>NR</v>
      </c>
      <c r="AG109">
        <f t="shared" si="27"/>
        <v>0</v>
      </c>
      <c r="AH109">
        <f>IFERROR(IFERROR(IFERROR(INDEX('EMBI+'!$B:$B,MATCH(Base!$K109,'EMBI+'!$A:$A,0)),INDEX('EMBI+'!$B:$B,MATCH(Base!$K109+1,'EMBI+'!$A:$A,0))),INDEX('EMBI+'!$B:$B,MATCH(Base!$K109+2,'EMBI+'!$A:$A,0))),INDEX('EMBI+'!$B:$B,MATCH(Base!$K109+3,'EMBI+'!$A:$A,0)))/100</f>
        <v>2.0499999999999998</v>
      </c>
      <c r="AL109" s="43"/>
      <c r="AM109" s="28"/>
      <c r="AN109" s="28"/>
    </row>
    <row r="110" spans="1:40" x14ac:dyDescent="0.35">
      <c r="A110">
        <f t="shared" si="35"/>
        <v>108</v>
      </c>
      <c r="B110">
        <f>IF(G110="Bonds",COUNTIF($G$3:G110,"Bonds"),0)</f>
        <v>0</v>
      </c>
      <c r="C110" t="str">
        <f t="shared" si="36"/>
        <v>Cemig4491046736</v>
      </c>
      <c r="D110">
        <f t="shared" si="37"/>
        <v>8</v>
      </c>
      <c r="E110" s="43" t="s">
        <v>148</v>
      </c>
      <c r="F110" s="43" t="s">
        <v>137</v>
      </c>
      <c r="G110" s="43" t="s">
        <v>25</v>
      </c>
      <c r="H110">
        <f t="shared" si="28"/>
        <v>0</v>
      </c>
      <c r="I110" s="43" t="s">
        <v>838</v>
      </c>
      <c r="J110" s="34">
        <f t="shared" si="26"/>
        <v>20</v>
      </c>
      <c r="K110" s="28">
        <v>44910</v>
      </c>
      <c r="L110" s="28">
        <v>46736</v>
      </c>
      <c r="M110" s="60">
        <f t="shared" si="29"/>
        <v>5.0027397260273974</v>
      </c>
      <c r="N110" s="4">
        <f t="shared" si="30"/>
        <v>1</v>
      </c>
      <c r="O110" s="43" t="s">
        <v>44</v>
      </c>
      <c r="P110" t="str">
        <f t="shared" si="31"/>
        <v>0</v>
      </c>
      <c r="Q110" s="44">
        <v>700000</v>
      </c>
      <c r="R110" s="43">
        <v>1000</v>
      </c>
      <c r="S110" s="34" t="str">
        <f>IF($V110="USD",INDEX('Dólar Spot'!$B:$B,MATCH(Base!$K110,'Dólar Spot'!$A:$A,0)),"")</f>
        <v/>
      </c>
      <c r="T110" s="4">
        <f t="shared" si="38"/>
        <v>700000000</v>
      </c>
      <c r="U110" s="8">
        <f t="shared" si="32"/>
        <v>7</v>
      </c>
      <c r="V110" s="43" t="s">
        <v>41</v>
      </c>
      <c r="W110" s="45">
        <v>100</v>
      </c>
      <c r="X110" s="46">
        <v>1.33</v>
      </c>
      <c r="Y110" s="9">
        <f>IF(AND(V110="DI",$W110=100),$X110/100,
IF(AND(V110="DI",$W110&lt;&gt;100,$X110=""),INDEX('Debs %CDI'!$Q:$Q,MATCH(Base!$C110,'Debs %CDI'!$A:$A,0)),
IF($V110="USD",INDEX(Bonds!$AF:$AF,MATCH(Base!$C110,Bonds!$B:$B,0)),
IF($V110="IPCA",INDEX('Debs IPCA'!$Z:$Z,MATCH(Base!$C110,'Debs IPCA'!$A:$A,0))))))</f>
        <v>1.3300000000000001E-2</v>
      </c>
      <c r="Z110" s="43">
        <v>252</v>
      </c>
      <c r="AA110" s="43" t="s">
        <v>30</v>
      </c>
      <c r="AB110" s="43" t="s">
        <v>32</v>
      </c>
      <c r="AC110">
        <f t="shared" si="33"/>
        <v>0</v>
      </c>
      <c r="AD110" s="43" t="s">
        <v>31</v>
      </c>
      <c r="AE110">
        <f t="shared" si="34"/>
        <v>1</v>
      </c>
      <c r="AF110" s="34" t="str" cm="1">
        <f t="array" ref="AF110">INDEX(Ratings!$B$2:$M$40,_xlfn.XMATCH(Base!F110,Ratings!$A$2:$A$40),_xlfn.XMATCH(YEAR(Base!K110),Ratings!$B$1:$M$1))</f>
        <v>BB-</v>
      </c>
      <c r="AG110">
        <f t="shared" si="27"/>
        <v>0</v>
      </c>
      <c r="AH110">
        <f>IFERROR(IFERROR(IFERROR(INDEX('EMBI+'!$B:$B,MATCH(Base!$K110,'EMBI+'!$A:$A,0)),INDEX('EMBI+'!$B:$B,MATCH(Base!$K110+1,'EMBI+'!$A:$A,0))),INDEX('EMBI+'!$B:$B,MATCH(Base!$K110+2,'EMBI+'!$A:$A,0))),INDEX('EMBI+'!$B:$B,MATCH(Base!$K110+3,'EMBI+'!$A:$A,0)))/100</f>
        <v>2.67</v>
      </c>
      <c r="AL110" s="43"/>
      <c r="AM110" s="28"/>
      <c r="AN110" s="28"/>
    </row>
    <row r="111" spans="1:40" x14ac:dyDescent="0.35">
      <c r="A111">
        <f t="shared" si="35"/>
        <v>109</v>
      </c>
      <c r="B111">
        <f>IF(G111="Bonds",COUNTIF($G$3:G111,"Bonds"),0)</f>
        <v>0</v>
      </c>
      <c r="C111" t="str">
        <f t="shared" si="36"/>
        <v>Cemig4491047467</v>
      </c>
      <c r="D111">
        <f t="shared" si="37"/>
        <v>8</v>
      </c>
      <c r="E111" s="43" t="s">
        <v>148</v>
      </c>
      <c r="F111" s="43" t="s">
        <v>137</v>
      </c>
      <c r="G111" s="43" t="s">
        <v>25</v>
      </c>
      <c r="H111">
        <f t="shared" si="28"/>
        <v>0</v>
      </c>
      <c r="I111" s="43" t="s">
        <v>839</v>
      </c>
      <c r="J111" s="34">
        <f t="shared" si="26"/>
        <v>21</v>
      </c>
      <c r="K111" s="28">
        <v>44910</v>
      </c>
      <c r="L111" s="28">
        <v>47467</v>
      </c>
      <c r="M111" s="60">
        <f t="shared" si="29"/>
        <v>7.0054794520547947</v>
      </c>
      <c r="N111" s="4">
        <f t="shared" si="30"/>
        <v>1</v>
      </c>
      <c r="O111" s="43" t="s">
        <v>44</v>
      </c>
      <c r="P111" t="str">
        <f t="shared" si="31"/>
        <v>0</v>
      </c>
      <c r="Q111" s="44">
        <v>300000</v>
      </c>
      <c r="R111" s="43">
        <v>1000</v>
      </c>
      <c r="S111" s="34" t="str">
        <f>IF($V111="USD",INDEX('Dólar Spot'!$B:$B,MATCH(Base!$K111,'Dólar Spot'!$A:$A,0)),"")</f>
        <v/>
      </c>
      <c r="T111" s="4">
        <f t="shared" si="38"/>
        <v>300000000</v>
      </c>
      <c r="U111" s="8">
        <f t="shared" si="32"/>
        <v>3</v>
      </c>
      <c r="V111" s="43" t="s">
        <v>28</v>
      </c>
      <c r="W111" s="45" t="s">
        <v>874</v>
      </c>
      <c r="X111" s="46">
        <v>7.6245000000000003</v>
      </c>
      <c r="Y111" s="9">
        <f>IF(AND(V111="DI",$W111=100),$X111/100,
IF(AND(V111="DI",$W111&lt;&gt;100,$X111=""),INDEX('Debs %CDI'!$Q:$Q,MATCH(Base!$C111,'Debs %CDI'!$A:$A,0)),
IF($V111="USD",INDEX(Bonds!$AF:$AF,MATCH(Base!$C111,Bonds!$B:$B,0)),
IF($V111="IPCA",INDEX('Debs IPCA'!$Z:$Z,MATCH(Base!$C111,'Debs IPCA'!$A:$A,0))))))</f>
        <v>1.3062463687261161E-2</v>
      </c>
      <c r="Z111" s="43">
        <v>252</v>
      </c>
      <c r="AA111" s="43" t="s">
        <v>30</v>
      </c>
      <c r="AB111" s="43" t="s">
        <v>31</v>
      </c>
      <c r="AC111">
        <f t="shared" si="33"/>
        <v>1</v>
      </c>
      <c r="AD111" s="43" t="s">
        <v>32</v>
      </c>
      <c r="AE111">
        <f t="shared" si="34"/>
        <v>0</v>
      </c>
      <c r="AF111" s="34" t="str" cm="1">
        <f t="array" ref="AF111">INDEX(Ratings!$B$2:$M$40,_xlfn.XMATCH(Base!F111,Ratings!$A$2:$A$40),_xlfn.XMATCH(YEAR(Base!K111),Ratings!$B$1:$M$1))</f>
        <v>BB-</v>
      </c>
      <c r="AG111">
        <f t="shared" si="27"/>
        <v>0</v>
      </c>
      <c r="AH111">
        <f>IFERROR(IFERROR(IFERROR(INDEX('EMBI+'!$B:$B,MATCH(Base!$K111,'EMBI+'!$A:$A,0)),INDEX('EMBI+'!$B:$B,MATCH(Base!$K111+1,'EMBI+'!$A:$A,0))),INDEX('EMBI+'!$B:$B,MATCH(Base!$K111+2,'EMBI+'!$A:$A,0))),INDEX('EMBI+'!$B:$B,MATCH(Base!$K111+3,'EMBI+'!$A:$A,0)))/100</f>
        <v>2.67</v>
      </c>
      <c r="AL111" s="43"/>
      <c r="AM111" s="28"/>
      <c r="AN111" s="28"/>
    </row>
    <row r="112" spans="1:40" x14ac:dyDescent="0.35">
      <c r="A112">
        <f t="shared" si="35"/>
        <v>110</v>
      </c>
      <c r="B112">
        <f>IF(G112="Bonds",COUNTIF($G$3:G112,"Bonds"),0)</f>
        <v>0</v>
      </c>
      <c r="C112" t="str">
        <f t="shared" si="36"/>
        <v>Cemig4284743577</v>
      </c>
      <c r="D112">
        <f t="shared" si="37"/>
        <v>8</v>
      </c>
      <c r="E112" s="43" t="s">
        <v>157</v>
      </c>
      <c r="F112" s="43" t="s">
        <v>137</v>
      </c>
      <c r="G112" s="43" t="s">
        <v>25</v>
      </c>
      <c r="H112">
        <f t="shared" si="28"/>
        <v>0</v>
      </c>
      <c r="I112" s="43" t="s">
        <v>158</v>
      </c>
      <c r="J112" s="34">
        <f t="shared" si="26"/>
        <v>22</v>
      </c>
      <c r="K112" s="28">
        <v>42847</v>
      </c>
      <c r="L112" s="28">
        <v>43577</v>
      </c>
      <c r="M112" s="60">
        <f t="shared" si="29"/>
        <v>2</v>
      </c>
      <c r="N112" s="4">
        <f t="shared" si="30"/>
        <v>0</v>
      </c>
      <c r="O112" s="43" t="s">
        <v>27</v>
      </c>
      <c r="P112" t="str">
        <f t="shared" si="31"/>
        <v>1</v>
      </c>
      <c r="Q112" s="44">
        <v>2700</v>
      </c>
      <c r="R112" s="43">
        <v>10000</v>
      </c>
      <c r="S112" s="34" t="str">
        <f>IF($V112="USD",INDEX('Dólar Spot'!$B:$B,MATCH(Base!$K112,'Dólar Spot'!$A:$A,0)),"")</f>
        <v/>
      </c>
      <c r="T112" s="4">
        <f t="shared" si="38"/>
        <v>27000000</v>
      </c>
      <c r="U112" s="8">
        <f t="shared" si="32"/>
        <v>0.27</v>
      </c>
      <c r="V112" s="43" t="s">
        <v>41</v>
      </c>
      <c r="W112" s="45">
        <v>128.5</v>
      </c>
      <c r="X112" s="46"/>
      <c r="Y112" s="9">
        <f>IF(AND(V112="DI",$W112=100),$X112/100,
IF(AND(V112="DI",$W112&lt;&gt;100,$X112=""),INDEX('Debs %CDI'!$Q:$Q,MATCH(Base!$C112,'Debs %CDI'!$A:$A,0)),
IF($V112="USD",INDEX(Bonds!$AF:$AF,MATCH(Base!$C112,Bonds!$B:$B,0)),
IF($V112="IPCA",INDEX('Debs IPCA'!$Z:$Z,MATCH(Base!$C112,'Debs IPCA'!$A:$A,0))))))</f>
        <v>2.6847053391805136E-2</v>
      </c>
      <c r="Z112" s="43">
        <v>252</v>
      </c>
      <c r="AA112" s="43" t="s">
        <v>30</v>
      </c>
      <c r="AB112" s="43" t="s">
        <v>32</v>
      </c>
      <c r="AC112">
        <f t="shared" si="33"/>
        <v>0</v>
      </c>
      <c r="AD112" s="43" t="s">
        <v>32</v>
      </c>
      <c r="AE112">
        <f t="shared" si="34"/>
        <v>0</v>
      </c>
      <c r="AF112" s="34" t="str" cm="1">
        <f t="array" ref="AF112">INDEX(Ratings!$B$2:$M$40,_xlfn.XMATCH(Base!F112,Ratings!$A$2:$A$40),_xlfn.XMATCH(YEAR(Base!K112),Ratings!$B$1:$M$1))</f>
        <v>B+</v>
      </c>
      <c r="AG112">
        <f t="shared" si="27"/>
        <v>0</v>
      </c>
      <c r="AH112">
        <f>IFERROR(IFERROR(IFERROR(INDEX('EMBI+'!$B:$B,MATCH(Base!$K112,'EMBI+'!$A:$A,0)),INDEX('EMBI+'!$B:$B,MATCH(Base!$K112+1,'EMBI+'!$A:$A,0))),INDEX('EMBI+'!$B:$B,MATCH(Base!$K112+2,'EMBI+'!$A:$A,0))),INDEX('EMBI+'!$B:$B,MATCH(Base!$K112+3,'EMBI+'!$A:$A,0)))/100</f>
        <v>2.63</v>
      </c>
      <c r="AL112" s="43"/>
      <c r="AM112" s="28"/>
      <c r="AN112" s="28"/>
    </row>
    <row r="113" spans="1:40" x14ac:dyDescent="0.35">
      <c r="A113">
        <f t="shared" si="35"/>
        <v>111</v>
      </c>
      <c r="B113">
        <f>IF(G113="Bonds",COUNTIF($G$3:G113,"Bonds"),0)</f>
        <v>28</v>
      </c>
      <c r="C113" t="str">
        <f t="shared" si="36"/>
        <v>Cemig4307405/12/2024</v>
      </c>
      <c r="D113">
        <f t="shared" si="37"/>
        <v>8</v>
      </c>
      <c r="E113" s="43" t="s">
        <v>159</v>
      </c>
      <c r="F113" s="43" t="s">
        <v>137</v>
      </c>
      <c r="G113" s="43" t="s">
        <v>34</v>
      </c>
      <c r="H113">
        <f t="shared" si="28"/>
        <v>1</v>
      </c>
      <c r="I113" s="43"/>
      <c r="J113" s="34">
        <f t="shared" si="26"/>
        <v>23</v>
      </c>
      <c r="K113" s="28">
        <v>43074</v>
      </c>
      <c r="L113" s="28" t="s">
        <v>160</v>
      </c>
      <c r="M113" s="60">
        <f t="shared" si="29"/>
        <v>7.0054794520547947</v>
      </c>
      <c r="N113" s="4">
        <f t="shared" si="30"/>
        <v>1</v>
      </c>
      <c r="O113" s="43" t="s">
        <v>36</v>
      </c>
      <c r="P113" t="str">
        <f t="shared" si="31"/>
        <v>0</v>
      </c>
      <c r="Q113" s="43"/>
      <c r="R113" s="43"/>
      <c r="S113" s="34">
        <f>IF($V113="USD",INDEX('Dólar Spot'!$B:$B,MATCH(Base!$K113,'Dólar Spot'!$A:$A,0)),"")</f>
        <v>3.2315999999999998</v>
      </c>
      <c r="T113" s="44">
        <v>1000000000</v>
      </c>
      <c r="U113" s="8">
        <f t="shared" si="32"/>
        <v>32.316000000000003</v>
      </c>
      <c r="V113" s="43" t="s">
        <v>651</v>
      </c>
      <c r="W113" s="45" t="s">
        <v>29</v>
      </c>
      <c r="X113" s="53">
        <v>9.25</v>
      </c>
      <c r="Y113" s="9">
        <f>IF(AND(V113="DI",$W113=100),$X113/100,
IF(AND(V113="DI",$W113&lt;&gt;100,$X113=""),INDEX('Debs %CDI'!$Q:$Q,MATCH(Base!$C113,'Debs %CDI'!$A:$A,0)),
IF($V113="USD",INDEX(Bonds!$AF:$AF,MATCH(Base!$C113,Bonds!$B:$B,0)),
IF($V113="IPCA",INDEX('Debs IPCA'!$Z:$Z,MATCH(Base!$C113,'Debs IPCA'!$A:$A,0))))))</f>
        <v>5.5905388633823883E-2</v>
      </c>
      <c r="Z113" s="43">
        <v>360</v>
      </c>
      <c r="AA113" s="43" t="s">
        <v>37</v>
      </c>
      <c r="AB113" s="43" t="s">
        <v>32</v>
      </c>
      <c r="AC113">
        <f t="shared" si="33"/>
        <v>0</v>
      </c>
      <c r="AD113" s="43" t="s">
        <v>31</v>
      </c>
      <c r="AE113">
        <f t="shared" si="34"/>
        <v>1</v>
      </c>
      <c r="AF113" s="34" t="str" cm="1">
        <f t="array" ref="AF113">INDEX(Ratings!$B$2:$M$40,_xlfn.XMATCH(Base!F113,Ratings!$A$2:$A$40),_xlfn.XMATCH(YEAR(Base!K113),Ratings!$B$1:$M$1))</f>
        <v>B+</v>
      </c>
      <c r="AG113">
        <f t="shared" si="27"/>
        <v>0</v>
      </c>
      <c r="AH113">
        <f>IFERROR(IFERROR(IFERROR(INDEX('EMBI+'!$B:$B,MATCH(Base!$K113,'EMBI+'!$A:$A,0)),INDEX('EMBI+'!$B:$B,MATCH(Base!$K113+1,'EMBI+'!$A:$A,0))),INDEX('EMBI+'!$B:$B,MATCH(Base!$K113+2,'EMBI+'!$A:$A,0))),INDEX('EMBI+'!$B:$B,MATCH(Base!$K113+3,'EMBI+'!$A:$A,0)))/100</f>
        <v>2.36</v>
      </c>
      <c r="AL113" s="43"/>
      <c r="AM113" s="28"/>
      <c r="AN113" s="28"/>
    </row>
    <row r="114" spans="1:40" x14ac:dyDescent="0.35">
      <c r="A114">
        <f t="shared" si="35"/>
        <v>112</v>
      </c>
      <c r="B114">
        <f>IF(G114="Bonds",COUNTIF($G$3:G114,"Bonds"),0)</f>
        <v>29</v>
      </c>
      <c r="C114" t="str">
        <f t="shared" si="36"/>
        <v>Cemig4329905/12/2024</v>
      </c>
      <c r="D114">
        <f t="shared" si="37"/>
        <v>8</v>
      </c>
      <c r="E114" s="43" t="s">
        <v>159</v>
      </c>
      <c r="F114" s="43" t="s">
        <v>137</v>
      </c>
      <c r="G114" s="43" t="s">
        <v>34</v>
      </c>
      <c r="H114">
        <f t="shared" si="28"/>
        <v>1</v>
      </c>
      <c r="I114" s="43"/>
      <c r="J114" s="34">
        <f t="shared" si="26"/>
        <v>24</v>
      </c>
      <c r="K114" s="28">
        <v>43299</v>
      </c>
      <c r="L114" s="28" t="s">
        <v>160</v>
      </c>
      <c r="M114" s="60">
        <f t="shared" si="29"/>
        <v>6.3890410958904109</v>
      </c>
      <c r="N114" s="4">
        <f t="shared" si="30"/>
        <v>1</v>
      </c>
      <c r="O114" s="43" t="s">
        <v>36</v>
      </c>
      <c r="P114" t="str">
        <f t="shared" si="31"/>
        <v>0</v>
      </c>
      <c r="Q114" s="43"/>
      <c r="R114" s="43"/>
      <c r="S114" s="34">
        <f>IF($V114="USD",INDEX('Dólar Spot'!$B:$B,MATCH(Base!$K114,'Dólar Spot'!$A:$A,0)),"")</f>
        <v>3.8468</v>
      </c>
      <c r="T114" s="44">
        <v>500000000</v>
      </c>
      <c r="U114" s="8">
        <f t="shared" si="32"/>
        <v>19.234000000000002</v>
      </c>
      <c r="V114" s="43" t="s">
        <v>651</v>
      </c>
      <c r="W114" s="45" t="s">
        <v>29</v>
      </c>
      <c r="X114" s="53">
        <v>9.25</v>
      </c>
      <c r="Y114" s="9">
        <f>IF(AND(V114="DI",$W114=100),$X114/100,
IF(AND(V114="DI",$W114&lt;&gt;100,$X114=""),INDEX('Debs %CDI'!$Q:$Q,MATCH(Base!$C114,'Debs %CDI'!$A:$A,0)),
IF($V114="USD",INDEX(Bonds!$AF:$AF,MATCH(Base!$C114,Bonds!$B:$B,0)),
IF($V114="IPCA",INDEX('Debs IPCA'!$Z:$Z,MATCH(Base!$C114,'Debs IPCA'!$A:$A,0))))))</f>
        <v>4.5432526897638104E-2</v>
      </c>
      <c r="Z114" s="43">
        <v>360</v>
      </c>
      <c r="AA114" s="43" t="s">
        <v>37</v>
      </c>
      <c r="AB114" s="43" t="s">
        <v>32</v>
      </c>
      <c r="AC114">
        <f t="shared" si="33"/>
        <v>0</v>
      </c>
      <c r="AD114" s="43" t="s">
        <v>31</v>
      </c>
      <c r="AE114">
        <f t="shared" si="34"/>
        <v>1</v>
      </c>
      <c r="AF114" s="34" t="str" cm="1">
        <f t="array" ref="AF114">INDEX(Ratings!$B$2:$M$40,_xlfn.XMATCH(Base!F114,Ratings!$A$2:$A$40),_xlfn.XMATCH(YEAR(Base!K114),Ratings!$B$1:$M$1))</f>
        <v>B</v>
      </c>
      <c r="AG114">
        <f t="shared" si="27"/>
        <v>0</v>
      </c>
      <c r="AH114">
        <f>IFERROR(IFERROR(IFERROR(INDEX('EMBI+'!$B:$B,MATCH(Base!$K114,'EMBI+'!$A:$A,0)),INDEX('EMBI+'!$B:$B,MATCH(Base!$K114+1,'EMBI+'!$A:$A,0))),INDEX('EMBI+'!$B:$B,MATCH(Base!$K114+2,'EMBI+'!$A:$A,0))),INDEX('EMBI+'!$B:$B,MATCH(Base!$K114+3,'EMBI+'!$A:$A,0)))/100</f>
        <v>2.92</v>
      </c>
      <c r="AL114" s="43"/>
      <c r="AM114" s="28"/>
      <c r="AN114" s="28"/>
    </row>
    <row r="115" spans="1:40" x14ac:dyDescent="0.35">
      <c r="A115">
        <f t="shared" si="35"/>
        <v>113</v>
      </c>
      <c r="B115">
        <f>IF(G115="Bonds",COUNTIF($G$3:G115,"Bonds"),0)</f>
        <v>0</v>
      </c>
      <c r="C115" t="str">
        <f t="shared" si="36"/>
        <v>Cia Brasileira de Alumínio4454547284</v>
      </c>
      <c r="D115">
        <f t="shared" si="37"/>
        <v>9</v>
      </c>
      <c r="E115" s="43" t="s">
        <v>161</v>
      </c>
      <c r="F115" s="43" t="s">
        <v>162</v>
      </c>
      <c r="G115" s="43" t="s">
        <v>25</v>
      </c>
      <c r="H115">
        <f t="shared" si="28"/>
        <v>0</v>
      </c>
      <c r="I115" s="43" t="s">
        <v>163</v>
      </c>
      <c r="J115" s="34">
        <f t="shared" si="26"/>
        <v>1</v>
      </c>
      <c r="K115" s="28">
        <v>44545</v>
      </c>
      <c r="L115" s="28">
        <v>47284</v>
      </c>
      <c r="M115" s="60">
        <f t="shared" si="29"/>
        <v>7.5041095890410956</v>
      </c>
      <c r="N115" s="4">
        <f t="shared" si="30"/>
        <v>1</v>
      </c>
      <c r="O115" s="43" t="s">
        <v>44</v>
      </c>
      <c r="P115" t="str">
        <f t="shared" si="31"/>
        <v>0</v>
      </c>
      <c r="Q115" s="44">
        <v>230000</v>
      </c>
      <c r="R115" s="43">
        <v>1000</v>
      </c>
      <c r="S115" s="34" t="str">
        <f>IF($V115="USD",INDEX('Dólar Spot'!$B:$B,MATCH(Base!$K115,'Dólar Spot'!$A:$A,0)),"")</f>
        <v/>
      </c>
      <c r="T115" s="4">
        <f>Q115*R115</f>
        <v>230000000</v>
      </c>
      <c r="U115" s="8">
        <f t="shared" si="32"/>
        <v>2.2999999999999998</v>
      </c>
      <c r="V115" s="43" t="s">
        <v>41</v>
      </c>
      <c r="W115" s="45">
        <v>100</v>
      </c>
      <c r="X115" s="46">
        <v>1.55</v>
      </c>
      <c r="Y115" s="9">
        <f>IF(AND(V115="DI",$W115=100),$X115/100,
IF(AND(V115="DI",$W115&lt;&gt;100,$X115=""),INDEX('Debs %CDI'!$Q:$Q,MATCH(Base!$C115,'Debs %CDI'!$A:$A,0)),
IF($V115="USD",INDEX(Bonds!$AF:$AF,MATCH(Base!$C115,Bonds!$B:$B,0)),
IF($V115="IPCA",INDEX('Debs IPCA'!$Z:$Z,MATCH(Base!$C115,'Debs IPCA'!$A:$A,0))))))</f>
        <v>1.55E-2</v>
      </c>
      <c r="Z115" s="43">
        <v>252</v>
      </c>
      <c r="AA115" s="43" t="s">
        <v>30</v>
      </c>
      <c r="AB115" s="43" t="s">
        <v>32</v>
      </c>
      <c r="AC115">
        <f t="shared" si="33"/>
        <v>0</v>
      </c>
      <c r="AD115" s="43" t="s">
        <v>31</v>
      </c>
      <c r="AE115">
        <f t="shared" si="34"/>
        <v>1</v>
      </c>
      <c r="AF115" s="34" t="str" cm="1">
        <f t="array" ref="AF115">INDEX(Ratings!$B$2:$M$40,_xlfn.XMATCH(Base!F115,Ratings!$A$2:$A$40),_xlfn.XMATCH(YEAR(Base!K115),Ratings!$B$1:$M$1))</f>
        <v>NR</v>
      </c>
      <c r="AG115">
        <f t="shared" si="27"/>
        <v>0</v>
      </c>
      <c r="AH115">
        <f>IFERROR(IFERROR(IFERROR(INDEX('EMBI+'!$B:$B,MATCH(Base!$K115,'EMBI+'!$A:$A,0)),INDEX('EMBI+'!$B:$B,MATCH(Base!$K115+1,'EMBI+'!$A:$A,0))),INDEX('EMBI+'!$B:$B,MATCH(Base!$K115+2,'EMBI+'!$A:$A,0))),INDEX('EMBI+'!$B:$B,MATCH(Base!$K115+3,'EMBI+'!$A:$A,0)))/100</f>
        <v>3.39</v>
      </c>
      <c r="AL115" s="43"/>
      <c r="AM115" s="28"/>
      <c r="AN115" s="28"/>
    </row>
    <row r="116" spans="1:40" x14ac:dyDescent="0.35">
      <c r="A116">
        <f t="shared" si="35"/>
        <v>114</v>
      </c>
      <c r="B116">
        <f>IF(G116="Bonds",COUNTIF($G$3:G116,"Bonds"),0)</f>
        <v>30</v>
      </c>
      <c r="C116" t="str">
        <f t="shared" si="36"/>
        <v>Cia Brasileira de Alumínio4180717/06/2024</v>
      </c>
      <c r="D116">
        <f t="shared" si="37"/>
        <v>9</v>
      </c>
      <c r="E116" s="43" t="s">
        <v>164</v>
      </c>
      <c r="F116" s="43" t="s">
        <v>162</v>
      </c>
      <c r="G116" s="43" t="s">
        <v>34</v>
      </c>
      <c r="H116">
        <f t="shared" si="28"/>
        <v>1</v>
      </c>
      <c r="I116" s="43"/>
      <c r="J116" s="34">
        <f t="shared" si="26"/>
        <v>2</v>
      </c>
      <c r="K116" s="28">
        <v>41807</v>
      </c>
      <c r="L116" s="28" t="s">
        <v>165</v>
      </c>
      <c r="M116" s="60">
        <f t="shared" si="29"/>
        <v>10.008219178082191</v>
      </c>
      <c r="N116" s="4">
        <f t="shared" si="30"/>
        <v>1</v>
      </c>
      <c r="O116" s="43" t="s">
        <v>36</v>
      </c>
      <c r="P116" t="str">
        <f t="shared" si="31"/>
        <v>0</v>
      </c>
      <c r="Q116" s="43"/>
      <c r="R116" s="43"/>
      <c r="S116" s="34">
        <f>IF($V116="USD",INDEX('Dólar Spot'!$B:$B,MATCH(Base!$K116,'Dólar Spot'!$A:$A,0)),"")</f>
        <v>2.2480000000000002</v>
      </c>
      <c r="T116" s="44">
        <v>400000000</v>
      </c>
      <c r="U116" s="8">
        <f t="shared" si="32"/>
        <v>8.9920000000000009</v>
      </c>
      <c r="V116" s="43" t="s">
        <v>651</v>
      </c>
      <c r="W116" s="45" t="s">
        <v>29</v>
      </c>
      <c r="X116" s="53">
        <v>4.75</v>
      </c>
      <c r="Y116" s="9">
        <f>IF(AND(V116="DI",$W116=100),$X116/100,
IF(AND(V116="DI",$W116&lt;&gt;100,$X116=""),INDEX('Debs %CDI'!$Q:$Q,MATCH(Base!$C116,'Debs %CDI'!$A:$A,0)),
IF($V116="USD",INDEX(Bonds!$AF:$AF,MATCH(Base!$C116,Bonds!$B:$B,0)),
IF($V116="IPCA",INDEX('Debs IPCA'!$Z:$Z,MATCH(Base!$C116,'Debs IPCA'!$A:$A,0))))))</f>
        <v>2.9739089651910078E-3</v>
      </c>
      <c r="Z116" s="43">
        <v>360</v>
      </c>
      <c r="AA116" s="43" t="s">
        <v>37</v>
      </c>
      <c r="AB116" s="43" t="s">
        <v>32</v>
      </c>
      <c r="AC116">
        <f t="shared" si="33"/>
        <v>0</v>
      </c>
      <c r="AD116" s="43" t="s">
        <v>32</v>
      </c>
      <c r="AE116">
        <f t="shared" si="34"/>
        <v>0</v>
      </c>
      <c r="AF116" s="34" t="str" cm="1">
        <f t="array" ref="AF116">INDEX(Ratings!$B$2:$M$40,_xlfn.XMATCH(Base!F116,Ratings!$A$2:$A$40),_xlfn.XMATCH(YEAR(Base!K116),Ratings!$B$1:$M$1))</f>
        <v>BBB</v>
      </c>
      <c r="AG116">
        <f t="shared" si="27"/>
        <v>1</v>
      </c>
      <c r="AH116">
        <f>IFERROR(IFERROR(IFERROR(INDEX('EMBI+'!$B:$B,MATCH(Base!$K116,'EMBI+'!$A:$A,0)),INDEX('EMBI+'!$B:$B,MATCH(Base!$K116+1,'EMBI+'!$A:$A,0))),INDEX('EMBI+'!$B:$B,MATCH(Base!$K116+2,'EMBI+'!$A:$A,0))),INDEX('EMBI+'!$B:$B,MATCH(Base!$K116+3,'EMBI+'!$A:$A,0)))/100</f>
        <v>2.0699999999999998</v>
      </c>
      <c r="AL116" s="43"/>
      <c r="AM116" s="28"/>
      <c r="AN116" s="28"/>
    </row>
    <row r="117" spans="1:40" x14ac:dyDescent="0.35">
      <c r="A117">
        <f t="shared" si="35"/>
        <v>115</v>
      </c>
      <c r="B117">
        <f>IF(G117="Bonds",COUNTIF($G$3:G117,"Bonds"),0)</f>
        <v>0</v>
      </c>
      <c r="C117" t="str">
        <f t="shared" si="36"/>
        <v>Cielo4210743203</v>
      </c>
      <c r="D117">
        <f t="shared" si="37"/>
        <v>10</v>
      </c>
      <c r="E117" s="43" t="s">
        <v>166</v>
      </c>
      <c r="F117" s="43" t="s">
        <v>167</v>
      </c>
      <c r="G117" s="43" t="s">
        <v>25</v>
      </c>
      <c r="H117">
        <f t="shared" si="28"/>
        <v>0</v>
      </c>
      <c r="I117" s="43" t="s">
        <v>168</v>
      </c>
      <c r="J117" s="34">
        <f t="shared" si="26"/>
        <v>1</v>
      </c>
      <c r="K117" s="28">
        <v>42107</v>
      </c>
      <c r="L117" s="28">
        <v>43203</v>
      </c>
      <c r="M117" s="60">
        <f t="shared" si="29"/>
        <v>3.0027397260273974</v>
      </c>
      <c r="N117" s="4">
        <f t="shared" si="30"/>
        <v>0</v>
      </c>
      <c r="O117" s="43" t="s">
        <v>44</v>
      </c>
      <c r="P117" t="str">
        <f t="shared" si="31"/>
        <v>0</v>
      </c>
      <c r="Q117" s="44">
        <v>460000</v>
      </c>
      <c r="R117" s="43">
        <v>10000</v>
      </c>
      <c r="S117" s="34" t="str">
        <f>IF($V117="USD",INDEX('Dólar Spot'!$B:$B,MATCH(Base!$K117,'Dólar Spot'!$A:$A,0)),"")</f>
        <v/>
      </c>
      <c r="T117" s="4">
        <f>Q117*R117</f>
        <v>4600000000</v>
      </c>
      <c r="U117" s="8">
        <f t="shared" si="32"/>
        <v>46</v>
      </c>
      <c r="V117" s="43" t="s">
        <v>41</v>
      </c>
      <c r="W117" s="45">
        <v>105.8</v>
      </c>
      <c r="X117" s="46"/>
      <c r="Y117" s="9">
        <f>IF(AND(V117="DI",$W117=100),$X117/100,
IF(AND(V117="DI",$W117&lt;&gt;100,$X117=""),INDEX('Debs %CDI'!$Q:$Q,MATCH(Base!$C117,'Debs %CDI'!$A:$A,0)),
IF($V117="USD",INDEX(Bonds!$AF:$AF,MATCH(Base!$C117,Bonds!$B:$B,0)),
IF($V117="IPCA",INDEX('Debs IPCA'!$Z:$Z,MATCH(Base!$C117,'Debs IPCA'!$A:$A,0))))))</f>
        <v>7.4582735496095606E-3</v>
      </c>
      <c r="Z117" s="43">
        <v>252</v>
      </c>
      <c r="AA117" s="43" t="s">
        <v>30</v>
      </c>
      <c r="AB117" s="43" t="s">
        <v>32</v>
      </c>
      <c r="AC117">
        <f t="shared" si="33"/>
        <v>0</v>
      </c>
      <c r="AD117" s="43" t="s">
        <v>31</v>
      </c>
      <c r="AE117">
        <f t="shared" si="34"/>
        <v>1</v>
      </c>
      <c r="AF117" s="34" t="str" cm="1">
        <f t="array" ref="AF117">INDEX(Ratings!$B$2:$M$40,_xlfn.XMATCH(Base!F117,Ratings!$A$2:$A$40),_xlfn.XMATCH(YEAR(Base!K117),Ratings!$B$1:$M$1))</f>
        <v>BBB+</v>
      </c>
      <c r="AG117">
        <f t="shared" si="27"/>
        <v>1</v>
      </c>
      <c r="AH117">
        <f>IFERROR(IFERROR(IFERROR(INDEX('EMBI+'!$B:$B,MATCH(Base!$K117,'EMBI+'!$A:$A,0)),INDEX('EMBI+'!$B:$B,MATCH(Base!$K117+1,'EMBI+'!$A:$A,0))),INDEX('EMBI+'!$B:$B,MATCH(Base!$K117+2,'EMBI+'!$A:$A,0))),INDEX('EMBI+'!$B:$B,MATCH(Base!$K117+3,'EMBI+'!$A:$A,0)))/100</f>
        <v>2.91</v>
      </c>
      <c r="AL117" s="43"/>
      <c r="AM117" s="28"/>
      <c r="AN117" s="28"/>
    </row>
    <row r="118" spans="1:40" x14ac:dyDescent="0.35">
      <c r="A118">
        <f t="shared" si="35"/>
        <v>116</v>
      </c>
      <c r="B118">
        <f>IF(G118="Bonds",COUNTIF($G$3:G118,"Bonds"),0)</f>
        <v>0</v>
      </c>
      <c r="C118" t="str">
        <f t="shared" si="36"/>
        <v>Cielo4363444412</v>
      </c>
      <c r="D118">
        <f t="shared" si="37"/>
        <v>10</v>
      </c>
      <c r="E118" s="43" t="s">
        <v>166</v>
      </c>
      <c r="F118" s="43" t="s">
        <v>167</v>
      </c>
      <c r="G118" s="43" t="s">
        <v>25</v>
      </c>
      <c r="H118">
        <f t="shared" si="28"/>
        <v>0</v>
      </c>
      <c r="I118" s="43" t="s">
        <v>169</v>
      </c>
      <c r="J118" s="34">
        <f t="shared" si="26"/>
        <v>2</v>
      </c>
      <c r="K118" s="28">
        <v>43634</v>
      </c>
      <c r="L118" s="28">
        <v>44412</v>
      </c>
      <c r="M118" s="60">
        <f t="shared" si="29"/>
        <v>2.1315068493150684</v>
      </c>
      <c r="N118" s="4">
        <f t="shared" si="30"/>
        <v>0</v>
      </c>
      <c r="O118" s="43" t="s">
        <v>44</v>
      </c>
      <c r="P118" t="str">
        <f t="shared" si="31"/>
        <v>0</v>
      </c>
      <c r="Q118" s="44">
        <v>3000000</v>
      </c>
      <c r="R118" s="43">
        <v>1000</v>
      </c>
      <c r="S118" s="34" t="str">
        <f>IF($V118="USD",INDEX('Dólar Spot'!$B:$B,MATCH(Base!$K118,'Dólar Spot'!$A:$A,0)),"")</f>
        <v/>
      </c>
      <c r="T118" s="4">
        <f>Q118*R118</f>
        <v>3000000000</v>
      </c>
      <c r="U118" s="8">
        <f t="shared" si="32"/>
        <v>30</v>
      </c>
      <c r="V118" s="43" t="s">
        <v>41</v>
      </c>
      <c r="W118" s="45">
        <v>103.8</v>
      </c>
      <c r="X118" s="46"/>
      <c r="Y118" s="9">
        <f>IF(AND(V118="DI",$W118=100),$X118/100,
IF(AND(V118="DI",$W118&lt;&gt;100,$X118=""),INDEX('Debs %CDI'!$Q:$Q,MATCH(Base!$C118,'Debs %CDI'!$A:$A,0)),
IF($V118="USD",INDEX(Bonds!$AF:$AF,MATCH(Base!$C118,Bonds!$B:$B,0)),
IF($V118="IPCA",INDEX('Debs IPCA'!$Z:$Z,MATCH(Base!$C118,'Debs IPCA'!$A:$A,0))))))</f>
        <v>2.4006291517652606E-3</v>
      </c>
      <c r="Z118" s="43">
        <v>252</v>
      </c>
      <c r="AA118" s="43" t="s">
        <v>30</v>
      </c>
      <c r="AB118" s="43" t="s">
        <v>32</v>
      </c>
      <c r="AC118">
        <f t="shared" si="33"/>
        <v>0</v>
      </c>
      <c r="AD118" s="43" t="s">
        <v>31</v>
      </c>
      <c r="AE118">
        <f t="shared" si="34"/>
        <v>1</v>
      </c>
      <c r="AF118" s="34" t="str" cm="1">
        <f t="array" ref="AF118">INDEX(Ratings!$B$2:$M$40,_xlfn.XMATCH(Base!F118,Ratings!$A$2:$A$40),_xlfn.XMATCH(YEAR(Base!K118),Ratings!$B$1:$M$1))</f>
        <v>BB+</v>
      </c>
      <c r="AG118">
        <f t="shared" si="27"/>
        <v>0</v>
      </c>
      <c r="AH118">
        <f>IFERROR(IFERROR(IFERROR(INDEX('EMBI+'!$B:$B,MATCH(Base!$K118,'EMBI+'!$A:$A,0)),INDEX('EMBI+'!$B:$B,MATCH(Base!$K118+1,'EMBI+'!$A:$A,0))),INDEX('EMBI+'!$B:$B,MATCH(Base!$K118+2,'EMBI+'!$A:$A,0))),INDEX('EMBI+'!$B:$B,MATCH(Base!$K118+3,'EMBI+'!$A:$A,0)))/100</f>
        <v>2.4700000000000002</v>
      </c>
      <c r="AL118" s="43"/>
      <c r="AM118" s="28"/>
      <c r="AN118" s="28"/>
    </row>
    <row r="119" spans="1:40" x14ac:dyDescent="0.35">
      <c r="A119">
        <f t="shared" si="35"/>
        <v>117</v>
      </c>
      <c r="B119">
        <f>IF(G119="Bonds",COUNTIF($G$3:G119,"Bonds"),0)</f>
        <v>0</v>
      </c>
      <c r="C119" t="str">
        <f t="shared" si="36"/>
        <v>Cielo4482445920</v>
      </c>
      <c r="D119">
        <f t="shared" si="37"/>
        <v>10</v>
      </c>
      <c r="E119" s="43" t="s">
        <v>166</v>
      </c>
      <c r="F119" s="43" t="s">
        <v>167</v>
      </c>
      <c r="G119" s="43" t="s">
        <v>25</v>
      </c>
      <c r="H119">
        <f t="shared" si="28"/>
        <v>0</v>
      </c>
      <c r="I119" s="43" t="s">
        <v>833</v>
      </c>
      <c r="J119" s="34">
        <f t="shared" si="26"/>
        <v>3</v>
      </c>
      <c r="K119" s="28">
        <v>44824</v>
      </c>
      <c r="L119" s="28">
        <v>45920</v>
      </c>
      <c r="M119" s="60">
        <f t="shared" si="29"/>
        <v>3.0027397260273974</v>
      </c>
      <c r="N119" s="4">
        <f t="shared" si="30"/>
        <v>0</v>
      </c>
      <c r="O119" s="43" t="s">
        <v>44</v>
      </c>
      <c r="P119" t="str">
        <f t="shared" si="31"/>
        <v>0</v>
      </c>
      <c r="Q119" s="44">
        <v>3000000</v>
      </c>
      <c r="R119" s="43">
        <v>1000</v>
      </c>
      <c r="S119" s="34" t="str">
        <f>IF($V119="USD",INDEX('Dólar Spot'!$B:$B,MATCH(Base!$K119,'Dólar Spot'!$A:$A,0)),"")</f>
        <v/>
      </c>
      <c r="T119" s="4">
        <f t="shared" ref="T119" si="39">Q119*R119</f>
        <v>3000000000</v>
      </c>
      <c r="U119" s="8">
        <f t="shared" si="32"/>
        <v>30</v>
      </c>
      <c r="V119" s="43" t="s">
        <v>41</v>
      </c>
      <c r="W119" s="45">
        <v>100</v>
      </c>
      <c r="X119" s="46">
        <v>1.2</v>
      </c>
      <c r="Y119" s="9">
        <f>IF(AND(V119="DI",$W119=100),$X119/100,
IF(AND(V119="DI",$W119&lt;&gt;100,$X119=""),INDEX('Debs %CDI'!$Q:$Q,MATCH(Base!$C119,'Debs %CDI'!$A:$A,0)),
IF($V119="USD",INDEX(Bonds!$AF:$AF,MATCH(Base!$C119,Bonds!$B:$B,0)),
IF($V119="IPCA",INDEX('Debs IPCA'!$Z:$Z,MATCH(Base!$C119,'Debs IPCA'!$A:$A,0))))))</f>
        <v>1.2E-2</v>
      </c>
      <c r="Z119" s="43">
        <v>252</v>
      </c>
      <c r="AA119" s="43" t="s">
        <v>30</v>
      </c>
      <c r="AB119" s="43" t="s">
        <v>32</v>
      </c>
      <c r="AC119">
        <f t="shared" si="33"/>
        <v>0</v>
      </c>
      <c r="AD119" s="43" t="s">
        <v>31</v>
      </c>
      <c r="AE119">
        <f t="shared" si="34"/>
        <v>1</v>
      </c>
      <c r="AF119" s="34" t="str" cm="1">
        <f t="array" ref="AF119">INDEX(Ratings!$B$2:$M$40,_xlfn.XMATCH(Base!F119,Ratings!$A$2:$A$40),_xlfn.XMATCH(YEAR(Base!K119),Ratings!$B$1:$M$1))</f>
        <v>BB</v>
      </c>
      <c r="AG119">
        <f t="shared" si="27"/>
        <v>0</v>
      </c>
      <c r="AH119">
        <f>IFERROR(IFERROR(IFERROR(INDEX('EMBI+'!$B:$B,MATCH(Base!$K119,'EMBI+'!$A:$A,0)),INDEX('EMBI+'!$B:$B,MATCH(Base!$K119+1,'EMBI+'!$A:$A,0))),INDEX('EMBI+'!$B:$B,MATCH(Base!$K119+2,'EMBI+'!$A:$A,0))),INDEX('EMBI+'!$B:$B,MATCH(Base!$K119+3,'EMBI+'!$A:$A,0)))/100</f>
        <v>2.7</v>
      </c>
      <c r="AL119" s="43"/>
      <c r="AM119" s="28"/>
      <c r="AN119" s="28"/>
    </row>
    <row r="120" spans="1:40" x14ac:dyDescent="0.35">
      <c r="A120">
        <f t="shared" si="35"/>
        <v>118</v>
      </c>
      <c r="B120">
        <f>IF(G120="Bonds",COUNTIF($G$3:G120,"Bonds"),0)</f>
        <v>31</v>
      </c>
      <c r="C120" t="str">
        <f t="shared" si="36"/>
        <v>Cielo4122916/11/2022</v>
      </c>
      <c r="D120">
        <f t="shared" si="37"/>
        <v>10</v>
      </c>
      <c r="E120" s="43" t="s">
        <v>170</v>
      </c>
      <c r="F120" s="43" t="s">
        <v>167</v>
      </c>
      <c r="G120" s="43" t="s">
        <v>34</v>
      </c>
      <c r="H120">
        <f t="shared" si="28"/>
        <v>1</v>
      </c>
      <c r="I120" s="43"/>
      <c r="J120" s="34">
        <f t="shared" si="26"/>
        <v>4</v>
      </c>
      <c r="K120" s="28">
        <v>41229</v>
      </c>
      <c r="L120" s="28" t="s">
        <v>171</v>
      </c>
      <c r="M120" s="60">
        <f t="shared" si="29"/>
        <v>10.005479452054795</v>
      </c>
      <c r="N120" s="4">
        <f t="shared" si="30"/>
        <v>1</v>
      </c>
      <c r="O120" s="43" t="s">
        <v>29</v>
      </c>
      <c r="P120" t="str">
        <f t="shared" si="31"/>
        <v>0</v>
      </c>
      <c r="Q120" s="43"/>
      <c r="R120" s="43"/>
      <c r="S120" s="34">
        <f>IF($V120="USD",INDEX('Dólar Spot'!$B:$B,MATCH(Base!$K120,'Dólar Spot'!$A:$A,0)),"")</f>
        <v>2.0706000000000002</v>
      </c>
      <c r="T120" s="44">
        <v>470000000</v>
      </c>
      <c r="U120" s="8">
        <f t="shared" si="32"/>
        <v>9.7318200000000008</v>
      </c>
      <c r="V120" s="43" t="s">
        <v>651</v>
      </c>
      <c r="W120" s="45" t="s">
        <v>29</v>
      </c>
      <c r="X120" s="53">
        <v>3.75</v>
      </c>
      <c r="Y120" s="9">
        <f>IF(AND(V120="DI",$W120=100),$X120/100,
IF(AND(V120="DI",$W120&lt;&gt;100,$X120=""),INDEX('Debs %CDI'!$Q:$Q,MATCH(Base!$C120,'Debs %CDI'!$A:$A,0)),
IF($V120="USD",INDEX(Bonds!$AF:$AF,MATCH(Base!$C120,Bonds!$B:$B,0)),
IF($V120="IPCA",INDEX('Debs IPCA'!$Z:$Z,MATCH(Base!$C120,'Debs IPCA'!$A:$A,0))))))</f>
        <v>1.4076687668435506E-2</v>
      </c>
      <c r="Z120" s="43">
        <v>360</v>
      </c>
      <c r="AA120" s="43" t="s">
        <v>37</v>
      </c>
      <c r="AB120" s="43" t="s">
        <v>32</v>
      </c>
      <c r="AC120">
        <f t="shared" si="33"/>
        <v>0</v>
      </c>
      <c r="AD120" s="43" t="s">
        <v>32</v>
      </c>
      <c r="AE120">
        <f t="shared" si="34"/>
        <v>0</v>
      </c>
      <c r="AF120" s="34" t="str" cm="1">
        <f t="array" ref="AF120">INDEX(Ratings!$B$2:$M$40,_xlfn.XMATCH(Base!F120,Ratings!$A$2:$A$40),_xlfn.XMATCH(YEAR(Base!K120),Ratings!$B$1:$M$1))</f>
        <v>BBB+</v>
      </c>
      <c r="AG120">
        <f t="shared" si="27"/>
        <v>1</v>
      </c>
      <c r="AH120">
        <f>IFERROR(IFERROR(IFERROR(INDEX('EMBI+'!$B:$B,MATCH(Base!$K120,'EMBI+'!$A:$A,0)),INDEX('EMBI+'!$B:$B,MATCH(Base!$K120+1,'EMBI+'!$A:$A,0))),INDEX('EMBI+'!$B:$B,MATCH(Base!$K120+2,'EMBI+'!$A:$A,0))),INDEX('EMBI+'!$B:$B,MATCH(Base!$K120+3,'EMBI+'!$A:$A,0)))/100</f>
        <v>1.65</v>
      </c>
      <c r="AL120" s="43"/>
      <c r="AM120" s="28"/>
      <c r="AN120" s="28"/>
    </row>
    <row r="121" spans="1:40" x14ac:dyDescent="0.35">
      <c r="A121">
        <f t="shared" si="35"/>
        <v>119</v>
      </c>
      <c r="B121">
        <f>IF(G121="Bonds",COUNTIF($G$3:G121,"Bonds"),0)</f>
        <v>32</v>
      </c>
      <c r="C121" t="str">
        <f t="shared" si="36"/>
        <v>Cielo4122916/11/2022</v>
      </c>
      <c r="D121">
        <f t="shared" si="37"/>
        <v>10</v>
      </c>
      <c r="E121" s="43" t="s">
        <v>172</v>
      </c>
      <c r="F121" s="43" t="s">
        <v>167</v>
      </c>
      <c r="G121" s="43" t="s">
        <v>34</v>
      </c>
      <c r="H121">
        <f t="shared" si="28"/>
        <v>1</v>
      </c>
      <c r="I121" s="43"/>
      <c r="J121" s="34">
        <f t="shared" si="26"/>
        <v>5</v>
      </c>
      <c r="K121" s="28">
        <v>41229</v>
      </c>
      <c r="L121" s="28" t="s">
        <v>171</v>
      </c>
      <c r="M121" s="60">
        <f t="shared" si="29"/>
        <v>10.005479452054795</v>
      </c>
      <c r="N121" s="4">
        <f t="shared" si="30"/>
        <v>1</v>
      </c>
      <c r="O121" s="43" t="s">
        <v>36</v>
      </c>
      <c r="P121" t="str">
        <f t="shared" si="31"/>
        <v>0</v>
      </c>
      <c r="Q121" s="43"/>
      <c r="R121" s="43"/>
      <c r="S121" s="34">
        <f>IF($V121="USD",INDEX('Dólar Spot'!$B:$B,MATCH(Base!$K121,'Dólar Spot'!$A:$A,0)),"")</f>
        <v>2.0706000000000002</v>
      </c>
      <c r="T121" s="44">
        <v>405000000</v>
      </c>
      <c r="U121" s="8">
        <f t="shared" si="32"/>
        <v>8.3859300000000019</v>
      </c>
      <c r="V121" s="43" t="s">
        <v>651</v>
      </c>
      <c r="W121" s="45" t="s">
        <v>29</v>
      </c>
      <c r="X121" s="53">
        <v>3.75</v>
      </c>
      <c r="Y121" s="9">
        <f>IF(AND(V121="DI",$W121=100),$X121/100,
IF(AND(V121="DI",$W121&lt;&gt;100,$X121=""),INDEX('Debs %CDI'!$Q:$Q,MATCH(Base!$C121,'Debs %CDI'!$A:$A,0)),
IF($V121="USD",INDEX(Bonds!$AF:$AF,MATCH(Base!$C121,Bonds!$B:$B,0)),
IF($V121="IPCA",INDEX('Debs IPCA'!$Z:$Z,MATCH(Base!$C121,'Debs IPCA'!$A:$A,0))))))</f>
        <v>1.4076687668435506E-2</v>
      </c>
      <c r="Z121" s="43">
        <v>360</v>
      </c>
      <c r="AA121" s="43" t="s">
        <v>37</v>
      </c>
      <c r="AB121" s="43" t="s">
        <v>32</v>
      </c>
      <c r="AC121">
        <f t="shared" si="33"/>
        <v>0</v>
      </c>
      <c r="AD121" s="43" t="s">
        <v>32</v>
      </c>
      <c r="AE121">
        <f t="shared" si="34"/>
        <v>0</v>
      </c>
      <c r="AF121" s="34" t="str" cm="1">
        <f t="array" ref="AF121">INDEX(Ratings!$B$2:$M$40,_xlfn.XMATCH(Base!F121,Ratings!$A$2:$A$40),_xlfn.XMATCH(YEAR(Base!K121),Ratings!$B$1:$M$1))</f>
        <v>BBB+</v>
      </c>
      <c r="AG121">
        <f t="shared" si="27"/>
        <v>1</v>
      </c>
      <c r="AH121">
        <f>IFERROR(IFERROR(IFERROR(INDEX('EMBI+'!$B:$B,MATCH(Base!$K121,'EMBI+'!$A:$A,0)),INDEX('EMBI+'!$B:$B,MATCH(Base!$K121+1,'EMBI+'!$A:$A,0))),INDEX('EMBI+'!$B:$B,MATCH(Base!$K121+2,'EMBI+'!$A:$A,0))),INDEX('EMBI+'!$B:$B,MATCH(Base!$K121+3,'EMBI+'!$A:$A,0)))/100</f>
        <v>1.65</v>
      </c>
      <c r="AL121" s="43"/>
      <c r="AM121" s="28"/>
      <c r="AN121" s="28"/>
    </row>
    <row r="122" spans="1:40" x14ac:dyDescent="0.35">
      <c r="A122">
        <f t="shared" si="35"/>
        <v>120</v>
      </c>
      <c r="B122">
        <f>IF(G122="Bonds",COUNTIF($G$3:G122,"Bonds"),0)</f>
        <v>0</v>
      </c>
      <c r="C122" t="str">
        <f t="shared" si="36"/>
        <v>Cosan4118343374</v>
      </c>
      <c r="D122">
        <f t="shared" si="37"/>
        <v>11</v>
      </c>
      <c r="E122" s="43" t="s">
        <v>173</v>
      </c>
      <c r="F122" s="43" t="s">
        <v>174</v>
      </c>
      <c r="G122" s="43" t="s">
        <v>25</v>
      </c>
      <c r="H122">
        <f t="shared" si="28"/>
        <v>0</v>
      </c>
      <c r="I122" s="43" t="s">
        <v>175</v>
      </c>
      <c r="J122" s="34">
        <f t="shared" si="26"/>
        <v>1</v>
      </c>
      <c r="K122" s="28">
        <v>41183</v>
      </c>
      <c r="L122" s="28">
        <v>43374</v>
      </c>
      <c r="M122" s="60">
        <f t="shared" si="29"/>
        <v>6.0027397260273974</v>
      </c>
      <c r="N122" s="4">
        <f t="shared" si="30"/>
        <v>1</v>
      </c>
      <c r="O122" s="43" t="s">
        <v>44</v>
      </c>
      <c r="P122" t="str">
        <f t="shared" si="31"/>
        <v>0</v>
      </c>
      <c r="Q122" s="44">
        <v>1900</v>
      </c>
      <c r="R122" s="43">
        <v>1000000</v>
      </c>
      <c r="S122" s="34" t="str">
        <f>IF($V122="USD",INDEX('Dólar Spot'!$B:$B,MATCH(Base!$K122,'Dólar Spot'!$A:$A,0)),"")</f>
        <v/>
      </c>
      <c r="T122" s="4">
        <f t="shared" ref="T122:T130" si="40">Q122*R122</f>
        <v>1900000000</v>
      </c>
      <c r="U122" s="8">
        <f t="shared" si="32"/>
        <v>19</v>
      </c>
      <c r="V122" s="43" t="s">
        <v>41</v>
      </c>
      <c r="W122" s="45">
        <v>123</v>
      </c>
      <c r="X122" s="46"/>
      <c r="Y122" s="9">
        <f>IF(AND(V122="DI",$W122=100),$X122/100,
IF(AND(V122="DI",$W122&lt;&gt;100,$X122=""),INDEX('Debs %CDI'!$Q:$Q,MATCH(Base!$C122,'Debs %CDI'!$A:$A,0)),
IF($V122="USD",INDEX(Bonds!$AF:$AF,MATCH(Base!$C122,Bonds!$B:$B,0)),
IF($V122="IPCA",INDEX('Debs IPCA'!$Z:$Z,MATCH(Base!$C122,'Debs IPCA'!$A:$A,0))))))</f>
        <v>2.1536877034549897E-2</v>
      </c>
      <c r="Z122" s="43">
        <v>252</v>
      </c>
      <c r="AA122" s="43" t="s">
        <v>30</v>
      </c>
      <c r="AB122" s="43" t="s">
        <v>32</v>
      </c>
      <c r="AC122">
        <f t="shared" si="33"/>
        <v>0</v>
      </c>
      <c r="AD122" s="43" t="s">
        <v>31</v>
      </c>
      <c r="AE122">
        <f t="shared" si="34"/>
        <v>1</v>
      </c>
      <c r="AF122" s="34" t="str" cm="1">
        <f t="array" ref="AF122">INDEX(Ratings!$B$2:$M$40,_xlfn.XMATCH(Base!F122,Ratings!$A$2:$A$40),_xlfn.XMATCH(YEAR(Base!K122),Ratings!$B$1:$M$1))</f>
        <v>BB+</v>
      </c>
      <c r="AG122">
        <f t="shared" si="27"/>
        <v>0</v>
      </c>
      <c r="AH122">
        <f>IFERROR(IFERROR(IFERROR(INDEX('EMBI+'!$B:$B,MATCH(Base!$K122,'EMBI+'!$A:$A,0)),INDEX('EMBI+'!$B:$B,MATCH(Base!$K122+1,'EMBI+'!$A:$A,0))),INDEX('EMBI+'!$B:$B,MATCH(Base!$K122+2,'EMBI+'!$A:$A,0))),INDEX('EMBI+'!$B:$B,MATCH(Base!$K122+3,'EMBI+'!$A:$A,0)))/100</f>
        <v>1.62</v>
      </c>
      <c r="AL122" s="43"/>
      <c r="AM122" s="28"/>
      <c r="AN122" s="28"/>
    </row>
    <row r="123" spans="1:40" x14ac:dyDescent="0.35">
      <c r="A123">
        <f t="shared" si="35"/>
        <v>121</v>
      </c>
      <c r="B123">
        <f>IF(G123="Bonds",COUNTIF($G$3:G123,"Bonds"),0)</f>
        <v>0</v>
      </c>
      <c r="C123" t="str">
        <f t="shared" si="36"/>
        <v>Cosan4118344105</v>
      </c>
      <c r="D123">
        <f t="shared" si="37"/>
        <v>11</v>
      </c>
      <c r="E123" s="43" t="s">
        <v>173</v>
      </c>
      <c r="F123" s="43" t="s">
        <v>174</v>
      </c>
      <c r="G123" s="43" t="s">
        <v>25</v>
      </c>
      <c r="H123">
        <f t="shared" si="28"/>
        <v>0</v>
      </c>
      <c r="I123" s="43" t="s">
        <v>176</v>
      </c>
      <c r="J123" s="34">
        <f t="shared" si="26"/>
        <v>2</v>
      </c>
      <c r="K123" s="28">
        <v>41183</v>
      </c>
      <c r="L123" s="28">
        <v>44105</v>
      </c>
      <c r="M123" s="60">
        <f t="shared" si="29"/>
        <v>8.0054794520547947</v>
      </c>
      <c r="N123" s="4">
        <f t="shared" si="30"/>
        <v>1</v>
      </c>
      <c r="O123" s="43" t="s">
        <v>44</v>
      </c>
      <c r="P123" t="str">
        <f t="shared" si="31"/>
        <v>0</v>
      </c>
      <c r="Q123" s="44">
        <v>1400</v>
      </c>
      <c r="R123" s="43">
        <v>1000000</v>
      </c>
      <c r="S123" s="34" t="str">
        <f>IF($V123="USD",INDEX('Dólar Spot'!$B:$B,MATCH(Base!$K123,'Dólar Spot'!$A:$A,0)),"")</f>
        <v/>
      </c>
      <c r="T123" s="4">
        <f t="shared" si="40"/>
        <v>1400000000</v>
      </c>
      <c r="U123" s="8">
        <f t="shared" si="32"/>
        <v>14</v>
      </c>
      <c r="V123" s="43" t="s">
        <v>41</v>
      </c>
      <c r="W123" s="45">
        <v>123</v>
      </c>
      <c r="X123" s="46"/>
      <c r="Y123" s="9">
        <f>IF(AND(V123="DI",$W123=100),$X123/100,
IF(AND(V123="DI",$W123&lt;&gt;100,$X123=""),INDEX('Debs %CDI'!$Q:$Q,MATCH(Base!$C123,'Debs %CDI'!$A:$A,0)),
IF($V123="USD",INDEX(Bonds!$AF:$AF,MATCH(Base!$C123,Bonds!$B:$B,0)),
IF($V123="IPCA",INDEX('Debs IPCA'!$Z:$Z,MATCH(Base!$C123,'Debs IPCA'!$A:$A,0))))))</f>
        <v>2.2258713158324065E-2</v>
      </c>
      <c r="Z123" s="43">
        <v>252</v>
      </c>
      <c r="AA123" s="43" t="s">
        <v>30</v>
      </c>
      <c r="AB123" s="43" t="s">
        <v>32</v>
      </c>
      <c r="AC123">
        <f t="shared" si="33"/>
        <v>0</v>
      </c>
      <c r="AD123" s="43" t="s">
        <v>31</v>
      </c>
      <c r="AE123">
        <f t="shared" si="34"/>
        <v>1</v>
      </c>
      <c r="AF123" s="34" t="str" cm="1">
        <f t="array" ref="AF123">INDEX(Ratings!$B$2:$M$40,_xlfn.XMATCH(Base!F123,Ratings!$A$2:$A$40),_xlfn.XMATCH(YEAR(Base!K123),Ratings!$B$1:$M$1))</f>
        <v>BB+</v>
      </c>
      <c r="AG123">
        <f t="shared" si="27"/>
        <v>0</v>
      </c>
      <c r="AH123">
        <f>IFERROR(IFERROR(IFERROR(INDEX('EMBI+'!$B:$B,MATCH(Base!$K123,'EMBI+'!$A:$A,0)),INDEX('EMBI+'!$B:$B,MATCH(Base!$K123+1,'EMBI+'!$A:$A,0))),INDEX('EMBI+'!$B:$B,MATCH(Base!$K123+2,'EMBI+'!$A:$A,0))),INDEX('EMBI+'!$B:$B,MATCH(Base!$K123+3,'EMBI+'!$A:$A,0)))/100</f>
        <v>1.62</v>
      </c>
      <c r="AL123" s="43"/>
      <c r="AM123" s="28"/>
      <c r="AN123" s="28"/>
    </row>
    <row r="124" spans="1:40" x14ac:dyDescent="0.35">
      <c r="A124">
        <f t="shared" si="35"/>
        <v>122</v>
      </c>
      <c r="B124">
        <f>IF(G124="Bonds",COUNTIF($G$3:G124,"Bonds"),0)</f>
        <v>0</v>
      </c>
      <c r="C124" t="str">
        <f t="shared" si="36"/>
        <v>Cosan4352444255</v>
      </c>
      <c r="D124">
        <f t="shared" si="37"/>
        <v>11</v>
      </c>
      <c r="E124" s="43" t="s">
        <v>173</v>
      </c>
      <c r="F124" s="43" t="s">
        <v>174</v>
      </c>
      <c r="G124" s="43" t="s">
        <v>25</v>
      </c>
      <c r="H124">
        <f t="shared" si="28"/>
        <v>0</v>
      </c>
      <c r="I124" s="43" t="s">
        <v>177</v>
      </c>
      <c r="J124" s="34">
        <f t="shared" si="26"/>
        <v>3</v>
      </c>
      <c r="K124" s="28">
        <v>43524</v>
      </c>
      <c r="L124" s="28">
        <v>44255</v>
      </c>
      <c r="M124" s="60">
        <f t="shared" si="29"/>
        <v>2.0027397260273974</v>
      </c>
      <c r="N124" s="4">
        <f t="shared" si="30"/>
        <v>0</v>
      </c>
      <c r="O124" s="43" t="s">
        <v>44</v>
      </c>
      <c r="P124" t="str">
        <f t="shared" si="31"/>
        <v>0</v>
      </c>
      <c r="Q124" s="44">
        <v>1700000</v>
      </c>
      <c r="R124" s="43">
        <v>1000</v>
      </c>
      <c r="S124" s="34" t="str">
        <f>IF($V124="USD",INDEX('Dólar Spot'!$B:$B,MATCH(Base!$K124,'Dólar Spot'!$A:$A,0)),"")</f>
        <v/>
      </c>
      <c r="T124" s="4">
        <f t="shared" si="40"/>
        <v>1700000000</v>
      </c>
      <c r="U124" s="8">
        <f t="shared" si="32"/>
        <v>17</v>
      </c>
      <c r="V124" s="43" t="s">
        <v>41</v>
      </c>
      <c r="W124" s="45">
        <v>106</v>
      </c>
      <c r="X124" s="46"/>
      <c r="Y124" s="9">
        <f>IF(AND(V124="DI",$W124=100),$X124/100,
IF(AND(V124="DI",$W124&lt;&gt;100,$X124=""),INDEX('Debs %CDI'!$Q:$Q,MATCH(Base!$C124,'Debs %CDI'!$A:$A,0)),
IF($V124="USD",INDEX(Bonds!$AF:$AF,MATCH(Base!$C124,Bonds!$B:$B,0)),
IF($V124="IPCA",INDEX('Debs IPCA'!$Z:$Z,MATCH(Base!$C124,'Debs IPCA'!$A:$A,0))))))</f>
        <v>4.3576180954415858E-3</v>
      </c>
      <c r="Z124" s="43">
        <v>252</v>
      </c>
      <c r="AA124" s="43" t="s">
        <v>30</v>
      </c>
      <c r="AB124" s="43" t="s">
        <v>32</v>
      </c>
      <c r="AC124">
        <f t="shared" si="33"/>
        <v>0</v>
      </c>
      <c r="AD124" s="43" t="s">
        <v>31</v>
      </c>
      <c r="AE124">
        <f t="shared" si="34"/>
        <v>1</v>
      </c>
      <c r="AF124" s="34" t="str" cm="1">
        <f t="array" ref="AF124">INDEX(Ratings!$B$2:$M$40,_xlfn.XMATCH(Base!F124,Ratings!$A$2:$A$40),_xlfn.XMATCH(YEAR(Base!K124),Ratings!$B$1:$M$1))</f>
        <v>BB</v>
      </c>
      <c r="AG124">
        <f t="shared" si="27"/>
        <v>0</v>
      </c>
      <c r="AH124">
        <f>IFERROR(IFERROR(IFERROR(INDEX('EMBI+'!$B:$B,MATCH(Base!$K124,'EMBI+'!$A:$A,0)),INDEX('EMBI+'!$B:$B,MATCH(Base!$K124+1,'EMBI+'!$A:$A,0))),INDEX('EMBI+'!$B:$B,MATCH(Base!$K124+2,'EMBI+'!$A:$A,0))),INDEX('EMBI+'!$B:$B,MATCH(Base!$K124+3,'EMBI+'!$A:$A,0)))/100</f>
        <v>2.35</v>
      </c>
      <c r="AL124" s="43"/>
      <c r="AM124" s="28"/>
      <c r="AN124" s="28"/>
    </row>
    <row r="125" spans="1:40" x14ac:dyDescent="0.35">
      <c r="A125">
        <f t="shared" si="35"/>
        <v>123</v>
      </c>
      <c r="B125">
        <f>IF(G125="Bonds",COUNTIF($G$3:G125,"Bonds"),0)</f>
        <v>0</v>
      </c>
      <c r="C125" t="str">
        <f t="shared" si="36"/>
        <v>Cosan4439246980</v>
      </c>
      <c r="D125">
        <f t="shared" si="37"/>
        <v>11</v>
      </c>
      <c r="E125" s="43" t="s">
        <v>173</v>
      </c>
      <c r="F125" s="43" t="s">
        <v>174</v>
      </c>
      <c r="G125" s="43" t="s">
        <v>25</v>
      </c>
      <c r="H125">
        <f t="shared" si="28"/>
        <v>0</v>
      </c>
      <c r="I125" s="43" t="s">
        <v>178</v>
      </c>
      <c r="J125" s="34">
        <f t="shared" si="26"/>
        <v>4</v>
      </c>
      <c r="K125" s="28">
        <v>44392</v>
      </c>
      <c r="L125" s="28">
        <v>46980</v>
      </c>
      <c r="M125" s="60">
        <f t="shared" si="29"/>
        <v>7.0904109589041093</v>
      </c>
      <c r="N125" s="4">
        <f t="shared" si="30"/>
        <v>1</v>
      </c>
      <c r="O125" s="43" t="s">
        <v>44</v>
      </c>
      <c r="P125" t="str">
        <f t="shared" si="31"/>
        <v>0</v>
      </c>
      <c r="Q125" s="44">
        <v>750000</v>
      </c>
      <c r="R125" s="43">
        <v>1000</v>
      </c>
      <c r="S125" s="34" t="str">
        <f>IF($V125="USD",INDEX('Dólar Spot'!$B:$B,MATCH(Base!$K125,'Dólar Spot'!$A:$A,0)),"")</f>
        <v/>
      </c>
      <c r="T125" s="4">
        <f t="shared" si="40"/>
        <v>750000000</v>
      </c>
      <c r="U125" s="8">
        <f t="shared" si="32"/>
        <v>7.5</v>
      </c>
      <c r="V125" s="43" t="s">
        <v>41</v>
      </c>
      <c r="W125" s="45">
        <v>100</v>
      </c>
      <c r="X125" s="46">
        <v>1.65</v>
      </c>
      <c r="Y125" s="9">
        <f>IF(AND(V125="DI",$W125=100),$X125/100,
IF(AND(V125="DI",$W125&lt;&gt;100,$X125=""),INDEX('Debs %CDI'!$Q:$Q,MATCH(Base!$C125,'Debs %CDI'!$A:$A,0)),
IF($V125="USD",INDEX(Bonds!$AF:$AF,MATCH(Base!$C125,Bonds!$B:$B,0)),
IF($V125="IPCA",INDEX('Debs IPCA'!$Z:$Z,MATCH(Base!$C125,'Debs IPCA'!$A:$A,0))))))</f>
        <v>1.6500000000000001E-2</v>
      </c>
      <c r="Z125" s="43">
        <v>252</v>
      </c>
      <c r="AA125" s="43" t="s">
        <v>30</v>
      </c>
      <c r="AB125" s="43" t="s">
        <v>32</v>
      </c>
      <c r="AC125">
        <f t="shared" si="33"/>
        <v>0</v>
      </c>
      <c r="AD125" s="43" t="s">
        <v>31</v>
      </c>
      <c r="AE125">
        <f t="shared" si="34"/>
        <v>1</v>
      </c>
      <c r="AF125" s="34" t="str" cm="1">
        <f t="array" ref="AF125">INDEX(Ratings!$B$2:$M$40,_xlfn.XMATCH(Base!F125,Ratings!$A$2:$A$40),_xlfn.XMATCH(YEAR(Base!K125),Ratings!$B$1:$M$1))</f>
        <v>BB</v>
      </c>
      <c r="AG125">
        <f t="shared" si="27"/>
        <v>0</v>
      </c>
      <c r="AH125">
        <f>IFERROR(IFERROR(IFERROR(INDEX('EMBI+'!$B:$B,MATCH(Base!$K125,'EMBI+'!$A:$A,0)),INDEX('EMBI+'!$B:$B,MATCH(Base!$K125+1,'EMBI+'!$A:$A,0))),INDEX('EMBI+'!$B:$B,MATCH(Base!$K125+2,'EMBI+'!$A:$A,0))),INDEX('EMBI+'!$B:$B,MATCH(Base!$K125+3,'EMBI+'!$A:$A,0)))/100</f>
        <v>2.92</v>
      </c>
      <c r="AL125" s="43"/>
      <c r="AM125" s="28"/>
      <c r="AN125" s="28"/>
    </row>
    <row r="126" spans="1:40" x14ac:dyDescent="0.35">
      <c r="A126">
        <f t="shared" si="35"/>
        <v>124</v>
      </c>
      <c r="B126">
        <f>IF(G126="Bonds",COUNTIF($G$3:G126,"Bonds"),0)</f>
        <v>0</v>
      </c>
      <c r="C126" t="str">
        <f t="shared" si="36"/>
        <v>Cosan4439248075</v>
      </c>
      <c r="D126">
        <f t="shared" si="37"/>
        <v>11</v>
      </c>
      <c r="E126" s="43" t="s">
        <v>173</v>
      </c>
      <c r="F126" s="43" t="s">
        <v>174</v>
      </c>
      <c r="G126" s="43" t="s">
        <v>25</v>
      </c>
      <c r="H126">
        <f t="shared" si="28"/>
        <v>0</v>
      </c>
      <c r="I126" s="43" t="s">
        <v>179</v>
      </c>
      <c r="J126" s="34">
        <f t="shared" si="26"/>
        <v>5</v>
      </c>
      <c r="K126" s="28">
        <v>44392</v>
      </c>
      <c r="L126" s="28">
        <v>48075</v>
      </c>
      <c r="M126" s="60">
        <f t="shared" si="29"/>
        <v>10.09041095890411</v>
      </c>
      <c r="N126" s="4">
        <f t="shared" si="30"/>
        <v>1</v>
      </c>
      <c r="O126" s="43" t="s">
        <v>44</v>
      </c>
      <c r="P126" t="str">
        <f t="shared" si="31"/>
        <v>0</v>
      </c>
      <c r="Q126" s="44">
        <v>900000</v>
      </c>
      <c r="R126" s="43">
        <v>1000</v>
      </c>
      <c r="S126" s="34" t="str">
        <f>IF($V126="USD",INDEX('Dólar Spot'!$B:$B,MATCH(Base!$K126,'Dólar Spot'!$A:$A,0)),"")</f>
        <v/>
      </c>
      <c r="T126" s="4">
        <f t="shared" si="40"/>
        <v>900000000</v>
      </c>
      <c r="U126" s="8">
        <f t="shared" si="32"/>
        <v>9</v>
      </c>
      <c r="V126" s="43" t="s">
        <v>41</v>
      </c>
      <c r="W126" s="45">
        <v>100</v>
      </c>
      <c r="X126" s="46">
        <v>2</v>
      </c>
      <c r="Y126" s="9">
        <f>IF(AND(V126="DI",$W126=100),$X126/100,
IF(AND(V126="DI",$W126&lt;&gt;100,$X126=""),INDEX('Debs %CDI'!$Q:$Q,MATCH(Base!$C126,'Debs %CDI'!$A:$A,0)),
IF($V126="USD",INDEX(Bonds!$AF:$AF,MATCH(Base!$C126,Bonds!$B:$B,0)),
IF($V126="IPCA",INDEX('Debs IPCA'!$Z:$Z,MATCH(Base!$C126,'Debs IPCA'!$A:$A,0))))))</f>
        <v>0.02</v>
      </c>
      <c r="Z126" s="43">
        <v>252</v>
      </c>
      <c r="AA126" s="43" t="s">
        <v>30</v>
      </c>
      <c r="AB126" s="43" t="s">
        <v>32</v>
      </c>
      <c r="AC126">
        <f t="shared" si="33"/>
        <v>0</v>
      </c>
      <c r="AD126" s="43" t="s">
        <v>31</v>
      </c>
      <c r="AE126">
        <f t="shared" si="34"/>
        <v>1</v>
      </c>
      <c r="AF126" s="34" t="str" cm="1">
        <f t="array" ref="AF126">INDEX(Ratings!$B$2:$M$40,_xlfn.XMATCH(Base!F126,Ratings!$A$2:$A$40),_xlfn.XMATCH(YEAR(Base!K126),Ratings!$B$1:$M$1))</f>
        <v>BB</v>
      </c>
      <c r="AG126">
        <f t="shared" si="27"/>
        <v>0</v>
      </c>
      <c r="AH126">
        <f>IFERROR(IFERROR(IFERROR(INDEX('EMBI+'!$B:$B,MATCH(Base!$K126,'EMBI+'!$A:$A,0)),INDEX('EMBI+'!$B:$B,MATCH(Base!$K126+1,'EMBI+'!$A:$A,0))),INDEX('EMBI+'!$B:$B,MATCH(Base!$K126+2,'EMBI+'!$A:$A,0))),INDEX('EMBI+'!$B:$B,MATCH(Base!$K126+3,'EMBI+'!$A:$A,0)))/100</f>
        <v>2.92</v>
      </c>
      <c r="AL126" s="43"/>
      <c r="AM126" s="28"/>
      <c r="AN126" s="28"/>
    </row>
    <row r="127" spans="1:40" x14ac:dyDescent="0.35">
      <c r="A127">
        <f t="shared" si="35"/>
        <v>125</v>
      </c>
      <c r="B127">
        <f>IF(G127="Bonds",COUNTIF($G$3:G127,"Bonds"),0)</f>
        <v>0</v>
      </c>
      <c r="C127" t="str">
        <f t="shared" si="36"/>
        <v>Cosan4439248075</v>
      </c>
      <c r="D127">
        <f t="shared" si="37"/>
        <v>11</v>
      </c>
      <c r="E127" s="43" t="s">
        <v>173</v>
      </c>
      <c r="F127" s="43" t="s">
        <v>174</v>
      </c>
      <c r="G127" s="43" t="s">
        <v>25</v>
      </c>
      <c r="H127">
        <f t="shared" si="28"/>
        <v>0</v>
      </c>
      <c r="I127" s="43" t="s">
        <v>180</v>
      </c>
      <c r="J127" s="34">
        <f t="shared" si="26"/>
        <v>6</v>
      </c>
      <c r="K127" s="28">
        <v>44392</v>
      </c>
      <c r="L127" s="28">
        <v>48075</v>
      </c>
      <c r="M127" s="60">
        <f t="shared" si="29"/>
        <v>10.09041095890411</v>
      </c>
      <c r="N127" s="4">
        <f t="shared" si="30"/>
        <v>1</v>
      </c>
      <c r="O127" s="43" t="s">
        <v>44</v>
      </c>
      <c r="P127" t="str">
        <f t="shared" si="31"/>
        <v>0</v>
      </c>
      <c r="Q127" s="44">
        <v>350000</v>
      </c>
      <c r="R127" s="43">
        <v>1000</v>
      </c>
      <c r="S127" s="34" t="str">
        <f>IF($V127="USD",INDEX('Dólar Spot'!$B:$B,MATCH(Base!$K127,'Dólar Spot'!$A:$A,0)),"")</f>
        <v/>
      </c>
      <c r="T127" s="4">
        <f t="shared" si="40"/>
        <v>350000000</v>
      </c>
      <c r="U127" s="8">
        <f t="shared" si="32"/>
        <v>3.5</v>
      </c>
      <c r="V127" s="43" t="s">
        <v>28</v>
      </c>
      <c r="W127" s="45" t="s">
        <v>29</v>
      </c>
      <c r="X127" s="46">
        <v>5.7530999999999999</v>
      </c>
      <c r="Y127" s="9">
        <f>IF(AND(V127="DI",$W127=100),$X127/100,
IF(AND(V127="DI",$W127&lt;&gt;100,$X127=""),INDEX('Debs %CDI'!$Q:$Q,MATCH(Base!$C127,'Debs %CDI'!$A:$A,0)),
IF($V127="USD",INDEX(Bonds!$AF:$AF,MATCH(Base!$C127,Bonds!$B:$B,0)),
IF($V127="IPCA",INDEX('Debs IPCA'!$Z:$Z,MATCH(Base!$C127,'Debs IPCA'!$A:$A,0))))))</f>
        <v>1.8582648043217409E-2</v>
      </c>
      <c r="Z127" s="43">
        <v>252</v>
      </c>
      <c r="AA127" s="43" t="s">
        <v>30</v>
      </c>
      <c r="AB127" s="43" t="s">
        <v>32</v>
      </c>
      <c r="AC127">
        <f t="shared" si="33"/>
        <v>0</v>
      </c>
      <c r="AD127" s="43" t="s">
        <v>31</v>
      </c>
      <c r="AE127">
        <f t="shared" si="34"/>
        <v>1</v>
      </c>
      <c r="AF127" s="34" t="str" cm="1">
        <f t="array" ref="AF127">INDEX(Ratings!$B$2:$M$40,_xlfn.XMATCH(Base!F127,Ratings!$A$2:$A$40),_xlfn.XMATCH(YEAR(Base!K127),Ratings!$B$1:$M$1))</f>
        <v>BB</v>
      </c>
      <c r="AG127">
        <f t="shared" si="27"/>
        <v>0</v>
      </c>
      <c r="AH127">
        <f>IFERROR(IFERROR(IFERROR(INDEX('EMBI+'!$B:$B,MATCH(Base!$K127,'EMBI+'!$A:$A,0)),INDEX('EMBI+'!$B:$B,MATCH(Base!$K127+1,'EMBI+'!$A:$A,0))),INDEX('EMBI+'!$B:$B,MATCH(Base!$K127+2,'EMBI+'!$A:$A,0))),INDEX('EMBI+'!$B:$B,MATCH(Base!$K127+3,'EMBI+'!$A:$A,0)))/100</f>
        <v>2.92</v>
      </c>
      <c r="AL127" s="43"/>
      <c r="AM127" s="28"/>
      <c r="AN127" s="28"/>
    </row>
    <row r="128" spans="1:40" x14ac:dyDescent="0.35">
      <c r="A128">
        <f t="shared" si="35"/>
        <v>126</v>
      </c>
      <c r="B128">
        <f>IF(G128="Bonds",COUNTIF($G$3:G128,"Bonds"),0)</f>
        <v>0</v>
      </c>
      <c r="C128" t="str">
        <f t="shared" si="36"/>
        <v>Cosan4406845894</v>
      </c>
      <c r="D128">
        <f t="shared" si="37"/>
        <v>11</v>
      </c>
      <c r="E128" s="43" t="s">
        <v>173</v>
      </c>
      <c r="F128" s="43" t="s">
        <v>174</v>
      </c>
      <c r="G128" s="43" t="s">
        <v>25</v>
      </c>
      <c r="H128">
        <f t="shared" si="28"/>
        <v>0</v>
      </c>
      <c r="I128" s="43" t="s">
        <v>181</v>
      </c>
      <c r="J128" s="34">
        <f t="shared" si="26"/>
        <v>7</v>
      </c>
      <c r="K128" s="28">
        <v>44068</v>
      </c>
      <c r="L128" s="28">
        <v>45894</v>
      </c>
      <c r="M128" s="60">
        <f t="shared" si="29"/>
        <v>5.0027397260273974</v>
      </c>
      <c r="N128" s="4">
        <f t="shared" si="30"/>
        <v>1</v>
      </c>
      <c r="O128" s="43" t="s">
        <v>44</v>
      </c>
      <c r="P128" t="str">
        <f t="shared" si="31"/>
        <v>0</v>
      </c>
      <c r="Q128" s="44">
        <v>1740000</v>
      </c>
      <c r="R128" s="43">
        <v>1000</v>
      </c>
      <c r="S128" s="34" t="str">
        <f>IF($V128="USD",INDEX('Dólar Spot'!$B:$B,MATCH(Base!$K128,'Dólar Spot'!$A:$A,0)),"")</f>
        <v/>
      </c>
      <c r="T128" s="4">
        <f t="shared" si="40"/>
        <v>1740000000</v>
      </c>
      <c r="U128" s="8">
        <f t="shared" si="32"/>
        <v>17.399999999999999</v>
      </c>
      <c r="V128" s="43" t="s">
        <v>41</v>
      </c>
      <c r="W128" s="45">
        <v>100</v>
      </c>
      <c r="X128" s="46">
        <v>2.65</v>
      </c>
      <c r="Y128" s="9">
        <f>IF(AND(V128="DI",$W128=100),$X128/100,
IF(AND(V128="DI",$W128&lt;&gt;100,$X128=""),INDEX('Debs %CDI'!$Q:$Q,MATCH(Base!$C128,'Debs %CDI'!$A:$A,0)),
IF($V128="USD",INDEX(Bonds!$AF:$AF,MATCH(Base!$C128,Bonds!$B:$B,0)),
IF($V128="IPCA",INDEX('Debs IPCA'!$Z:$Z,MATCH(Base!$C128,'Debs IPCA'!$A:$A,0))))))</f>
        <v>2.6499999999999999E-2</v>
      </c>
      <c r="Z128" s="43">
        <v>252</v>
      </c>
      <c r="AA128" s="43" t="s">
        <v>30</v>
      </c>
      <c r="AB128" s="43" t="s">
        <v>32</v>
      </c>
      <c r="AC128">
        <f t="shared" si="33"/>
        <v>0</v>
      </c>
      <c r="AD128" s="43" t="s">
        <v>31</v>
      </c>
      <c r="AE128">
        <f t="shared" si="34"/>
        <v>1</v>
      </c>
      <c r="AF128" s="34" t="str" cm="1">
        <f t="array" ref="AF128">INDEX(Ratings!$B$2:$M$40,_xlfn.XMATCH(Base!F128,Ratings!$A$2:$A$40),_xlfn.XMATCH(YEAR(Base!K128),Ratings!$B$1:$M$1))</f>
        <v>BB</v>
      </c>
      <c r="AG128">
        <f t="shared" si="27"/>
        <v>0</v>
      </c>
      <c r="AH128">
        <f>IFERROR(IFERROR(IFERROR(INDEX('EMBI+'!$B:$B,MATCH(Base!$K128,'EMBI+'!$A:$A,0)),INDEX('EMBI+'!$B:$B,MATCH(Base!$K128+1,'EMBI+'!$A:$A,0))),INDEX('EMBI+'!$B:$B,MATCH(Base!$K128+2,'EMBI+'!$A:$A,0))),INDEX('EMBI+'!$B:$B,MATCH(Base!$K128+3,'EMBI+'!$A:$A,0)))/100</f>
        <v>3.34</v>
      </c>
      <c r="AL128" s="43"/>
      <c r="AM128" s="28"/>
      <c r="AN128" s="28"/>
    </row>
    <row r="129" spans="1:40" x14ac:dyDescent="0.35">
      <c r="A129">
        <f t="shared" si="35"/>
        <v>127</v>
      </c>
      <c r="B129">
        <f>IF(G129="Bonds",COUNTIF($G$3:G129,"Bonds"),0)</f>
        <v>0</v>
      </c>
      <c r="C129" t="str">
        <f t="shared" si="36"/>
        <v>Cosan4468646878</v>
      </c>
      <c r="D129">
        <f t="shared" si="37"/>
        <v>11</v>
      </c>
      <c r="E129" s="43" t="s">
        <v>173</v>
      </c>
      <c r="F129" s="43" t="s">
        <v>174</v>
      </c>
      <c r="G129" s="43" t="s">
        <v>25</v>
      </c>
      <c r="H129">
        <f t="shared" si="28"/>
        <v>0</v>
      </c>
      <c r="I129" s="43" t="s">
        <v>840</v>
      </c>
      <c r="J129" s="34">
        <f t="shared" si="26"/>
        <v>8</v>
      </c>
      <c r="K129" s="28">
        <v>44686</v>
      </c>
      <c r="L129" s="28">
        <v>46878</v>
      </c>
      <c r="M129" s="60">
        <f t="shared" si="29"/>
        <v>6.0054794520547947</v>
      </c>
      <c r="N129" s="4">
        <f t="shared" si="30"/>
        <v>1</v>
      </c>
      <c r="O129" s="43" t="s">
        <v>44</v>
      </c>
      <c r="P129" t="str">
        <f t="shared" si="31"/>
        <v>0</v>
      </c>
      <c r="Q129" s="44">
        <v>400000</v>
      </c>
      <c r="R129" s="43">
        <v>1000</v>
      </c>
      <c r="S129" s="34" t="str">
        <f>IF($V129="USD",INDEX('Dólar Spot'!$B:$B,MATCH(Base!$K129,'Dólar Spot'!$A:$A,0)),"")</f>
        <v/>
      </c>
      <c r="T129" s="4">
        <f t="shared" si="40"/>
        <v>400000000</v>
      </c>
      <c r="U129" s="8">
        <f t="shared" si="32"/>
        <v>4</v>
      </c>
      <c r="V129" s="43" t="s">
        <v>41</v>
      </c>
      <c r="W129" s="45">
        <v>100</v>
      </c>
      <c r="X129" s="46">
        <v>1.5</v>
      </c>
      <c r="Y129" s="9">
        <f>IF(AND(V129="DI",$W129=100),$X129/100,
IF(AND(V129="DI",$W129&lt;&gt;100,$X129=""),INDEX('Debs %CDI'!$Q:$Q,MATCH(Base!$C129,'Debs %CDI'!$A:$A,0)),
IF($V129="USD",INDEX(Bonds!$AF:$AF,MATCH(Base!$C129,Bonds!$B:$B,0)),
IF($V129="IPCA",INDEX('Debs IPCA'!$Z:$Z,MATCH(Base!$C129,'Debs IPCA'!$A:$A,0))))))</f>
        <v>1.4999999999999999E-2</v>
      </c>
      <c r="Z129" s="43">
        <v>252</v>
      </c>
      <c r="AA129" s="43" t="s">
        <v>30</v>
      </c>
      <c r="AB129" s="43" t="s">
        <v>32</v>
      </c>
      <c r="AC129">
        <f t="shared" si="33"/>
        <v>0</v>
      </c>
      <c r="AD129" s="43" t="s">
        <v>31</v>
      </c>
      <c r="AE129">
        <f t="shared" si="34"/>
        <v>1</v>
      </c>
      <c r="AF129" s="34" t="str" cm="1">
        <f t="array" ref="AF129">INDEX(Ratings!$B$2:$M$40,_xlfn.XMATCH(Base!F129,Ratings!$A$2:$A$40),_xlfn.XMATCH(YEAR(Base!K129),Ratings!$B$1:$M$1))</f>
        <v>BB</v>
      </c>
      <c r="AG129">
        <f t="shared" si="27"/>
        <v>0</v>
      </c>
      <c r="AH129">
        <f>IFERROR(IFERROR(IFERROR(INDEX('EMBI+'!$B:$B,MATCH(Base!$K129,'EMBI+'!$A:$A,0)),INDEX('EMBI+'!$B:$B,MATCH(Base!$K129+1,'EMBI+'!$A:$A,0))),INDEX('EMBI+'!$B:$B,MATCH(Base!$K129+2,'EMBI+'!$A:$A,0))),INDEX('EMBI+'!$B:$B,MATCH(Base!$K129+3,'EMBI+'!$A:$A,0)))/100</f>
        <v>2.99</v>
      </c>
      <c r="AL129" s="43"/>
      <c r="AM129" s="28"/>
      <c r="AN129" s="28"/>
    </row>
    <row r="130" spans="1:40" x14ac:dyDescent="0.35">
      <c r="A130">
        <f t="shared" si="35"/>
        <v>128</v>
      </c>
      <c r="B130">
        <f>IF(G130="Bonds",COUNTIF($G$3:G130,"Bonds"),0)</f>
        <v>0</v>
      </c>
      <c r="C130" t="str">
        <f t="shared" si="36"/>
        <v>Cosan4468648339</v>
      </c>
      <c r="D130">
        <f t="shared" si="37"/>
        <v>11</v>
      </c>
      <c r="E130" s="43" t="s">
        <v>173</v>
      </c>
      <c r="F130" s="43" t="s">
        <v>174</v>
      </c>
      <c r="G130" s="43" t="s">
        <v>25</v>
      </c>
      <c r="H130">
        <f t="shared" si="28"/>
        <v>0</v>
      </c>
      <c r="I130" s="43" t="s">
        <v>841</v>
      </c>
      <c r="J130" s="34">
        <f t="shared" si="26"/>
        <v>9</v>
      </c>
      <c r="K130" s="28">
        <v>44686</v>
      </c>
      <c r="L130" s="28">
        <v>48339</v>
      </c>
      <c r="M130" s="60">
        <f t="shared" si="29"/>
        <v>10.008219178082191</v>
      </c>
      <c r="N130" s="4">
        <f t="shared" si="30"/>
        <v>1</v>
      </c>
      <c r="O130" s="43" t="s">
        <v>44</v>
      </c>
      <c r="P130" t="str">
        <f t="shared" si="31"/>
        <v>0</v>
      </c>
      <c r="Q130" s="44">
        <v>1100000</v>
      </c>
      <c r="R130" s="43">
        <v>1000</v>
      </c>
      <c r="S130" s="34" t="str">
        <f>IF($V130="USD",INDEX('Dólar Spot'!$B:$B,MATCH(Base!$K130,'Dólar Spot'!$A:$A,0)),"")</f>
        <v/>
      </c>
      <c r="T130" s="4">
        <f t="shared" si="40"/>
        <v>1100000000</v>
      </c>
      <c r="U130" s="8">
        <f t="shared" si="32"/>
        <v>11</v>
      </c>
      <c r="V130" s="43" t="s">
        <v>41</v>
      </c>
      <c r="W130" s="45">
        <v>100</v>
      </c>
      <c r="X130" s="46">
        <v>1.9</v>
      </c>
      <c r="Y130" s="9">
        <f>IF(AND(V130="DI",$W130=100),$X130/100,
IF(AND(V130="DI",$W130&lt;&gt;100,$X130=""),INDEX('Debs %CDI'!$Q:$Q,MATCH(Base!$C130,'Debs %CDI'!$A:$A,0)),
IF($V130="USD",INDEX(Bonds!$AF:$AF,MATCH(Base!$C130,Bonds!$B:$B,0)),
IF($V130="IPCA",INDEX('Debs IPCA'!$Z:$Z,MATCH(Base!$C130,'Debs IPCA'!$A:$A,0))))))</f>
        <v>1.9E-2</v>
      </c>
      <c r="Z130" s="43">
        <v>252</v>
      </c>
      <c r="AA130" s="43" t="s">
        <v>30</v>
      </c>
      <c r="AB130" s="43" t="s">
        <v>32</v>
      </c>
      <c r="AC130">
        <f t="shared" si="33"/>
        <v>0</v>
      </c>
      <c r="AD130" s="43" t="s">
        <v>31</v>
      </c>
      <c r="AE130">
        <f t="shared" si="34"/>
        <v>1</v>
      </c>
      <c r="AF130" s="34" t="str" cm="1">
        <f t="array" ref="AF130">INDEX(Ratings!$B$2:$M$40,_xlfn.XMATCH(Base!F130,Ratings!$A$2:$A$40),_xlfn.XMATCH(YEAR(Base!K130),Ratings!$B$1:$M$1))</f>
        <v>BB</v>
      </c>
      <c r="AG130">
        <f t="shared" si="27"/>
        <v>0</v>
      </c>
      <c r="AH130">
        <f>IFERROR(IFERROR(IFERROR(INDEX('EMBI+'!$B:$B,MATCH(Base!$K130,'EMBI+'!$A:$A,0)),INDEX('EMBI+'!$B:$B,MATCH(Base!$K130+1,'EMBI+'!$A:$A,0))),INDEX('EMBI+'!$B:$B,MATCH(Base!$K130+2,'EMBI+'!$A:$A,0))),INDEX('EMBI+'!$B:$B,MATCH(Base!$K130+3,'EMBI+'!$A:$A,0)))/100</f>
        <v>2.99</v>
      </c>
      <c r="AL130" s="43"/>
      <c r="AM130" s="28"/>
      <c r="AN130" s="28"/>
    </row>
    <row r="131" spans="1:40" x14ac:dyDescent="0.35">
      <c r="A131">
        <f t="shared" si="35"/>
        <v>129</v>
      </c>
      <c r="B131">
        <f>IF(G131="Bonds",COUNTIF($G$3:G131,"Bonds"),0)</f>
        <v>33</v>
      </c>
      <c r="C131" t="str">
        <f t="shared" si="36"/>
        <v>Cosan4299820/09/2024</v>
      </c>
      <c r="D131">
        <f t="shared" si="37"/>
        <v>11</v>
      </c>
      <c r="E131" s="43" t="s">
        <v>182</v>
      </c>
      <c r="F131" s="43" t="s">
        <v>174</v>
      </c>
      <c r="G131" s="43" t="s">
        <v>34</v>
      </c>
      <c r="H131">
        <f t="shared" si="28"/>
        <v>1</v>
      </c>
      <c r="I131" s="43"/>
      <c r="J131" s="34">
        <f t="shared" ref="J131:J147" si="41">IF(F131=F130,J130+1,1)</f>
        <v>10</v>
      </c>
      <c r="K131" s="28">
        <v>42998</v>
      </c>
      <c r="L131" s="28" t="s">
        <v>183</v>
      </c>
      <c r="M131" s="60">
        <f t="shared" si="29"/>
        <v>7.0054794520547947</v>
      </c>
      <c r="N131" s="4">
        <f t="shared" si="30"/>
        <v>1</v>
      </c>
      <c r="O131" s="43" t="s">
        <v>29</v>
      </c>
      <c r="P131" t="str">
        <f t="shared" si="31"/>
        <v>0</v>
      </c>
      <c r="Q131" s="43"/>
      <c r="R131" s="43"/>
      <c r="S131" s="34">
        <f>IF($V131="USD",INDEX('Dólar Spot'!$B:$B,MATCH(Base!$K131,'Dólar Spot'!$A:$A,0)),"")</f>
        <v>3.1274999999999999</v>
      </c>
      <c r="T131" s="44">
        <v>203636000</v>
      </c>
      <c r="U131" s="8">
        <f t="shared" si="32"/>
        <v>6.3687158999999998</v>
      </c>
      <c r="V131" s="43" t="s">
        <v>651</v>
      </c>
      <c r="W131" s="45" t="s">
        <v>29</v>
      </c>
      <c r="X131" s="53">
        <v>5.95</v>
      </c>
      <c r="Y131" s="9">
        <f>IF(AND(V131="DI",$W131=100),$X131/100,
IF(AND(V131="DI",$W131&lt;&gt;100,$X131=""),INDEX('Debs %CDI'!$Q:$Q,MATCH(Base!$C131,'Debs %CDI'!$A:$A,0)),
IF($V131="USD",INDEX(Bonds!$AF:$AF,MATCH(Base!$C131,Bonds!$B:$B,0)),
IF($V131="IPCA",INDEX('Debs IPCA'!$Z:$Z,MATCH(Base!$C131,'Debs IPCA'!$A:$A,0))))))</f>
        <v>2.2628024356858401E-2</v>
      </c>
      <c r="Z131" s="43">
        <v>360</v>
      </c>
      <c r="AA131" s="43" t="s">
        <v>37</v>
      </c>
      <c r="AB131" s="43" t="s">
        <v>32</v>
      </c>
      <c r="AC131">
        <f t="shared" si="33"/>
        <v>0</v>
      </c>
      <c r="AD131" s="43" t="s">
        <v>31</v>
      </c>
      <c r="AE131">
        <f t="shared" si="34"/>
        <v>1</v>
      </c>
      <c r="AF131" s="34" t="str" cm="1">
        <f t="array" ref="AF131">INDEX(Ratings!$B$2:$M$40,_xlfn.XMATCH(Base!F131,Ratings!$A$2:$A$40),_xlfn.XMATCH(YEAR(Base!K131),Ratings!$B$1:$M$1))</f>
        <v>BB+</v>
      </c>
      <c r="AG131">
        <f t="shared" si="27"/>
        <v>0</v>
      </c>
      <c r="AH131">
        <f>IFERROR(IFERROR(IFERROR(INDEX('EMBI+'!$B:$B,MATCH(Base!$K131,'EMBI+'!$A:$A,0)),INDEX('EMBI+'!$B:$B,MATCH(Base!$K131+1,'EMBI+'!$A:$A,0))),INDEX('EMBI+'!$B:$B,MATCH(Base!$K131+2,'EMBI+'!$A:$A,0))),INDEX('EMBI+'!$B:$B,MATCH(Base!$K131+3,'EMBI+'!$A:$A,0)))/100</f>
        <v>2.54</v>
      </c>
      <c r="AL131" s="43"/>
      <c r="AM131" s="28"/>
      <c r="AN131" s="28"/>
    </row>
    <row r="132" spans="1:40" x14ac:dyDescent="0.35">
      <c r="A132">
        <f t="shared" si="35"/>
        <v>130</v>
      </c>
      <c r="B132">
        <f>IF(G132="Bonds",COUNTIF($G$3:G132,"Bonds"),0)</f>
        <v>34</v>
      </c>
      <c r="C132" t="str">
        <f t="shared" si="36"/>
        <v>Cosan4254120/01/2027</v>
      </c>
      <c r="D132">
        <f t="shared" si="37"/>
        <v>11</v>
      </c>
      <c r="E132" s="43" t="s">
        <v>184</v>
      </c>
      <c r="F132" s="43" t="s">
        <v>174</v>
      </c>
      <c r="G132" s="43" t="s">
        <v>34</v>
      </c>
      <c r="H132">
        <f t="shared" si="28"/>
        <v>1</v>
      </c>
      <c r="I132" s="43"/>
      <c r="J132" s="34">
        <f t="shared" si="41"/>
        <v>11</v>
      </c>
      <c r="K132" s="28">
        <v>42541</v>
      </c>
      <c r="L132" s="28" t="s">
        <v>185</v>
      </c>
      <c r="M132" s="60">
        <f t="shared" si="29"/>
        <v>10.591780821917808</v>
      </c>
      <c r="N132" s="4">
        <f t="shared" si="30"/>
        <v>1</v>
      </c>
      <c r="O132" s="43" t="s">
        <v>36</v>
      </c>
      <c r="P132" t="str">
        <f t="shared" si="31"/>
        <v>0</v>
      </c>
      <c r="Q132" s="43"/>
      <c r="R132" s="43"/>
      <c r="S132" s="34">
        <f>IF($V132="USD",INDEX('Dólar Spot'!$B:$B,MATCH(Base!$K132,'Dólar Spot'!$A:$A,0)),"")</f>
        <v>3.3828999999999998</v>
      </c>
      <c r="T132" s="44">
        <v>500000000</v>
      </c>
      <c r="U132" s="8">
        <f t="shared" si="32"/>
        <v>16.9145</v>
      </c>
      <c r="V132" s="43" t="s">
        <v>651</v>
      </c>
      <c r="W132" s="45" t="s">
        <v>29</v>
      </c>
      <c r="X132" s="53">
        <v>7</v>
      </c>
      <c r="Y132" s="9">
        <f>IF(AND(V132="DI",$W132=100),$X132/100,
IF(AND(V132="DI",$W132&lt;&gt;100,$X132=""),INDEX('Debs %CDI'!$Q:$Q,MATCH(Base!$C132,'Debs %CDI'!$A:$A,0)),
IF($V132="USD",INDEX(Bonds!$AF:$AF,MATCH(Base!$C132,Bonds!$B:$B,0)),
IF($V132="IPCA",INDEX('Debs IPCA'!$Z:$Z,MATCH(Base!$C132,'Debs IPCA'!$A:$A,0))))))</f>
        <v>1.8362899748158856E-2</v>
      </c>
      <c r="Z132" s="43">
        <v>360</v>
      </c>
      <c r="AA132" s="43" t="s">
        <v>37</v>
      </c>
      <c r="AB132" s="43" t="s">
        <v>32</v>
      </c>
      <c r="AC132">
        <f t="shared" si="33"/>
        <v>0</v>
      </c>
      <c r="AD132" s="43" t="s">
        <v>31</v>
      </c>
      <c r="AE132">
        <f t="shared" si="34"/>
        <v>1</v>
      </c>
      <c r="AF132" s="34" t="str" cm="1">
        <f t="array" ref="AF132">INDEX(Ratings!$B$2:$M$40,_xlfn.XMATCH(Base!F132,Ratings!$A$2:$A$40),_xlfn.XMATCH(YEAR(Base!K132),Ratings!$B$1:$M$1))</f>
        <v>BB+</v>
      </c>
      <c r="AG132">
        <f t="shared" ref="AG132:AG195" si="42">IF(AND(AF132&lt;&gt;"BBB-",AF132&lt;&gt;"BBB",AF132&lt;&gt;"BBB+"),0,1)</f>
        <v>0</v>
      </c>
      <c r="AH132">
        <f>IFERROR(IFERROR(IFERROR(INDEX('EMBI+'!$B:$B,MATCH(Base!$K132,'EMBI+'!$A:$A,0)),INDEX('EMBI+'!$B:$B,MATCH(Base!$K132+1,'EMBI+'!$A:$A,0))),INDEX('EMBI+'!$B:$B,MATCH(Base!$K132+2,'EMBI+'!$A:$A,0))),INDEX('EMBI+'!$B:$B,MATCH(Base!$K132+3,'EMBI+'!$A:$A,0)))/100</f>
        <v>3.8</v>
      </c>
      <c r="AL132" s="43"/>
      <c r="AM132" s="28"/>
      <c r="AN132" s="28"/>
    </row>
    <row r="133" spans="1:40" x14ac:dyDescent="0.35">
      <c r="A133">
        <f t="shared" si="35"/>
        <v>131</v>
      </c>
      <c r="B133">
        <f>IF(G133="Bonds",COUNTIF($G$3:G133,"Bonds"),0)</f>
        <v>35</v>
      </c>
      <c r="C133" t="str">
        <f t="shared" si="36"/>
        <v>Cosan4134714/03/2023</v>
      </c>
      <c r="D133">
        <f t="shared" si="37"/>
        <v>11</v>
      </c>
      <c r="E133" s="43" t="s">
        <v>184</v>
      </c>
      <c r="F133" s="43" t="s">
        <v>174</v>
      </c>
      <c r="G133" s="43" t="s">
        <v>34</v>
      </c>
      <c r="H133">
        <f t="shared" si="28"/>
        <v>1</v>
      </c>
      <c r="I133" s="43"/>
      <c r="J133" s="34">
        <f t="shared" si="41"/>
        <v>12</v>
      </c>
      <c r="K133" s="28">
        <v>41347</v>
      </c>
      <c r="L133" s="28" t="s">
        <v>186</v>
      </c>
      <c r="M133" s="60">
        <f t="shared" si="29"/>
        <v>10.005479452054795</v>
      </c>
      <c r="N133" s="4">
        <f t="shared" si="30"/>
        <v>1</v>
      </c>
      <c r="O133" s="43" t="s">
        <v>36</v>
      </c>
      <c r="P133" t="str">
        <f t="shared" si="31"/>
        <v>0</v>
      </c>
      <c r="Q133" s="43"/>
      <c r="R133" s="43"/>
      <c r="S133" s="34">
        <f>IF($V133="USD",INDEX('Dólar Spot'!$B:$B,MATCH(Base!$K133,'Dólar Spot'!$A:$A,0)),"")</f>
        <v>1.9671000000000001</v>
      </c>
      <c r="T133" s="44">
        <v>500000000</v>
      </c>
      <c r="U133" s="8">
        <f t="shared" si="32"/>
        <v>9.8354999999999997</v>
      </c>
      <c r="V133" s="43" t="s">
        <v>651</v>
      </c>
      <c r="W133" s="45" t="s">
        <v>29</v>
      </c>
      <c r="X133" s="53">
        <v>5</v>
      </c>
      <c r="Y133" s="9">
        <f>IF(AND(V133="DI",$W133=100),$X133/100,
IF(AND(V133="DI",$W133&lt;&gt;100,$X133=""),INDEX('Debs %CDI'!$Q:$Q,MATCH(Base!$C133,'Debs %CDI'!$A:$A,0)),
IF($V133="USD",INDEX(Bonds!$AF:$AF,MATCH(Base!$C133,Bonds!$B:$B,0)),
IF($V133="IPCA",INDEX('Debs IPCA'!$Z:$Z,MATCH(Base!$C133,'Debs IPCA'!$A:$A,0))))))</f>
        <v>1.3518927037481143E-2</v>
      </c>
      <c r="Z133" s="43">
        <v>360</v>
      </c>
      <c r="AA133" s="43" t="s">
        <v>37</v>
      </c>
      <c r="AB133" s="43" t="s">
        <v>32</v>
      </c>
      <c r="AC133">
        <f t="shared" si="33"/>
        <v>0</v>
      </c>
      <c r="AD133" s="43" t="s">
        <v>31</v>
      </c>
      <c r="AE133">
        <f t="shared" si="34"/>
        <v>1</v>
      </c>
      <c r="AF133" s="34" t="str" cm="1">
        <f t="array" ref="AF133">INDEX(Ratings!$B$2:$M$40,_xlfn.XMATCH(Base!F133,Ratings!$A$2:$A$40),_xlfn.XMATCH(YEAR(Base!K133),Ratings!$B$1:$M$1))</f>
        <v>BB+</v>
      </c>
      <c r="AG133">
        <f t="shared" si="42"/>
        <v>0</v>
      </c>
      <c r="AH133">
        <f>IFERROR(IFERROR(IFERROR(INDEX('EMBI+'!$B:$B,MATCH(Base!$K133,'EMBI+'!$A:$A,0)),INDEX('EMBI+'!$B:$B,MATCH(Base!$K133+1,'EMBI+'!$A:$A,0))),INDEX('EMBI+'!$B:$B,MATCH(Base!$K133+2,'EMBI+'!$A:$A,0))),INDEX('EMBI+'!$B:$B,MATCH(Base!$K133+3,'EMBI+'!$A:$A,0)))/100</f>
        <v>1.74</v>
      </c>
      <c r="AL133" s="43"/>
      <c r="AM133" s="28"/>
      <c r="AN133" s="28"/>
    </row>
    <row r="134" spans="1:40" x14ac:dyDescent="0.35">
      <c r="A134">
        <f t="shared" si="35"/>
        <v>132</v>
      </c>
      <c r="B134">
        <f>IF(G134="Bonds",COUNTIF($G$3:G134,"Bonds"),0)</f>
        <v>36</v>
      </c>
      <c r="C134" t="str">
        <f t="shared" si="36"/>
        <v>Cosan4256920/01/2027</v>
      </c>
      <c r="D134">
        <f t="shared" si="37"/>
        <v>11</v>
      </c>
      <c r="E134" s="43" t="s">
        <v>184</v>
      </c>
      <c r="F134" s="43" t="s">
        <v>174</v>
      </c>
      <c r="G134" s="43" t="s">
        <v>34</v>
      </c>
      <c r="H134">
        <f t="shared" si="28"/>
        <v>1</v>
      </c>
      <c r="I134" s="43"/>
      <c r="J134" s="34">
        <f t="shared" si="41"/>
        <v>13</v>
      </c>
      <c r="K134" s="28">
        <v>42569</v>
      </c>
      <c r="L134" s="28" t="s">
        <v>185</v>
      </c>
      <c r="M134" s="60">
        <f t="shared" si="29"/>
        <v>10.515068493150684</v>
      </c>
      <c r="N134" s="4">
        <f t="shared" si="30"/>
        <v>1</v>
      </c>
      <c r="O134" s="43" t="s">
        <v>36</v>
      </c>
      <c r="P134" t="str">
        <f t="shared" si="31"/>
        <v>0</v>
      </c>
      <c r="Q134" s="43"/>
      <c r="R134" s="43"/>
      <c r="S134" s="34">
        <f>IF($V134="USD",INDEX('Dólar Spot'!$B:$B,MATCH(Base!$K134,'Dólar Spot'!$A:$A,0)),"")</f>
        <v>3.2627999999999999</v>
      </c>
      <c r="T134" s="44">
        <v>150000000</v>
      </c>
      <c r="U134" s="8">
        <f t="shared" si="32"/>
        <v>4.8941999999999997</v>
      </c>
      <c r="V134" s="43" t="s">
        <v>651</v>
      </c>
      <c r="W134" s="45" t="s">
        <v>29</v>
      </c>
      <c r="X134" s="53">
        <v>7</v>
      </c>
      <c r="Y134" s="9">
        <f>IF(AND(V134="DI",$W134=100),$X134/100,
IF(AND(V134="DI",$W134&lt;&gt;100,$X134=""),INDEX('Debs %CDI'!$Q:$Q,MATCH(Base!$C134,'Debs %CDI'!$A:$A,0)),
IF($V134="USD",INDEX(Bonds!$AF:$AF,MATCH(Base!$C134,Bonds!$B:$B,0)),
IF($V134="IPCA",INDEX('Debs IPCA'!$Z:$Z,MATCH(Base!$C134,'Debs IPCA'!$A:$A,0))))))</f>
        <v>1.4865820908918748E-2</v>
      </c>
      <c r="Z134" s="43">
        <v>360</v>
      </c>
      <c r="AA134" s="43" t="s">
        <v>37</v>
      </c>
      <c r="AB134" s="43" t="s">
        <v>32</v>
      </c>
      <c r="AC134">
        <f t="shared" si="33"/>
        <v>0</v>
      </c>
      <c r="AD134" s="43" t="s">
        <v>31</v>
      </c>
      <c r="AE134">
        <f t="shared" si="34"/>
        <v>1</v>
      </c>
      <c r="AF134" s="34" t="str" cm="1">
        <f t="array" ref="AF134">INDEX(Ratings!$B$2:$M$40,_xlfn.XMATCH(Base!F134,Ratings!$A$2:$A$40),_xlfn.XMATCH(YEAR(Base!K134),Ratings!$B$1:$M$1))</f>
        <v>BB+</v>
      </c>
      <c r="AG134">
        <f t="shared" si="42"/>
        <v>0</v>
      </c>
      <c r="AH134">
        <f>IFERROR(IFERROR(IFERROR(INDEX('EMBI+'!$B:$B,MATCH(Base!$K134,'EMBI+'!$A:$A,0)),INDEX('EMBI+'!$B:$B,MATCH(Base!$K134+1,'EMBI+'!$A:$A,0))),INDEX('EMBI+'!$B:$B,MATCH(Base!$K134+2,'EMBI+'!$A:$A,0))),INDEX('EMBI+'!$B:$B,MATCH(Base!$K134+3,'EMBI+'!$A:$A,0)))/100</f>
        <v>3.32</v>
      </c>
      <c r="AL134" s="43"/>
      <c r="AM134" s="28"/>
      <c r="AN134" s="28"/>
    </row>
    <row r="135" spans="1:40" x14ac:dyDescent="0.35">
      <c r="A135">
        <f t="shared" ref="A135:A199" si="43">+A134+1</f>
        <v>133</v>
      </c>
      <c r="B135">
        <f>IF(G135="Bonds",COUNTIF($G$3:G135,"Bonds"),0)</f>
        <v>37</v>
      </c>
      <c r="C135" t="str">
        <f t="shared" si="36"/>
        <v>Cosan4367720/09/2029</v>
      </c>
      <c r="D135">
        <f t="shared" si="37"/>
        <v>11</v>
      </c>
      <c r="E135" s="43" t="s">
        <v>187</v>
      </c>
      <c r="F135" s="43" t="s">
        <v>174</v>
      </c>
      <c r="G135" s="43" t="s">
        <v>34</v>
      </c>
      <c r="H135">
        <f t="shared" si="28"/>
        <v>1</v>
      </c>
      <c r="I135" s="43"/>
      <c r="J135" s="34">
        <f t="shared" si="41"/>
        <v>14</v>
      </c>
      <c r="K135" s="28">
        <v>43677</v>
      </c>
      <c r="L135" s="28" t="s">
        <v>188</v>
      </c>
      <c r="M135" s="60">
        <f t="shared" si="29"/>
        <v>10.147945205479452</v>
      </c>
      <c r="N135" s="4">
        <f t="shared" si="30"/>
        <v>1</v>
      </c>
      <c r="O135" s="43" t="s">
        <v>29</v>
      </c>
      <c r="P135" t="str">
        <f t="shared" si="31"/>
        <v>0</v>
      </c>
      <c r="Q135" s="43"/>
      <c r="R135" s="43"/>
      <c r="S135" s="34">
        <f>IF($V135="USD",INDEX('Dólar Spot'!$B:$B,MATCH(Base!$K135,'Dólar Spot'!$A:$A,0)),"")</f>
        <v>3.7643</v>
      </c>
      <c r="T135" s="44">
        <v>750000000</v>
      </c>
      <c r="U135" s="8">
        <f t="shared" si="32"/>
        <v>28.232250000000001</v>
      </c>
      <c r="V135" s="43" t="s">
        <v>651</v>
      </c>
      <c r="W135" s="45" t="s">
        <v>29</v>
      </c>
      <c r="X135" s="53">
        <v>5.5</v>
      </c>
      <c r="Y135" s="9">
        <f>IF(AND(V135="DI",$W135=100),$X135/100,
IF(AND(V135="DI",$W135&lt;&gt;100,$X135=""),INDEX('Debs %CDI'!$Q:$Q,MATCH(Base!$C135,'Debs %CDI'!$A:$A,0)),
IF($V135="USD",INDEX(Bonds!$AF:$AF,MATCH(Base!$C135,Bonds!$B:$B,0)),
IF($V135="IPCA",INDEX('Debs IPCA'!$Z:$Z,MATCH(Base!$C135,'Debs IPCA'!$A:$A,0))))))</f>
        <v>2.7610563309885761E-2</v>
      </c>
      <c r="Z135" s="43">
        <v>360</v>
      </c>
      <c r="AA135" s="43" t="s">
        <v>37</v>
      </c>
      <c r="AB135" s="43" t="s">
        <v>32</v>
      </c>
      <c r="AC135">
        <f t="shared" si="33"/>
        <v>0</v>
      </c>
      <c r="AD135" s="43" t="s">
        <v>31</v>
      </c>
      <c r="AE135">
        <f t="shared" si="34"/>
        <v>1</v>
      </c>
      <c r="AF135" s="34" t="str" cm="1">
        <f t="array" ref="AF135">INDEX(Ratings!$B$2:$M$40,_xlfn.XMATCH(Base!F135,Ratings!$A$2:$A$40),_xlfn.XMATCH(YEAR(Base!K135),Ratings!$B$1:$M$1))</f>
        <v>BB</v>
      </c>
      <c r="AG135">
        <f t="shared" si="42"/>
        <v>0</v>
      </c>
      <c r="AH135">
        <f>IFERROR(IFERROR(IFERROR(INDEX('EMBI+'!$B:$B,MATCH(Base!$K135,'EMBI+'!$A:$A,0)),INDEX('EMBI+'!$B:$B,MATCH(Base!$K135+1,'EMBI+'!$A:$A,0))),INDEX('EMBI+'!$B:$B,MATCH(Base!$K135+2,'EMBI+'!$A:$A,0))),INDEX('EMBI+'!$B:$B,MATCH(Base!$K135+3,'EMBI+'!$A:$A,0)))/100</f>
        <v>2.12</v>
      </c>
      <c r="AL135" s="43"/>
      <c r="AM135" s="28"/>
      <c r="AN135" s="28"/>
    </row>
    <row r="136" spans="1:40" x14ac:dyDescent="0.35">
      <c r="A136">
        <f t="shared" si="43"/>
        <v>134</v>
      </c>
      <c r="B136">
        <f>IF(G136="Bonds",COUNTIF($G$3:G136,"Bonds"),0)</f>
        <v>0</v>
      </c>
      <c r="C136" t="str">
        <f t="shared" si="36"/>
        <v>CSN4439248044</v>
      </c>
      <c r="D136">
        <f t="shared" si="37"/>
        <v>12</v>
      </c>
      <c r="E136" s="43" t="s">
        <v>189</v>
      </c>
      <c r="F136" s="43" t="s">
        <v>190</v>
      </c>
      <c r="G136" s="43" t="s">
        <v>25</v>
      </c>
      <c r="H136">
        <f t="shared" si="28"/>
        <v>0</v>
      </c>
      <c r="I136" s="43" t="s">
        <v>191</v>
      </c>
      <c r="J136" s="34">
        <f t="shared" si="41"/>
        <v>1</v>
      </c>
      <c r="K136" s="28">
        <v>44392</v>
      </c>
      <c r="L136" s="28">
        <v>48044</v>
      </c>
      <c r="M136" s="60">
        <f t="shared" si="29"/>
        <v>10.005479452054795</v>
      </c>
      <c r="N136" s="4">
        <f t="shared" si="30"/>
        <v>1</v>
      </c>
      <c r="O136" s="43" t="s">
        <v>44</v>
      </c>
      <c r="P136" t="str">
        <f t="shared" si="31"/>
        <v>0</v>
      </c>
      <c r="Q136" s="44">
        <v>576448</v>
      </c>
      <c r="R136" s="43">
        <v>1000</v>
      </c>
      <c r="S136" s="34" t="str">
        <f>IF($V136="USD",INDEX('Dólar Spot'!$B:$B,MATCH(Base!$K136,'Dólar Spot'!$A:$A,0)),"")</f>
        <v/>
      </c>
      <c r="T136" s="4">
        <f>Q136*R136</f>
        <v>576448000</v>
      </c>
      <c r="U136" s="8">
        <f t="shared" si="32"/>
        <v>5.7644799999999998</v>
      </c>
      <c r="V136" s="43" t="s">
        <v>28</v>
      </c>
      <c r="W136" s="45" t="s">
        <v>29</v>
      </c>
      <c r="X136" s="46">
        <v>4.8789999999999996</v>
      </c>
      <c r="Y136" s="9">
        <f>IF(AND(V136="DI",$W136=100),$X136/100,
IF(AND(V136="DI",$W136&lt;&gt;100,$X136=""),INDEX('Debs %CDI'!$Q:$Q,MATCH(Base!$C136,'Debs %CDI'!$A:$A,0)),
IF($V136="USD",INDEX(Bonds!$AF:$AF,MATCH(Base!$C136,Bonds!$B:$B,0)),
IF($V136="IPCA",INDEX('Debs IPCA'!$Z:$Z,MATCH(Base!$C136,'Debs IPCA'!$A:$A,0))))))</f>
        <v>1.0185622550690443E-2</v>
      </c>
      <c r="Z136" s="43">
        <v>252</v>
      </c>
      <c r="AA136" s="43" t="s">
        <v>30</v>
      </c>
      <c r="AB136" s="43" t="s">
        <v>31</v>
      </c>
      <c r="AC136">
        <f t="shared" si="33"/>
        <v>1</v>
      </c>
      <c r="AD136" s="43" t="s">
        <v>32</v>
      </c>
      <c r="AE136">
        <f t="shared" si="34"/>
        <v>0</v>
      </c>
      <c r="AF136" s="34" t="str" cm="1">
        <f t="array" ref="AF136">INDEX(Ratings!$B$2:$M$40,_xlfn.XMATCH(Base!F136,Ratings!$A$2:$A$40),_xlfn.XMATCH(YEAR(Base!K136),Ratings!$B$1:$M$1))</f>
        <v>BB</v>
      </c>
      <c r="AG136">
        <f t="shared" si="42"/>
        <v>0</v>
      </c>
      <c r="AH136">
        <f>IFERROR(IFERROR(IFERROR(INDEX('EMBI+'!$B:$B,MATCH(Base!$K136,'EMBI+'!$A:$A,0)),INDEX('EMBI+'!$B:$B,MATCH(Base!$K136+1,'EMBI+'!$A:$A,0))),INDEX('EMBI+'!$B:$B,MATCH(Base!$K136+2,'EMBI+'!$A:$A,0))),INDEX('EMBI+'!$B:$B,MATCH(Base!$K136+3,'EMBI+'!$A:$A,0)))/100</f>
        <v>2.92</v>
      </c>
      <c r="AL136" s="43"/>
      <c r="AM136" s="28"/>
      <c r="AN136" s="28"/>
    </row>
    <row r="137" spans="1:40" x14ac:dyDescent="0.35">
      <c r="A137">
        <f t="shared" si="43"/>
        <v>135</v>
      </c>
      <c r="B137">
        <f>IF(G137="Bonds",COUNTIF($G$3:G137,"Bonds"),0)</f>
        <v>0</v>
      </c>
      <c r="C137" t="str">
        <f t="shared" si="36"/>
        <v>CSN4439249871</v>
      </c>
      <c r="D137">
        <f t="shared" si="37"/>
        <v>12</v>
      </c>
      <c r="E137" s="43" t="s">
        <v>189</v>
      </c>
      <c r="F137" s="43" t="s">
        <v>190</v>
      </c>
      <c r="G137" s="43" t="s">
        <v>25</v>
      </c>
      <c r="H137">
        <f t="shared" si="28"/>
        <v>0</v>
      </c>
      <c r="I137" s="43" t="s">
        <v>192</v>
      </c>
      <c r="J137" s="34">
        <f t="shared" si="41"/>
        <v>2</v>
      </c>
      <c r="K137" s="28">
        <v>44392</v>
      </c>
      <c r="L137" s="28">
        <v>49871</v>
      </c>
      <c r="M137" s="60">
        <f t="shared" si="29"/>
        <v>15.010958904109589</v>
      </c>
      <c r="N137" s="4">
        <f t="shared" si="30"/>
        <v>1</v>
      </c>
      <c r="O137" s="43" t="s">
        <v>44</v>
      </c>
      <c r="P137" t="str">
        <f t="shared" si="31"/>
        <v>0</v>
      </c>
      <c r="Q137" s="44">
        <v>423552</v>
      </c>
      <c r="R137" s="43">
        <v>1000</v>
      </c>
      <c r="S137" s="34" t="str">
        <f>IF($V137="USD",INDEX('Dólar Spot'!$B:$B,MATCH(Base!$K137,'Dólar Spot'!$A:$A,0)),"")</f>
        <v/>
      </c>
      <c r="T137" s="4">
        <f>Q137*R137</f>
        <v>423552000</v>
      </c>
      <c r="U137" s="8">
        <f t="shared" si="32"/>
        <v>4.2355200000000002</v>
      </c>
      <c r="V137" s="43" t="s">
        <v>28</v>
      </c>
      <c r="W137" s="45" t="s">
        <v>29</v>
      </c>
      <c r="X137" s="46">
        <v>5.0209999999999999</v>
      </c>
      <c r="Y137" s="9">
        <f>IF(AND(V137="DI",$W137=100),$X137/100,
IF(AND(V137="DI",$W137&lt;&gt;100,$X137=""),INDEX('Debs %CDI'!$Q:$Q,MATCH(Base!$C137,'Debs %CDI'!$A:$A,0)),
IF($V137="USD",INDEX(Bonds!$AF:$AF,MATCH(Base!$C137,Bonds!$B:$B,0)),
IF($V137="IPCA",INDEX('Debs IPCA'!$Z:$Z,MATCH(Base!$C137,'Debs IPCA'!$A:$A,0))))))</f>
        <v>1.0354764919061399E-2</v>
      </c>
      <c r="Z137" s="43">
        <v>252</v>
      </c>
      <c r="AA137" s="43" t="s">
        <v>30</v>
      </c>
      <c r="AB137" s="43" t="s">
        <v>31</v>
      </c>
      <c r="AC137">
        <f t="shared" si="33"/>
        <v>1</v>
      </c>
      <c r="AD137" s="43" t="s">
        <v>32</v>
      </c>
      <c r="AE137">
        <f t="shared" si="34"/>
        <v>0</v>
      </c>
      <c r="AF137" s="34" t="str" cm="1">
        <f t="array" ref="AF137">INDEX(Ratings!$B$2:$M$40,_xlfn.XMATCH(Base!F137,Ratings!$A$2:$A$40),_xlfn.XMATCH(YEAR(Base!K137),Ratings!$B$1:$M$1))</f>
        <v>BB</v>
      </c>
      <c r="AG137">
        <f t="shared" si="42"/>
        <v>0</v>
      </c>
      <c r="AH137">
        <f>IFERROR(IFERROR(IFERROR(INDEX('EMBI+'!$B:$B,MATCH(Base!$K137,'EMBI+'!$A:$A,0)),INDEX('EMBI+'!$B:$B,MATCH(Base!$K137+1,'EMBI+'!$A:$A,0))),INDEX('EMBI+'!$B:$B,MATCH(Base!$K137+2,'EMBI+'!$A:$A,0))),INDEX('EMBI+'!$B:$B,MATCH(Base!$K137+3,'EMBI+'!$A:$A,0)))/100</f>
        <v>2.92</v>
      </c>
      <c r="AL137" s="43"/>
      <c r="AM137" s="28"/>
      <c r="AN137" s="28"/>
    </row>
    <row r="138" spans="1:40" x14ac:dyDescent="0.35">
      <c r="A138">
        <f t="shared" si="43"/>
        <v>136</v>
      </c>
      <c r="B138">
        <f>IF(G138="Bonds",COUNTIF($G$3:G138,"Bonds"),0)</f>
        <v>0</v>
      </c>
      <c r="C138" t="str">
        <f t="shared" si="36"/>
        <v>CSN4475448410</v>
      </c>
      <c r="D138">
        <f t="shared" si="37"/>
        <v>12</v>
      </c>
      <c r="E138" s="43" t="s">
        <v>189</v>
      </c>
      <c r="F138" s="43" t="s">
        <v>190</v>
      </c>
      <c r="G138" s="43" t="s">
        <v>25</v>
      </c>
      <c r="H138">
        <f t="shared" si="28"/>
        <v>0</v>
      </c>
      <c r="I138" s="43" t="s">
        <v>836</v>
      </c>
      <c r="J138" s="34">
        <f t="shared" si="41"/>
        <v>3</v>
      </c>
      <c r="K138" s="28">
        <v>44754</v>
      </c>
      <c r="L138" s="28">
        <v>48410</v>
      </c>
      <c r="M138" s="60">
        <f t="shared" si="29"/>
        <v>10.016438356164384</v>
      </c>
      <c r="N138" s="4">
        <f t="shared" si="30"/>
        <v>1</v>
      </c>
      <c r="O138" s="43" t="s">
        <v>44</v>
      </c>
      <c r="P138" t="str">
        <f t="shared" si="31"/>
        <v>0</v>
      </c>
      <c r="Q138" s="44">
        <v>745000</v>
      </c>
      <c r="R138" s="43">
        <v>1000</v>
      </c>
      <c r="S138" s="34" t="str">
        <f>IF($V138="USD",INDEX('Dólar Spot'!$B:$B,MATCH(Base!$K138,'Dólar Spot'!$A:$A,0)),"")</f>
        <v/>
      </c>
      <c r="T138" s="4">
        <f t="shared" ref="T138:T139" si="44">Q138*R138</f>
        <v>745000000</v>
      </c>
      <c r="U138" s="8">
        <f t="shared" si="32"/>
        <v>7.45</v>
      </c>
      <c r="V138" s="43" t="s">
        <v>28</v>
      </c>
      <c r="W138" s="45" t="s">
        <v>874</v>
      </c>
      <c r="X138" s="46">
        <v>6.8798000000000004</v>
      </c>
      <c r="Y138" s="9">
        <f>IF(AND(V138="DI",$W138=100),$X138/100,
IF(AND(V138="DI",$W138&lt;&gt;100,$X138=""),INDEX('Debs %CDI'!$Q:$Q,MATCH(Base!$C138,'Debs %CDI'!$A:$A,0)),
IF($V138="USD",INDEX(Bonds!$AF:$AF,MATCH(Base!$C138,Bonds!$B:$B,0)),
IF($V138="IPCA",INDEX('Debs IPCA'!$Z:$Z,MATCH(Base!$C138,'Debs IPCA'!$A:$A,0))))))</f>
        <v>8.2689739707835219E-3</v>
      </c>
      <c r="Z138" s="43">
        <v>252</v>
      </c>
      <c r="AA138" s="43" t="s">
        <v>30</v>
      </c>
      <c r="AB138" s="43" t="s">
        <v>31</v>
      </c>
      <c r="AC138">
        <f t="shared" si="33"/>
        <v>1</v>
      </c>
      <c r="AD138" s="43" t="s">
        <v>32</v>
      </c>
      <c r="AE138">
        <f t="shared" si="34"/>
        <v>0</v>
      </c>
      <c r="AF138" s="34" t="str" cm="1">
        <f t="array" ref="AF138">INDEX(Ratings!$B$2:$M$40,_xlfn.XMATCH(Base!F138,Ratings!$A$2:$A$40),_xlfn.XMATCH(YEAR(Base!K138),Ratings!$B$1:$M$1))</f>
        <v>BB</v>
      </c>
      <c r="AG138">
        <f t="shared" si="42"/>
        <v>0</v>
      </c>
      <c r="AH138">
        <f>IFERROR(IFERROR(IFERROR(INDEX('EMBI+'!$B:$B,MATCH(Base!$K138,'EMBI+'!$A:$A,0)),INDEX('EMBI+'!$B:$B,MATCH(Base!$K138+1,'EMBI+'!$A:$A,0))),INDEX('EMBI+'!$B:$B,MATCH(Base!$K138+2,'EMBI+'!$A:$A,0))),INDEX('EMBI+'!$B:$B,MATCH(Base!$K138+3,'EMBI+'!$A:$A,0)))/100</f>
        <v>3.67</v>
      </c>
      <c r="AL138" s="43"/>
      <c r="AM138" s="28"/>
      <c r="AN138" s="28"/>
    </row>
    <row r="139" spans="1:40" x14ac:dyDescent="0.35">
      <c r="A139">
        <f t="shared" si="43"/>
        <v>137</v>
      </c>
      <c r="B139">
        <f>IF(G139="Bonds",COUNTIF($G$3:G139,"Bonds"),0)</f>
        <v>0</v>
      </c>
      <c r="C139" t="str">
        <f t="shared" si="36"/>
        <v>CSN4475450236</v>
      </c>
      <c r="D139">
        <f t="shared" si="37"/>
        <v>12</v>
      </c>
      <c r="E139" s="43" t="s">
        <v>189</v>
      </c>
      <c r="F139" s="43" t="s">
        <v>190</v>
      </c>
      <c r="G139" s="43" t="s">
        <v>25</v>
      </c>
      <c r="H139">
        <f t="shared" si="28"/>
        <v>0</v>
      </c>
      <c r="I139" s="43" t="s">
        <v>837</v>
      </c>
      <c r="J139" s="34">
        <f t="shared" si="41"/>
        <v>4</v>
      </c>
      <c r="K139" s="28">
        <v>44754</v>
      </c>
      <c r="L139" s="28">
        <v>50236</v>
      </c>
      <c r="M139" s="60">
        <f t="shared" si="29"/>
        <v>15.019178082191781</v>
      </c>
      <c r="N139" s="4">
        <f t="shared" si="30"/>
        <v>1</v>
      </c>
      <c r="O139" s="43" t="s">
        <v>44</v>
      </c>
      <c r="P139" t="str">
        <f t="shared" si="31"/>
        <v>0</v>
      </c>
      <c r="Q139" s="44">
        <v>665000</v>
      </c>
      <c r="R139" s="43">
        <v>1000</v>
      </c>
      <c r="S139" s="34" t="str">
        <f>IF($V139="USD",INDEX('Dólar Spot'!$B:$B,MATCH(Base!$K139,'Dólar Spot'!$A:$A,0)),"")</f>
        <v/>
      </c>
      <c r="T139" s="4">
        <f t="shared" si="44"/>
        <v>665000000</v>
      </c>
      <c r="U139" s="8">
        <f t="shared" si="32"/>
        <v>6.65</v>
      </c>
      <c r="V139" s="43" t="s">
        <v>28</v>
      </c>
      <c r="W139" s="45" t="s">
        <v>874</v>
      </c>
      <c r="X139" s="46">
        <v>7.0673000000000004</v>
      </c>
      <c r="Y139" s="9">
        <f>IF(AND(V139="DI",$W139=100),$X139/100,
IF(AND(V139="DI",$W139&lt;&gt;100,$X139=""),INDEX('Debs %CDI'!$Q:$Q,MATCH(Base!$C139,'Debs %CDI'!$A:$A,0)),
IF($V139="USD",INDEX(Bonds!$AF:$AF,MATCH(Base!$C139,Bonds!$B:$B,0)),
IF($V139="IPCA",INDEX('Debs IPCA'!$Z:$Z,MATCH(Base!$C139,'Debs IPCA'!$A:$A,0))))))</f>
        <v>1.0405202806338387E-2</v>
      </c>
      <c r="Z139" s="43">
        <v>252</v>
      </c>
      <c r="AA139" s="43" t="s">
        <v>30</v>
      </c>
      <c r="AB139" s="43" t="s">
        <v>31</v>
      </c>
      <c r="AC139">
        <f t="shared" si="33"/>
        <v>1</v>
      </c>
      <c r="AD139" s="43" t="s">
        <v>32</v>
      </c>
      <c r="AE139">
        <f t="shared" si="34"/>
        <v>0</v>
      </c>
      <c r="AF139" s="34" t="str" cm="1">
        <f t="array" ref="AF139">INDEX(Ratings!$B$2:$M$40,_xlfn.XMATCH(Base!F139,Ratings!$A$2:$A$40),_xlfn.XMATCH(YEAR(Base!K139),Ratings!$B$1:$M$1))</f>
        <v>BB</v>
      </c>
      <c r="AG139">
        <f t="shared" si="42"/>
        <v>0</v>
      </c>
      <c r="AH139">
        <f>IFERROR(IFERROR(IFERROR(INDEX('EMBI+'!$B:$B,MATCH(Base!$K139,'EMBI+'!$A:$A,0)),INDEX('EMBI+'!$B:$B,MATCH(Base!$K139+1,'EMBI+'!$A:$A,0))),INDEX('EMBI+'!$B:$B,MATCH(Base!$K139+2,'EMBI+'!$A:$A,0))),INDEX('EMBI+'!$B:$B,MATCH(Base!$K139+3,'EMBI+'!$A:$A,0)))/100</f>
        <v>3.67</v>
      </c>
      <c r="AL139" s="43"/>
      <c r="AM139" s="28"/>
      <c r="AN139" s="28"/>
    </row>
    <row r="140" spans="1:40" x14ac:dyDescent="0.35">
      <c r="A140">
        <f t="shared" si="43"/>
        <v>138</v>
      </c>
      <c r="B140">
        <f>IF(G140="Bonds",COUNTIF($G$3:G140,"Bonds"),0)</f>
        <v>38</v>
      </c>
      <c r="C140" t="str">
        <f t="shared" si="36"/>
        <v>CSN4385828/01/2028</v>
      </c>
      <c r="D140">
        <f t="shared" si="37"/>
        <v>12</v>
      </c>
      <c r="E140" s="43" t="s">
        <v>193</v>
      </c>
      <c r="F140" s="43" t="s">
        <v>190</v>
      </c>
      <c r="G140" s="43" t="s">
        <v>34</v>
      </c>
      <c r="H140">
        <f t="shared" ref="H140:H209" si="45">IF(G140="Bonds",1,0)</f>
        <v>1</v>
      </c>
      <c r="I140" s="43"/>
      <c r="J140" s="34">
        <f t="shared" si="41"/>
        <v>5</v>
      </c>
      <c r="K140" s="28">
        <v>43858</v>
      </c>
      <c r="L140" s="28" t="s">
        <v>194</v>
      </c>
      <c r="M140" s="60">
        <f t="shared" ref="M140:M209" si="46">(L140-K140)/365</f>
        <v>8.0054794520547947</v>
      </c>
      <c r="N140" s="4">
        <f t="shared" ref="N140:N209" si="47">IF(M140&gt;5,1,0)</f>
        <v>1</v>
      </c>
      <c r="O140" s="43" t="s">
        <v>36</v>
      </c>
      <c r="P140" t="str">
        <f t="shared" si="31"/>
        <v>0</v>
      </c>
      <c r="Q140" s="43"/>
      <c r="R140" s="43"/>
      <c r="S140" s="34">
        <f>IF($V140="USD",INDEX('Dólar Spot'!$B:$B,MATCH(Base!$K140,'Dólar Spot'!$A:$A,0)),"")</f>
        <v>4.2058</v>
      </c>
      <c r="T140" s="44">
        <v>1000000000</v>
      </c>
      <c r="U140" s="8">
        <f t="shared" si="32"/>
        <v>42.058</v>
      </c>
      <c r="V140" s="43" t="s">
        <v>651</v>
      </c>
      <c r="W140" s="45" t="s">
        <v>29</v>
      </c>
      <c r="X140" s="53">
        <v>6.75</v>
      </c>
      <c r="Y140" s="9">
        <f>IF(AND(V140="DI",$W140=100),$X140/100,
IF(AND(V140="DI",$W140&lt;&gt;100,$X140=""),INDEX('Debs %CDI'!$Q:$Q,MATCH(Base!$C140,'Debs %CDI'!$A:$A,0)),
IF($V140="USD",INDEX(Bonds!$AF:$AF,MATCH(Base!$C140,Bonds!$B:$B,0)),
IF($V140="IPCA",INDEX('Debs IPCA'!$Z:$Z,MATCH(Base!$C140,'Debs IPCA'!$A:$A,0))))))</f>
        <v>4.1526636118506266E-2</v>
      </c>
      <c r="Z140" s="43">
        <v>360</v>
      </c>
      <c r="AA140" s="43" t="s">
        <v>37</v>
      </c>
      <c r="AB140" s="43" t="s">
        <v>32</v>
      </c>
      <c r="AC140">
        <f t="shared" ref="AC140:AC209" si="48">IF(AB140="S",1,0)</f>
        <v>0</v>
      </c>
      <c r="AD140" s="43" t="s">
        <v>31</v>
      </c>
      <c r="AE140">
        <f t="shared" ref="AE140:AE209" si="49">IF(OR(AD140="N",AD140="AT MATURITY"),0,1)</f>
        <v>1</v>
      </c>
      <c r="AF140" s="34" t="str" cm="1">
        <f t="array" ref="AF140">INDEX(Ratings!$B$2:$M$40,_xlfn.XMATCH(Base!F140,Ratings!$A$2:$A$40),_xlfn.XMATCH(YEAR(Base!K140),Ratings!$B$1:$M$1))</f>
        <v>B</v>
      </c>
      <c r="AG140">
        <f t="shared" si="42"/>
        <v>0</v>
      </c>
      <c r="AH140">
        <f>IFERROR(IFERROR(IFERROR(INDEX('EMBI+'!$B:$B,MATCH(Base!$K140,'EMBI+'!$A:$A,0)),INDEX('EMBI+'!$B:$B,MATCH(Base!$K140+1,'EMBI+'!$A:$A,0))),INDEX('EMBI+'!$B:$B,MATCH(Base!$K140+2,'EMBI+'!$A:$A,0))),INDEX('EMBI+'!$B:$B,MATCH(Base!$K140+3,'EMBI+'!$A:$A,0)))/100</f>
        <v>2.27</v>
      </c>
      <c r="AL140" s="43"/>
      <c r="AM140" s="28"/>
      <c r="AN140" s="28"/>
    </row>
    <row r="141" spans="1:40" x14ac:dyDescent="0.35">
      <c r="A141">
        <f t="shared" si="43"/>
        <v>139</v>
      </c>
      <c r="B141">
        <f>IF(G141="Bonds",COUNTIF($G$3:G141,"Bonds"),0)</f>
        <v>39</v>
      </c>
      <c r="C141" t="str">
        <f t="shared" si="36"/>
        <v>CSN4415128/01/2028</v>
      </c>
      <c r="D141">
        <f t="shared" si="37"/>
        <v>12</v>
      </c>
      <c r="E141" s="43" t="s">
        <v>193</v>
      </c>
      <c r="F141" s="43" t="s">
        <v>190</v>
      </c>
      <c r="G141" s="43" t="s">
        <v>34</v>
      </c>
      <c r="H141">
        <f t="shared" si="45"/>
        <v>1</v>
      </c>
      <c r="I141" s="43"/>
      <c r="J141" s="34">
        <f t="shared" si="41"/>
        <v>6</v>
      </c>
      <c r="K141" s="28">
        <v>44151</v>
      </c>
      <c r="L141" s="28" t="s">
        <v>194</v>
      </c>
      <c r="M141" s="60">
        <f t="shared" si="46"/>
        <v>7.2027397260273975</v>
      </c>
      <c r="N141" s="4">
        <f t="shared" si="47"/>
        <v>1</v>
      </c>
      <c r="O141" s="43" t="s">
        <v>36</v>
      </c>
      <c r="P141" t="str">
        <f t="shared" ref="P141:P210" si="50">IF(OR(O141="Real",O141="Flutuante",O141="SR SECURED"),"1","0")</f>
        <v>0</v>
      </c>
      <c r="Q141" s="43"/>
      <c r="R141" s="43"/>
      <c r="S141" s="34">
        <f>IF($V141="USD",INDEX('Dólar Spot'!$B:$B,MATCH(Base!$K141,'Dólar Spot'!$A:$A,0)),"")</f>
        <v>5.4192</v>
      </c>
      <c r="T141" s="44">
        <v>300000000</v>
      </c>
      <c r="U141" s="8">
        <f t="shared" ref="U141:U210" si="51">IF(V141="USD",T141*S141/100000000,Q141*R141/100000000)</f>
        <v>16.2576</v>
      </c>
      <c r="V141" s="43" t="s">
        <v>651</v>
      </c>
      <c r="W141" s="45" t="s">
        <v>29</v>
      </c>
      <c r="X141" s="53">
        <v>6.75</v>
      </c>
      <c r="Y141" s="9">
        <f>IF(AND(V141="DI",$W141=100),$X141/100,
IF(AND(V141="DI",$W141&lt;&gt;100,$X141=""),INDEX('Debs %CDI'!$Q:$Q,MATCH(Base!$C141,'Debs %CDI'!$A:$A,0)),
IF($V141="USD",INDEX(Bonds!$AF:$AF,MATCH(Base!$C141,Bonds!$B:$B,0)),
IF($V141="IPCA",INDEX('Debs IPCA'!$Z:$Z,MATCH(Base!$C141,'Debs IPCA'!$A:$A,0))))))</f>
        <v>4.9964836445694827E-2</v>
      </c>
      <c r="Z141" s="43">
        <v>360</v>
      </c>
      <c r="AA141" s="43" t="s">
        <v>37</v>
      </c>
      <c r="AB141" s="43" t="s">
        <v>32</v>
      </c>
      <c r="AC141">
        <f t="shared" si="48"/>
        <v>0</v>
      </c>
      <c r="AD141" s="43" t="s">
        <v>31</v>
      </c>
      <c r="AE141">
        <f t="shared" si="49"/>
        <v>1</v>
      </c>
      <c r="AF141" s="34" t="str" cm="1">
        <f t="array" ref="AF141">INDEX(Ratings!$B$2:$M$40,_xlfn.XMATCH(Base!F141,Ratings!$A$2:$A$40),_xlfn.XMATCH(YEAR(Base!K141),Ratings!$B$1:$M$1))</f>
        <v>B</v>
      </c>
      <c r="AG141">
        <f t="shared" si="42"/>
        <v>0</v>
      </c>
      <c r="AH141">
        <f>IFERROR(IFERROR(IFERROR(INDEX('EMBI+'!$B:$B,MATCH(Base!$K141,'EMBI+'!$A:$A,0)),INDEX('EMBI+'!$B:$B,MATCH(Base!$K141+1,'EMBI+'!$A:$A,0))),INDEX('EMBI+'!$B:$B,MATCH(Base!$K141+2,'EMBI+'!$A:$A,0))),INDEX('EMBI+'!$B:$B,MATCH(Base!$K141+3,'EMBI+'!$A:$A,0)))/100</f>
        <v>2.76</v>
      </c>
      <c r="AL141" s="43"/>
      <c r="AM141" s="28"/>
      <c r="AN141" s="28"/>
    </row>
    <row r="142" spans="1:40" x14ac:dyDescent="0.35">
      <c r="A142">
        <f t="shared" si="43"/>
        <v>140</v>
      </c>
      <c r="B142">
        <f>IF(G142="Bonds",COUNTIF($G$3:G142,"Bonds"),0)</f>
        <v>40</v>
      </c>
      <c r="C142" t="str">
        <f t="shared" si="36"/>
        <v>CSN4435710/06/2031</v>
      </c>
      <c r="D142">
        <f t="shared" si="37"/>
        <v>12</v>
      </c>
      <c r="E142" s="43" t="s">
        <v>195</v>
      </c>
      <c r="F142" s="43" t="s">
        <v>190</v>
      </c>
      <c r="G142" s="43" t="s">
        <v>34</v>
      </c>
      <c r="H142">
        <f t="shared" si="45"/>
        <v>1</v>
      </c>
      <c r="I142" s="43"/>
      <c r="J142" s="34">
        <f t="shared" si="41"/>
        <v>7</v>
      </c>
      <c r="K142" s="28">
        <v>44357</v>
      </c>
      <c r="L142" s="28" t="s">
        <v>197</v>
      </c>
      <c r="M142" s="60">
        <f t="shared" si="46"/>
        <v>10.005479452054795</v>
      </c>
      <c r="N142" s="4">
        <f t="shared" si="47"/>
        <v>1</v>
      </c>
      <c r="O142" s="43" t="s">
        <v>36</v>
      </c>
      <c r="P142" t="str">
        <f t="shared" si="50"/>
        <v>0</v>
      </c>
      <c r="Q142" s="43"/>
      <c r="R142" s="43"/>
      <c r="S142" s="34">
        <f>IF($V142="USD",INDEX('Dólar Spot'!$B:$B,MATCH(Base!$K142,'Dólar Spot'!$A:$A,0)),"")</f>
        <v>5.0635000000000003</v>
      </c>
      <c r="T142" s="44">
        <v>850000000</v>
      </c>
      <c r="U142" s="8">
        <f t="shared" si="51"/>
        <v>43.039749999999998</v>
      </c>
      <c r="V142" s="43" t="s">
        <v>651</v>
      </c>
      <c r="W142" s="45" t="s">
        <v>29</v>
      </c>
      <c r="X142" s="53">
        <v>4.625</v>
      </c>
      <c r="Y142" s="9">
        <f>IF(AND(V142="DI",$W142=100),$X142/100,
IF(AND(V142="DI",$W142&lt;&gt;100,$X142=""),INDEX('Debs %CDI'!$Q:$Q,MATCH(Base!$C142,'Debs %CDI'!$A:$A,0)),
IF($V142="USD",INDEX(Bonds!$AF:$AF,MATCH(Base!$C142,Bonds!$B:$B,0)),
IF($V142="IPCA",INDEX('Debs IPCA'!$Z:$Z,MATCH(Base!$C142,'Debs IPCA'!$A:$A,0))))))</f>
        <v>2.6064604795942081E-2</v>
      </c>
      <c r="Z142" s="43">
        <v>360</v>
      </c>
      <c r="AA142" s="43" t="s">
        <v>37</v>
      </c>
      <c r="AB142" s="43" t="s">
        <v>32</v>
      </c>
      <c r="AC142">
        <f t="shared" si="48"/>
        <v>0</v>
      </c>
      <c r="AD142" s="43" t="s">
        <v>31</v>
      </c>
      <c r="AE142">
        <f t="shared" si="49"/>
        <v>1</v>
      </c>
      <c r="AF142" s="34" t="str" cm="1">
        <f t="array" ref="AF142">INDEX(Ratings!$B$2:$M$40,_xlfn.XMATCH(Base!F142,Ratings!$A$2:$A$40),_xlfn.XMATCH(YEAR(Base!K142),Ratings!$B$1:$M$1))</f>
        <v>BB</v>
      </c>
      <c r="AG142">
        <f t="shared" si="42"/>
        <v>0</v>
      </c>
      <c r="AH142">
        <f>IFERROR(IFERROR(IFERROR(INDEX('EMBI+'!$B:$B,MATCH(Base!$K142,'EMBI+'!$A:$A,0)),INDEX('EMBI+'!$B:$B,MATCH(Base!$K142+1,'EMBI+'!$A:$A,0))),INDEX('EMBI+'!$B:$B,MATCH(Base!$K142+2,'EMBI+'!$A:$A,0))),INDEX('EMBI+'!$B:$B,MATCH(Base!$K142+3,'EMBI+'!$A:$A,0)))/100</f>
        <v>2.66</v>
      </c>
      <c r="AL142" s="43"/>
      <c r="AM142" s="28"/>
      <c r="AN142" s="28"/>
    </row>
    <row r="143" spans="1:40" x14ac:dyDescent="0.35">
      <c r="A143">
        <f t="shared" si="43"/>
        <v>141</v>
      </c>
      <c r="B143">
        <f>IF(G143="Bonds",COUNTIF($G$3:G143,"Bonds"),0)</f>
        <v>41</v>
      </c>
      <c r="C143" t="str">
        <f t="shared" ref="C143:C147" si="52">F143&amp;K143&amp;L143</f>
        <v>CSN4357217/04/2026</v>
      </c>
      <c r="D143">
        <f t="shared" ref="D143:D147" si="53">IF(F143&lt;&gt;F142,D142+1,D142)</f>
        <v>12</v>
      </c>
      <c r="E143" s="43" t="s">
        <v>195</v>
      </c>
      <c r="F143" s="43" t="s">
        <v>190</v>
      </c>
      <c r="G143" s="43" t="s">
        <v>34</v>
      </c>
      <c r="H143">
        <f t="shared" si="45"/>
        <v>1</v>
      </c>
      <c r="I143" s="43"/>
      <c r="J143" s="34">
        <f t="shared" si="41"/>
        <v>8</v>
      </c>
      <c r="K143" s="28">
        <v>43572</v>
      </c>
      <c r="L143" s="28" t="s">
        <v>198</v>
      </c>
      <c r="M143" s="60">
        <f t="shared" si="46"/>
        <v>7.0054794520547947</v>
      </c>
      <c r="N143" s="4">
        <f t="shared" si="47"/>
        <v>1</v>
      </c>
      <c r="O143" s="43" t="s">
        <v>36</v>
      </c>
      <c r="P143" t="str">
        <f t="shared" si="50"/>
        <v>0</v>
      </c>
      <c r="Q143" s="43"/>
      <c r="R143" s="43"/>
      <c r="S143" s="34">
        <f>IF($V143="USD",INDEX('Dólar Spot'!$B:$B,MATCH(Base!$K143,'Dólar Spot'!$A:$A,0)),"")</f>
        <v>3.9218999999999999</v>
      </c>
      <c r="T143" s="44">
        <v>600000000</v>
      </c>
      <c r="U143" s="8">
        <f t="shared" si="51"/>
        <v>23.531400000000001</v>
      </c>
      <c r="V143" s="43" t="s">
        <v>651</v>
      </c>
      <c r="W143" s="45" t="s">
        <v>29</v>
      </c>
      <c r="X143" s="53">
        <v>7.625</v>
      </c>
      <c r="Y143" s="9">
        <f>IF(AND(V143="DI",$W143=100),$X143/100,
IF(AND(V143="DI",$W143&lt;&gt;100,$X143=""),INDEX('Debs %CDI'!$Q:$Q,MATCH(Base!$C143,'Debs %CDI'!$A:$A,0)),
IF($V143="USD",INDEX(Bonds!$AF:$AF,MATCH(Base!$C143,Bonds!$B:$B,0)),
IF($V143="IPCA",INDEX('Debs IPCA'!$Z:$Z,MATCH(Base!$C143,'Debs IPCA'!$A:$A,0))))))</f>
        <v>3.9238069640534556E-2</v>
      </c>
      <c r="Z143" s="43">
        <v>360</v>
      </c>
      <c r="AA143" s="43" t="s">
        <v>37</v>
      </c>
      <c r="AB143" s="43" t="s">
        <v>32</v>
      </c>
      <c r="AC143">
        <f t="shared" si="48"/>
        <v>0</v>
      </c>
      <c r="AD143" s="43" t="s">
        <v>31</v>
      </c>
      <c r="AE143">
        <f t="shared" si="49"/>
        <v>1</v>
      </c>
      <c r="AF143" s="34" t="str" cm="1">
        <f t="array" ref="AF143">INDEX(Ratings!$B$2:$M$40,_xlfn.XMATCH(Base!F143,Ratings!$A$2:$A$40),_xlfn.XMATCH(YEAR(Base!K143),Ratings!$B$1:$M$1))</f>
        <v>B</v>
      </c>
      <c r="AG143">
        <f t="shared" si="42"/>
        <v>0</v>
      </c>
      <c r="AH143">
        <f>IFERROR(IFERROR(IFERROR(INDEX('EMBI+'!$B:$B,MATCH(Base!$K143,'EMBI+'!$A:$A,0)),INDEX('EMBI+'!$B:$B,MATCH(Base!$K143+1,'EMBI+'!$A:$A,0))),INDEX('EMBI+'!$B:$B,MATCH(Base!$K143+2,'EMBI+'!$A:$A,0))),INDEX('EMBI+'!$B:$B,MATCH(Base!$K143+3,'EMBI+'!$A:$A,0)))/100</f>
        <v>2.4900000000000002</v>
      </c>
      <c r="AL143" s="43"/>
      <c r="AM143" s="28"/>
      <c r="AN143" s="28"/>
    </row>
    <row r="144" spans="1:40" x14ac:dyDescent="0.35">
      <c r="A144">
        <f t="shared" si="43"/>
        <v>142</v>
      </c>
      <c r="B144">
        <f>IF(G144="Bonds",COUNTIF($G$3:G144,"Bonds"),0)</f>
        <v>42</v>
      </c>
      <c r="C144" t="str">
        <f t="shared" si="52"/>
        <v>CSN4314013/02/2023</v>
      </c>
      <c r="D144">
        <f t="shared" si="53"/>
        <v>12</v>
      </c>
      <c r="E144" s="43" t="s">
        <v>195</v>
      </c>
      <c r="F144" s="43" t="s">
        <v>190</v>
      </c>
      <c r="G144" s="43" t="s">
        <v>34</v>
      </c>
      <c r="H144">
        <f t="shared" si="45"/>
        <v>1</v>
      </c>
      <c r="I144" s="43"/>
      <c r="J144" s="34">
        <f t="shared" si="41"/>
        <v>9</v>
      </c>
      <c r="K144" s="28">
        <v>43140</v>
      </c>
      <c r="L144" s="28" t="s">
        <v>199</v>
      </c>
      <c r="M144" s="60">
        <f t="shared" si="46"/>
        <v>5.0136986301369859</v>
      </c>
      <c r="N144" s="4">
        <f t="shared" si="47"/>
        <v>1</v>
      </c>
      <c r="O144" s="43" t="s">
        <v>36</v>
      </c>
      <c r="P144" t="str">
        <f t="shared" si="50"/>
        <v>0</v>
      </c>
      <c r="Q144" s="43"/>
      <c r="R144" s="43"/>
      <c r="S144" s="34">
        <f>IF($V144="USD",INDEX('Dólar Spot'!$B:$B,MATCH(Base!$K144,'Dólar Spot'!$A:$A,0)),"")</f>
        <v>3.2814999999999999</v>
      </c>
      <c r="T144" s="44">
        <v>350000000</v>
      </c>
      <c r="U144" s="8">
        <f t="shared" si="51"/>
        <v>11.485250000000001</v>
      </c>
      <c r="V144" s="43" t="s">
        <v>651</v>
      </c>
      <c r="W144" s="45" t="s">
        <v>29</v>
      </c>
      <c r="X144" s="53">
        <v>7.625</v>
      </c>
      <c r="Y144" s="9">
        <f>IF(AND(V144="DI",$W144=100),$X144/100,
IF(AND(V144="DI",$W144&lt;&gt;100,$X144=""),INDEX('Debs %CDI'!$Q:$Q,MATCH(Base!$C144,'Debs %CDI'!$A:$A,0)),
IF($V144="USD",INDEX(Bonds!$AF:$AF,MATCH(Base!$C144,Bonds!$B:$B,0)),
IF($V144="IPCA",INDEX('Debs IPCA'!$Z:$Z,MATCH(Base!$C144,'Debs IPCA'!$A:$A,0))))))</f>
        <v>3.7734363683545658E-2</v>
      </c>
      <c r="Z144" s="43">
        <v>360</v>
      </c>
      <c r="AA144" s="43" t="s">
        <v>37</v>
      </c>
      <c r="AB144" s="43" t="s">
        <v>32</v>
      </c>
      <c r="AC144">
        <f t="shared" si="48"/>
        <v>0</v>
      </c>
      <c r="AD144" s="43" t="s">
        <v>31</v>
      </c>
      <c r="AE144">
        <f t="shared" si="49"/>
        <v>1</v>
      </c>
      <c r="AF144" s="34" t="str" cm="1">
        <f t="array" ref="AF144">INDEX(Ratings!$B$2:$M$40,_xlfn.XMATCH(Base!F144,Ratings!$A$2:$A$40),_xlfn.XMATCH(YEAR(Base!K144),Ratings!$B$1:$M$1))</f>
        <v>B-</v>
      </c>
      <c r="AG144">
        <f t="shared" si="42"/>
        <v>0</v>
      </c>
      <c r="AH144">
        <f>IFERROR(IFERROR(IFERROR(INDEX('EMBI+'!$B:$B,MATCH(Base!$K144,'EMBI+'!$A:$A,0)),INDEX('EMBI+'!$B:$B,MATCH(Base!$K144+1,'EMBI+'!$A:$A,0))),INDEX('EMBI+'!$B:$B,MATCH(Base!$K144+2,'EMBI+'!$A:$A,0))),INDEX('EMBI+'!$B:$B,MATCH(Base!$K144+3,'EMBI+'!$A:$A,0)))/100</f>
        <v>2.56</v>
      </c>
      <c r="AL144" s="43"/>
      <c r="AM144" s="28"/>
      <c r="AN144" s="28"/>
    </row>
    <row r="145" spans="1:40" x14ac:dyDescent="0.35">
      <c r="A145">
        <f t="shared" si="43"/>
        <v>143</v>
      </c>
      <c r="B145">
        <f>IF(G145="Bonds",COUNTIF($G$3:G145,"Bonds"),0)</f>
        <v>43</v>
      </c>
      <c r="C145" t="str">
        <f t="shared" si="52"/>
        <v>CSN4364813/02/2023</v>
      </c>
      <c r="D145">
        <f t="shared" si="53"/>
        <v>12</v>
      </c>
      <c r="E145" s="43" t="s">
        <v>195</v>
      </c>
      <c r="F145" s="43" t="s">
        <v>190</v>
      </c>
      <c r="G145" s="43" t="s">
        <v>34</v>
      </c>
      <c r="H145">
        <f t="shared" si="45"/>
        <v>1</v>
      </c>
      <c r="I145" s="43"/>
      <c r="J145" s="34">
        <f t="shared" si="41"/>
        <v>10</v>
      </c>
      <c r="K145" s="28">
        <v>43648</v>
      </c>
      <c r="L145" s="28" t="s">
        <v>199</v>
      </c>
      <c r="M145" s="60">
        <f t="shared" si="46"/>
        <v>3.6219178082191781</v>
      </c>
      <c r="N145" s="4">
        <f t="shared" si="47"/>
        <v>0</v>
      </c>
      <c r="O145" s="43" t="s">
        <v>36</v>
      </c>
      <c r="P145" t="str">
        <f t="shared" si="50"/>
        <v>0</v>
      </c>
      <c r="Q145" s="43"/>
      <c r="R145" s="43"/>
      <c r="S145" s="34">
        <f>IF($V145="USD",INDEX('Dólar Spot'!$B:$B,MATCH(Base!$K145,'Dólar Spot'!$A:$A,0)),"")</f>
        <v>3.8557999999999999</v>
      </c>
      <c r="T145" s="44">
        <v>175000000</v>
      </c>
      <c r="U145" s="8">
        <f t="shared" si="51"/>
        <v>6.7476500000000001</v>
      </c>
      <c r="V145" s="43" t="s">
        <v>651</v>
      </c>
      <c r="W145" s="45" t="s">
        <v>29</v>
      </c>
      <c r="X145" s="53">
        <v>7.625</v>
      </c>
      <c r="Y145" s="9">
        <f>IF(AND(V145="DI",$W145=100),$X145/100,
IF(AND(V145="DI",$W145&lt;&gt;100,$X145=""),INDEX('Debs %CDI'!$Q:$Q,MATCH(Base!$C145,'Debs %CDI'!$A:$A,0)),
IF($V145="USD",INDEX(Bonds!$AF:$AF,MATCH(Base!$C145,Bonds!$B:$B,0)),
IF($V145="IPCA",INDEX('Debs IPCA'!$Z:$Z,MATCH(Base!$C145,'Debs IPCA'!$A:$A,0))))))</f>
        <v>5.0095109176576447E-2</v>
      </c>
      <c r="Z145" s="43">
        <v>360</v>
      </c>
      <c r="AA145" s="43" t="s">
        <v>37</v>
      </c>
      <c r="AB145" s="43" t="s">
        <v>32</v>
      </c>
      <c r="AC145">
        <f t="shared" si="48"/>
        <v>0</v>
      </c>
      <c r="AD145" s="43" t="s">
        <v>31</v>
      </c>
      <c r="AE145">
        <f t="shared" si="49"/>
        <v>1</v>
      </c>
      <c r="AF145" s="34" t="str" cm="1">
        <f t="array" ref="AF145">INDEX(Ratings!$B$2:$M$40,_xlfn.XMATCH(Base!F145,Ratings!$A$2:$A$40),_xlfn.XMATCH(YEAR(Base!K145),Ratings!$B$1:$M$1))</f>
        <v>B</v>
      </c>
      <c r="AG145">
        <f t="shared" si="42"/>
        <v>0</v>
      </c>
      <c r="AH145">
        <f>IFERROR(IFERROR(IFERROR(INDEX('EMBI+'!$B:$B,MATCH(Base!$K145,'EMBI+'!$A:$A,0)),INDEX('EMBI+'!$B:$B,MATCH(Base!$K145+1,'EMBI+'!$A:$A,0))),INDEX('EMBI+'!$B:$B,MATCH(Base!$K145+2,'EMBI+'!$A:$A,0))),INDEX('EMBI+'!$B:$B,MATCH(Base!$K145+3,'EMBI+'!$A:$A,0)))/100</f>
        <v>2.38</v>
      </c>
      <c r="AL145" s="43"/>
      <c r="AM145" s="28"/>
      <c r="AN145" s="28"/>
    </row>
    <row r="146" spans="1:40" x14ac:dyDescent="0.35">
      <c r="A146">
        <f t="shared" si="43"/>
        <v>144</v>
      </c>
      <c r="B146">
        <f>IF(G146="Bonds",COUNTIF($G$3:G146,"Bonds"),0)</f>
        <v>44</v>
      </c>
      <c r="C146" t="str">
        <f t="shared" si="52"/>
        <v>CSN4094221/07/2020</v>
      </c>
      <c r="D146">
        <f t="shared" si="53"/>
        <v>12</v>
      </c>
      <c r="E146" s="43" t="s">
        <v>195</v>
      </c>
      <c r="F146" s="43" t="s">
        <v>190</v>
      </c>
      <c r="G146" s="43" t="s">
        <v>34</v>
      </c>
      <c r="H146">
        <f t="shared" si="45"/>
        <v>1</v>
      </c>
      <c r="I146" s="43"/>
      <c r="J146" s="34">
        <f t="shared" si="41"/>
        <v>11</v>
      </c>
      <c r="K146" s="28">
        <v>40942</v>
      </c>
      <c r="L146" s="28" t="s">
        <v>200</v>
      </c>
      <c r="M146" s="60">
        <f t="shared" si="46"/>
        <v>8.4684931506849317</v>
      </c>
      <c r="N146" s="4">
        <f t="shared" si="47"/>
        <v>1</v>
      </c>
      <c r="O146" s="43" t="s">
        <v>36</v>
      </c>
      <c r="P146" t="str">
        <f t="shared" si="50"/>
        <v>0</v>
      </c>
      <c r="Q146" s="43"/>
      <c r="R146" s="43"/>
      <c r="S146" s="34">
        <f>IF($V146="USD",INDEX('Dólar Spot'!$B:$B,MATCH(Base!$K146,'Dólar Spot'!$A:$A,0)),"")</f>
        <v>1.7216</v>
      </c>
      <c r="T146" s="44">
        <v>200000000</v>
      </c>
      <c r="U146" s="8">
        <f t="shared" si="51"/>
        <v>3.4432</v>
      </c>
      <c r="V146" s="43" t="s">
        <v>651</v>
      </c>
      <c r="W146" s="45" t="s">
        <v>29</v>
      </c>
      <c r="X146" s="53">
        <v>6.5</v>
      </c>
      <c r="Y146" s="9">
        <f>IF(AND(V146="DI",$W146=100),$X146/100,
IF(AND(V146="DI",$W146&lt;&gt;100,$X146=""),INDEX('Debs %CDI'!$Q:$Q,MATCH(Base!$C146,'Debs %CDI'!$A:$A,0)),
IF($V146="USD",INDEX(Bonds!$AF:$AF,MATCH(Base!$C146,Bonds!$B:$B,0)),
IF($V146="IPCA",INDEX('Debs IPCA'!$Z:$Z,MATCH(Base!$C146,'Debs IPCA'!$A:$A,0))))))</f>
        <v>2.3966635794522739E-2</v>
      </c>
      <c r="Z146" s="43">
        <v>360</v>
      </c>
      <c r="AA146" s="43" t="s">
        <v>37</v>
      </c>
      <c r="AB146" s="43" t="s">
        <v>32</v>
      </c>
      <c r="AC146">
        <f t="shared" si="48"/>
        <v>0</v>
      </c>
      <c r="AD146" s="43" t="s">
        <v>31</v>
      </c>
      <c r="AE146">
        <f t="shared" si="49"/>
        <v>1</v>
      </c>
      <c r="AF146" s="34" t="str" cm="1">
        <f t="array" ref="AF146">INDEX(Ratings!$B$2:$M$40,_xlfn.XMATCH(Base!F146,Ratings!$A$2:$A$40),_xlfn.XMATCH(YEAR(Base!K146),Ratings!$B$1:$M$1))</f>
        <v>BBB-</v>
      </c>
      <c r="AG146">
        <f t="shared" si="42"/>
        <v>1</v>
      </c>
      <c r="AH146">
        <f>IFERROR(IFERROR(IFERROR(INDEX('EMBI+'!$B:$B,MATCH(Base!$K146,'EMBI+'!$A:$A,0)),INDEX('EMBI+'!$B:$B,MATCH(Base!$K146+1,'EMBI+'!$A:$A,0))),INDEX('EMBI+'!$B:$B,MATCH(Base!$K146+2,'EMBI+'!$A:$A,0))),INDEX('EMBI+'!$B:$B,MATCH(Base!$K146+3,'EMBI+'!$A:$A,0)))/100</f>
        <v>2.0699999999999998</v>
      </c>
      <c r="AL146" s="43"/>
      <c r="AM146" s="28"/>
      <c r="AN146" s="28"/>
    </row>
    <row r="147" spans="1:40" x14ac:dyDescent="0.35">
      <c r="A147">
        <f t="shared" si="43"/>
        <v>145</v>
      </c>
      <c r="B147">
        <f>IF(G147="Bonds",COUNTIF($G$3:G147,"Bonds"),0)</f>
        <v>45</v>
      </c>
      <c r="C147" t="str">
        <f t="shared" si="52"/>
        <v>CSN4357213/02/2023</v>
      </c>
      <c r="D147">
        <f t="shared" si="53"/>
        <v>12</v>
      </c>
      <c r="E147" s="43" t="s">
        <v>195</v>
      </c>
      <c r="F147" s="43" t="s">
        <v>190</v>
      </c>
      <c r="G147" s="43" t="s">
        <v>34</v>
      </c>
      <c r="H147">
        <f t="shared" si="45"/>
        <v>1</v>
      </c>
      <c r="I147" s="43"/>
      <c r="J147" s="34">
        <f t="shared" si="41"/>
        <v>12</v>
      </c>
      <c r="K147" s="28">
        <v>43572</v>
      </c>
      <c r="L147" s="28" t="s">
        <v>199</v>
      </c>
      <c r="M147" s="60">
        <f t="shared" si="46"/>
        <v>3.8301369863013699</v>
      </c>
      <c r="N147" s="4">
        <f t="shared" si="47"/>
        <v>0</v>
      </c>
      <c r="O147" s="43" t="s">
        <v>36</v>
      </c>
      <c r="P147" t="str">
        <f t="shared" si="50"/>
        <v>0</v>
      </c>
      <c r="Q147" s="43"/>
      <c r="R147" s="43"/>
      <c r="S147" s="34">
        <f>IF($V147="USD",INDEX('Dólar Spot'!$B:$B,MATCH(Base!$K147,'Dólar Spot'!$A:$A,0)),"")</f>
        <v>3.9218999999999999</v>
      </c>
      <c r="T147" s="44">
        <v>400000000</v>
      </c>
      <c r="U147" s="8">
        <f t="shared" si="51"/>
        <v>15.6876</v>
      </c>
      <c r="V147" s="43" t="s">
        <v>651</v>
      </c>
      <c r="W147" s="45" t="s">
        <v>29</v>
      </c>
      <c r="X147" s="53">
        <v>7.625</v>
      </c>
      <c r="Y147" s="9">
        <f>IF(AND(V147="DI",$W147=100),$X147/100,
IF(AND(V147="DI",$W147&lt;&gt;100,$X147=""),INDEX('Debs %CDI'!$Q:$Q,MATCH(Base!$C147,'Debs %CDI'!$A:$A,0)),
IF($V147="USD",INDEX(Bonds!$AF:$AF,MATCH(Base!$C147,Bonds!$B:$B,0)),
IF($V147="IPCA",INDEX('Debs IPCA'!$Z:$Z,MATCH(Base!$C147,'Debs IPCA'!$A:$A,0))))))</f>
        <v>3.9182267411901339E-2</v>
      </c>
      <c r="Z147" s="43">
        <v>360</v>
      </c>
      <c r="AA147" s="43" t="s">
        <v>37</v>
      </c>
      <c r="AB147" s="43" t="s">
        <v>32</v>
      </c>
      <c r="AC147">
        <f t="shared" si="48"/>
        <v>0</v>
      </c>
      <c r="AD147" s="43" t="s">
        <v>31</v>
      </c>
      <c r="AE147">
        <f t="shared" si="49"/>
        <v>1</v>
      </c>
      <c r="AF147" s="34" t="str" cm="1">
        <f t="array" ref="AF147">INDEX(Ratings!$B$2:$M$40,_xlfn.XMATCH(Base!F147,Ratings!$A$2:$A$40),_xlfn.XMATCH(YEAR(Base!K147),Ratings!$B$1:$M$1))</f>
        <v>B</v>
      </c>
      <c r="AG147">
        <f t="shared" si="42"/>
        <v>0</v>
      </c>
      <c r="AH147">
        <f>IFERROR(IFERROR(IFERROR(INDEX('EMBI+'!$B:$B,MATCH(Base!$K147,'EMBI+'!$A:$A,0)),INDEX('EMBI+'!$B:$B,MATCH(Base!$K147+1,'EMBI+'!$A:$A,0))),INDEX('EMBI+'!$B:$B,MATCH(Base!$K147+2,'EMBI+'!$A:$A,0))),INDEX('EMBI+'!$B:$B,MATCH(Base!$K147+3,'EMBI+'!$A:$A,0)))/100</f>
        <v>2.4900000000000002</v>
      </c>
      <c r="AL147" s="43"/>
      <c r="AM147" s="28"/>
      <c r="AN147" s="28"/>
    </row>
    <row r="148" spans="1:40" x14ac:dyDescent="0.35">
      <c r="A148">
        <f t="shared" si="43"/>
        <v>146</v>
      </c>
      <c r="B148">
        <f>IF(G148="Bonds",COUNTIF($G$3:G148,"Bonds"),0)</f>
        <v>46</v>
      </c>
      <c r="C148" t="str">
        <f t="shared" ref="C148:C211" si="54">F148&amp;K148&amp;L148</f>
        <v>CSN4459548312</v>
      </c>
      <c r="D148">
        <f t="shared" ref="D148:D211" si="55">IF(F148&lt;&gt;F147,D147+1,D147)</f>
        <v>12</v>
      </c>
      <c r="E148" s="43" t="s">
        <v>195</v>
      </c>
      <c r="F148" s="43" t="s">
        <v>190</v>
      </c>
      <c r="G148" s="43" t="s">
        <v>34</v>
      </c>
      <c r="H148">
        <f t="shared" ref="H148" si="56">IF(G148="Bonds",1,0)</f>
        <v>1</v>
      </c>
      <c r="I148" s="43"/>
      <c r="J148" s="34">
        <f t="shared" ref="J148:J211" si="57">IF(F148=F147,J147+1,1)</f>
        <v>13</v>
      </c>
      <c r="K148" s="28">
        <v>44595</v>
      </c>
      <c r="L148" s="28">
        <v>48312</v>
      </c>
      <c r="M148" s="60">
        <f t="shared" ref="M148" si="58">(L148-K148)/365</f>
        <v>10.183561643835617</v>
      </c>
      <c r="N148" s="4">
        <f t="shared" ref="N148" si="59">IF(M148&gt;5,1,0)</f>
        <v>1</v>
      </c>
      <c r="O148" s="43" t="s">
        <v>36</v>
      </c>
      <c r="P148" t="str">
        <f t="shared" ref="P148" si="60">IF(OR(O148="Real",O148="Flutuante",O148="SR SECURED"),"1","0")</f>
        <v>0</v>
      </c>
      <c r="Q148" s="43"/>
      <c r="R148" s="43"/>
      <c r="S148" s="34">
        <f>IF($V148="USD",INDEX('Dólar Spot'!$B:$B,MATCH(Base!$K148,'Dólar Spot'!$A:$A,0)),"")</f>
        <v>5.2839</v>
      </c>
      <c r="T148" s="44">
        <v>500000000</v>
      </c>
      <c r="U148" s="8">
        <f t="shared" si="51"/>
        <v>26.419499999999999</v>
      </c>
      <c r="V148" s="43" t="s">
        <v>651</v>
      </c>
      <c r="W148" s="45" t="s">
        <v>29</v>
      </c>
      <c r="X148" s="53">
        <v>5.875</v>
      </c>
      <c r="Y148" s="9">
        <f>IF(AND(V148="DI",$W148=100),$X148/100,
IF(AND(V148="DI",$W148&lt;&gt;100,$X148=""),INDEX('Debs %CDI'!$Q:$Q,MATCH(Base!$C148,'Debs %CDI'!$A:$A,0)),
IF($V148="USD",INDEX(Bonds!$AF:$AF,MATCH(Base!$C148,Bonds!$B:$B,0)),
IF($V148="IPCA",INDEX('Debs IPCA'!$Z:$Z,MATCH(Base!$C148,'Debs IPCA'!$A:$A,0))))))</f>
        <v>3.3152752516711015E-2</v>
      </c>
      <c r="Z148" s="43">
        <v>360</v>
      </c>
      <c r="AA148" s="43" t="s">
        <v>37</v>
      </c>
      <c r="AB148" s="43" t="s">
        <v>32</v>
      </c>
      <c r="AC148">
        <f t="shared" ref="AC148" si="61">IF(AB148="S",1,0)</f>
        <v>0</v>
      </c>
      <c r="AD148" s="43" t="s">
        <v>31</v>
      </c>
      <c r="AE148">
        <f t="shared" ref="AE148" si="62">IF(OR(AD148="N",AD148="AT MATURITY"),0,1)</f>
        <v>1</v>
      </c>
      <c r="AF148" s="34" t="str" cm="1">
        <f t="array" ref="AF148">INDEX(Ratings!$B$2:$M$40,_xlfn.XMATCH(Base!F148,Ratings!$A$2:$A$40),_xlfn.XMATCH(YEAR(Base!K148),Ratings!$B$1:$M$1))</f>
        <v>BB</v>
      </c>
      <c r="AG148">
        <f t="shared" si="42"/>
        <v>0</v>
      </c>
      <c r="AH148">
        <f>IFERROR(IFERROR(IFERROR(INDEX('EMBI+'!$B:$B,MATCH(Base!$K148,'EMBI+'!$A:$A,0)),INDEX('EMBI+'!$B:$B,MATCH(Base!$K148+1,'EMBI+'!$A:$A,0))),INDEX('EMBI+'!$B:$B,MATCH(Base!$K148+2,'EMBI+'!$A:$A,0))),INDEX('EMBI+'!$B:$B,MATCH(Base!$K148+3,'EMBI+'!$A:$A,0)))/100</f>
        <v>3.25</v>
      </c>
      <c r="AL148" s="43"/>
      <c r="AM148" s="28"/>
      <c r="AN148" s="28"/>
    </row>
    <row r="149" spans="1:40" x14ac:dyDescent="0.35">
      <c r="A149">
        <f t="shared" si="43"/>
        <v>147</v>
      </c>
      <c r="B149">
        <f>IF(G149="Bonds",COUNTIF($G$3:G149,"Bonds"),0)</f>
        <v>0</v>
      </c>
      <c r="C149" t="str">
        <f t="shared" si="54"/>
        <v>Eldorado4445945555</v>
      </c>
      <c r="D149">
        <f t="shared" si="55"/>
        <v>13</v>
      </c>
      <c r="E149" s="43" t="s">
        <v>201</v>
      </c>
      <c r="F149" s="43" t="s">
        <v>202</v>
      </c>
      <c r="G149" s="43" t="s">
        <v>25</v>
      </c>
      <c r="H149">
        <f t="shared" si="45"/>
        <v>0</v>
      </c>
      <c r="I149" s="43" t="s">
        <v>203</v>
      </c>
      <c r="J149" s="34">
        <f t="shared" si="57"/>
        <v>1</v>
      </c>
      <c r="K149" s="28">
        <v>44459</v>
      </c>
      <c r="L149" s="28">
        <v>45555</v>
      </c>
      <c r="M149" s="60">
        <f t="shared" si="46"/>
        <v>3.0027397260273974</v>
      </c>
      <c r="N149" s="4">
        <f t="shared" si="47"/>
        <v>0</v>
      </c>
      <c r="O149" s="43" t="s">
        <v>44</v>
      </c>
      <c r="P149" t="str">
        <f t="shared" si="50"/>
        <v>0</v>
      </c>
      <c r="Q149" s="44">
        <v>700000</v>
      </c>
      <c r="R149" s="43">
        <v>1000</v>
      </c>
      <c r="S149" s="34" t="str">
        <f>IF($V149="USD",INDEX('Dólar Spot'!$B:$B,MATCH(Base!$K149,'Dólar Spot'!$A:$A,0)),"")</f>
        <v/>
      </c>
      <c r="T149" s="4">
        <f>Q149*R149</f>
        <v>700000000</v>
      </c>
      <c r="U149" s="8">
        <f t="shared" si="51"/>
        <v>7</v>
      </c>
      <c r="V149" s="43" t="s">
        <v>41</v>
      </c>
      <c r="W149" s="45">
        <v>100</v>
      </c>
      <c r="X149" s="46">
        <v>3</v>
      </c>
      <c r="Y149" s="9">
        <f>IF(AND(V149="DI",$W149=100),$X149/100,
IF(AND(V149="DI",$W149&lt;&gt;100,$X149=""),INDEX('Debs %CDI'!$Q:$Q,MATCH(Base!$C149,'Debs %CDI'!$A:$A,0)),
IF($V149="USD",INDEX(Bonds!$AF:$AF,MATCH(Base!$C149,Bonds!$B:$B,0)),
IF($V149="IPCA",INDEX('Debs IPCA'!$Z:$Z,MATCH(Base!$C149,'Debs IPCA'!$A:$A,0))))))</f>
        <v>0.03</v>
      </c>
      <c r="Z149" s="43">
        <v>252</v>
      </c>
      <c r="AA149" s="43" t="s">
        <v>30</v>
      </c>
      <c r="AB149" s="43" t="s">
        <v>32</v>
      </c>
      <c r="AC149">
        <f t="shared" si="48"/>
        <v>0</v>
      </c>
      <c r="AD149" s="43" t="s">
        <v>31</v>
      </c>
      <c r="AE149">
        <f t="shared" si="49"/>
        <v>1</v>
      </c>
      <c r="AF149" s="34" t="str" cm="1">
        <f t="array" ref="AF149">INDEX(Ratings!$B$2:$M$40,_xlfn.XMATCH(Base!F149,Ratings!$A$2:$A$40),_xlfn.XMATCH(YEAR(Base!K149),Ratings!$B$1:$M$1))</f>
        <v>BB-</v>
      </c>
      <c r="AG149">
        <f t="shared" si="42"/>
        <v>0</v>
      </c>
      <c r="AH149">
        <f>IFERROR(IFERROR(IFERROR(INDEX('EMBI+'!$B:$B,MATCH(Base!$K149,'EMBI+'!$A:$A,0)),INDEX('EMBI+'!$B:$B,MATCH(Base!$K149+1,'EMBI+'!$A:$A,0))),INDEX('EMBI+'!$B:$B,MATCH(Base!$K149+2,'EMBI+'!$A:$A,0))),INDEX('EMBI+'!$B:$B,MATCH(Base!$K149+3,'EMBI+'!$A:$A,0)))/100</f>
        <v>3.22</v>
      </c>
      <c r="AL149" s="43"/>
      <c r="AM149" s="28"/>
      <c r="AN149" s="28"/>
    </row>
    <row r="150" spans="1:40" x14ac:dyDescent="0.35">
      <c r="A150">
        <f t="shared" si="43"/>
        <v>148</v>
      </c>
      <c r="B150">
        <f>IF(G150="Bonds",COUNTIF($G$3:G150,"Bonds"),0)</f>
        <v>0</v>
      </c>
      <c r="C150" t="str">
        <f t="shared" si="54"/>
        <v>Eldorado4124446722</v>
      </c>
      <c r="D150">
        <f t="shared" si="55"/>
        <v>13</v>
      </c>
      <c r="E150" s="43" t="s">
        <v>201</v>
      </c>
      <c r="F150" s="43" t="s">
        <v>202</v>
      </c>
      <c r="G150" s="43" t="s">
        <v>25</v>
      </c>
      <c r="H150">
        <f t="shared" si="45"/>
        <v>0</v>
      </c>
      <c r="I150" s="43" t="s">
        <v>204</v>
      </c>
      <c r="J150" s="34">
        <f t="shared" si="57"/>
        <v>2</v>
      </c>
      <c r="K150" s="28">
        <v>41244</v>
      </c>
      <c r="L150" s="28">
        <v>46722</v>
      </c>
      <c r="M150" s="60">
        <f t="shared" si="46"/>
        <v>15.008219178082191</v>
      </c>
      <c r="N150" s="4">
        <f t="shared" si="47"/>
        <v>1</v>
      </c>
      <c r="O150" s="43" t="s">
        <v>44</v>
      </c>
      <c r="P150" t="str">
        <f t="shared" si="50"/>
        <v>0</v>
      </c>
      <c r="Q150" s="44">
        <v>940000</v>
      </c>
      <c r="R150" s="43">
        <v>1000</v>
      </c>
      <c r="S150" s="34" t="str">
        <f>IF($V150="USD",INDEX('Dólar Spot'!$B:$B,MATCH(Base!$K150,'Dólar Spot'!$A:$A,0)),"")</f>
        <v/>
      </c>
      <c r="T150" s="4">
        <f>Q150*R150</f>
        <v>940000000</v>
      </c>
      <c r="U150" s="8">
        <f t="shared" si="51"/>
        <v>9.4</v>
      </c>
      <c r="V150" s="43" t="s">
        <v>28</v>
      </c>
      <c r="W150" s="45" t="s">
        <v>29</v>
      </c>
      <c r="X150" s="46">
        <v>7.41</v>
      </c>
      <c r="Y150" s="9">
        <f>IF(AND(V150="DI",$W150=100),$X150/100,
IF(AND(V150="DI",$W150&lt;&gt;100,$X150=""),INDEX('Debs %CDI'!$Q:$Q,MATCH(Base!$C150,'Debs %CDI'!$A:$A,0)),
IF($V150="USD",INDEX(Bonds!$AF:$AF,MATCH(Base!$C150,Bonds!$B:$B,0)),
IF($V150="IPCA",INDEX('Debs IPCA'!$Z:$Z,MATCH(Base!$C150,'Debs IPCA'!$A:$A,0))))))</f>
        <v>3.5658030132180718E-2</v>
      </c>
      <c r="Z150" s="43">
        <v>252</v>
      </c>
      <c r="AA150" s="43" t="s">
        <v>30</v>
      </c>
      <c r="AB150" s="43" t="s">
        <v>32</v>
      </c>
      <c r="AC150">
        <f t="shared" si="48"/>
        <v>0</v>
      </c>
      <c r="AD150" s="43" t="s">
        <v>31</v>
      </c>
      <c r="AE150">
        <f t="shared" si="49"/>
        <v>1</v>
      </c>
      <c r="AF150" s="34" t="str" cm="1">
        <f t="array" ref="AF150">INDEX(Ratings!$B$2:$M$40,_xlfn.XMATCH(Base!F150,Ratings!$A$2:$A$40),_xlfn.XMATCH(YEAR(Base!K150),Ratings!$B$1:$M$1))</f>
        <v>NR</v>
      </c>
      <c r="AG150">
        <f t="shared" si="42"/>
        <v>0</v>
      </c>
      <c r="AH150">
        <f>IFERROR(IFERROR(IFERROR(INDEX('EMBI+'!$B:$B,MATCH(Base!$K150,'EMBI+'!$A:$A,0)),INDEX('EMBI+'!$B:$B,MATCH(Base!$K150+1,'EMBI+'!$A:$A,0))),INDEX('EMBI+'!$B:$B,MATCH(Base!$K150+2,'EMBI+'!$A:$A,0))),INDEX('EMBI+'!$B:$B,MATCH(Base!$K150+3,'EMBI+'!$A:$A,0)))/100</f>
        <v>1.55</v>
      </c>
      <c r="AL150" s="43"/>
      <c r="AM150" s="28"/>
      <c r="AN150" s="28"/>
    </row>
    <row r="151" spans="1:40" x14ac:dyDescent="0.35">
      <c r="A151">
        <f t="shared" si="43"/>
        <v>149</v>
      </c>
      <c r="B151">
        <f>IF(G151="Bonds",COUNTIF($G$3:G151,"Bonds"),0)</f>
        <v>47</v>
      </c>
      <c r="C151" t="str">
        <f t="shared" si="54"/>
        <v>Eldorado4253716/06/2021</v>
      </c>
      <c r="D151">
        <f t="shared" si="55"/>
        <v>13</v>
      </c>
      <c r="E151" s="43" t="s">
        <v>205</v>
      </c>
      <c r="F151" s="43" t="s">
        <v>202</v>
      </c>
      <c r="G151" s="43" t="s">
        <v>34</v>
      </c>
      <c r="H151">
        <f t="shared" si="45"/>
        <v>1</v>
      </c>
      <c r="I151" s="43"/>
      <c r="J151" s="34">
        <f t="shared" si="57"/>
        <v>3</v>
      </c>
      <c r="K151" s="28">
        <v>42537</v>
      </c>
      <c r="L151" s="28" t="s">
        <v>206</v>
      </c>
      <c r="M151" s="60">
        <f t="shared" si="46"/>
        <v>5.0027397260273974</v>
      </c>
      <c r="N151" s="4">
        <f t="shared" si="47"/>
        <v>1</v>
      </c>
      <c r="O151" s="43" t="s">
        <v>36</v>
      </c>
      <c r="P151" t="str">
        <f t="shared" si="50"/>
        <v>0</v>
      </c>
      <c r="Q151" s="43"/>
      <c r="R151" s="43"/>
      <c r="S151" s="34">
        <f>IF($V151="USD",INDEX('Dólar Spot'!$B:$B,MATCH(Base!$K151,'Dólar Spot'!$A:$A,0)),"")</f>
        <v>3.4897999999999998</v>
      </c>
      <c r="T151" s="44">
        <v>350000000</v>
      </c>
      <c r="U151" s="8">
        <f t="shared" si="51"/>
        <v>12.2143</v>
      </c>
      <c r="V151" s="43" t="s">
        <v>651</v>
      </c>
      <c r="W151" s="45" t="s">
        <v>29</v>
      </c>
      <c r="X151" s="53">
        <v>8.625</v>
      </c>
      <c r="Y151" s="9">
        <f>IF(AND(V151="DI",$W151=100),$X151/100,
IF(AND(V151="DI",$W151&lt;&gt;100,$X151=""),INDEX('Debs %CDI'!$Q:$Q,MATCH(Base!$C151,'Debs %CDI'!$A:$A,0)),
IF($V151="USD",INDEX(Bonds!$AF:$AF,MATCH(Base!$C151,Bonds!$B:$B,0)),
IF($V151="IPCA",INDEX('Debs IPCA'!$Z:$Z,MATCH(Base!$C151,'Debs IPCA'!$A:$A,0))))))</f>
        <v>3.9936663477124101E-2</v>
      </c>
      <c r="Z151" s="43">
        <v>360</v>
      </c>
      <c r="AA151" s="43" t="s">
        <v>37</v>
      </c>
      <c r="AB151" s="43" t="s">
        <v>32</v>
      </c>
      <c r="AC151">
        <f t="shared" si="48"/>
        <v>0</v>
      </c>
      <c r="AD151" s="43" t="s">
        <v>31</v>
      </c>
      <c r="AE151">
        <f t="shared" si="49"/>
        <v>1</v>
      </c>
      <c r="AF151" s="34" t="str" cm="1">
        <f t="array" ref="AF151">INDEX(Ratings!$B$2:$M$40,_xlfn.XMATCH(Base!F151,Ratings!$A$2:$A$40),_xlfn.XMATCH(YEAR(Base!K151),Ratings!$B$1:$M$1))</f>
        <v>B+</v>
      </c>
      <c r="AG151">
        <f t="shared" si="42"/>
        <v>0</v>
      </c>
      <c r="AH151">
        <f>IFERROR(IFERROR(IFERROR(INDEX('EMBI+'!$B:$B,MATCH(Base!$K151,'EMBI+'!$A:$A,0)),INDEX('EMBI+'!$B:$B,MATCH(Base!$K151+1,'EMBI+'!$A:$A,0))),INDEX('EMBI+'!$B:$B,MATCH(Base!$K151+2,'EMBI+'!$A:$A,0))),INDEX('EMBI+'!$B:$B,MATCH(Base!$K151+3,'EMBI+'!$A:$A,0)))/100</f>
        <v>3.99</v>
      </c>
      <c r="AL151" s="43"/>
      <c r="AM151" s="28"/>
      <c r="AN151" s="28"/>
    </row>
    <row r="152" spans="1:40" x14ac:dyDescent="0.35">
      <c r="A152">
        <f t="shared" si="43"/>
        <v>150</v>
      </c>
      <c r="B152">
        <f>IF(G152="Bonds",COUNTIF($G$3:G152,"Bonds"),0)</f>
        <v>0</v>
      </c>
      <c r="C152" t="str">
        <f t="shared" si="54"/>
        <v>Eletrobras4358044676</v>
      </c>
      <c r="D152">
        <f t="shared" si="55"/>
        <v>14</v>
      </c>
      <c r="E152" s="43" t="s">
        <v>207</v>
      </c>
      <c r="F152" s="43" t="s">
        <v>208</v>
      </c>
      <c r="G152" s="43" t="s">
        <v>25</v>
      </c>
      <c r="H152">
        <f t="shared" si="45"/>
        <v>0</v>
      </c>
      <c r="I152" s="43" t="s">
        <v>209</v>
      </c>
      <c r="J152" s="34">
        <f t="shared" si="57"/>
        <v>1</v>
      </c>
      <c r="K152" s="28">
        <v>43580</v>
      </c>
      <c r="L152" s="28">
        <v>44676</v>
      </c>
      <c r="M152" s="60">
        <f t="shared" si="46"/>
        <v>3.0027397260273974</v>
      </c>
      <c r="N152" s="4">
        <f t="shared" si="47"/>
        <v>0</v>
      </c>
      <c r="O152" s="43" t="s">
        <v>44</v>
      </c>
      <c r="P152" t="str">
        <f t="shared" si="50"/>
        <v>0</v>
      </c>
      <c r="Q152" s="44">
        <v>1100000</v>
      </c>
      <c r="R152" s="43">
        <v>1000</v>
      </c>
      <c r="S152" s="34" t="str">
        <f>IF($V152="USD",INDEX('Dólar Spot'!$B:$B,MATCH(Base!$K152,'Dólar Spot'!$A:$A,0)),"")</f>
        <v/>
      </c>
      <c r="T152" s="4">
        <f t="shared" ref="T152:T157" si="63">Q152*R152</f>
        <v>1100000000</v>
      </c>
      <c r="U152" s="8">
        <f t="shared" si="51"/>
        <v>11</v>
      </c>
      <c r="V152" s="43" t="s">
        <v>41</v>
      </c>
      <c r="W152" s="45">
        <v>100</v>
      </c>
      <c r="X152" s="46">
        <v>0.7</v>
      </c>
      <c r="Y152" s="9">
        <f>IF(AND(V152="DI",$W152=100),$X152/100,
IF(AND(V152="DI",$W152&lt;&gt;100,$X152=""),INDEX('Debs %CDI'!$Q:$Q,MATCH(Base!$C152,'Debs %CDI'!$A:$A,0)),
IF($V152="USD",INDEX(Bonds!$AF:$AF,MATCH(Base!$C152,Bonds!$B:$B,0)),
IF($V152="IPCA",INDEX('Debs IPCA'!$Z:$Z,MATCH(Base!$C152,'Debs IPCA'!$A:$A,0))))))</f>
        <v>6.9999999999999993E-3</v>
      </c>
      <c r="Z152" s="43">
        <v>252</v>
      </c>
      <c r="AA152" s="43" t="s">
        <v>30</v>
      </c>
      <c r="AB152" s="43" t="s">
        <v>32</v>
      </c>
      <c r="AC152">
        <f t="shared" si="48"/>
        <v>0</v>
      </c>
      <c r="AD152" s="43" t="s">
        <v>31</v>
      </c>
      <c r="AE152">
        <f t="shared" si="49"/>
        <v>1</v>
      </c>
      <c r="AF152" s="34" t="str" cm="1">
        <f t="array" ref="AF152">INDEX(Ratings!$B$2:$M$40,_xlfn.XMATCH(Base!F152,Ratings!$A$2:$A$40),_xlfn.XMATCH(YEAR(Base!K152),Ratings!$B$1:$M$1))</f>
        <v>BB-</v>
      </c>
      <c r="AG152">
        <f t="shared" si="42"/>
        <v>0</v>
      </c>
      <c r="AH152">
        <f>IFERROR(IFERROR(IFERROR(INDEX('EMBI+'!$B:$B,MATCH(Base!$K152,'EMBI+'!$A:$A,0)),INDEX('EMBI+'!$B:$B,MATCH(Base!$K152+1,'EMBI+'!$A:$A,0))),INDEX('EMBI+'!$B:$B,MATCH(Base!$K152+2,'EMBI+'!$A:$A,0))),INDEX('EMBI+'!$B:$B,MATCH(Base!$K152+3,'EMBI+'!$A:$A,0)))/100</f>
        <v>2.52</v>
      </c>
      <c r="AL152" s="43"/>
      <c r="AM152" s="28"/>
      <c r="AN152" s="28"/>
    </row>
    <row r="153" spans="1:40" x14ac:dyDescent="0.35">
      <c r="A153">
        <f t="shared" si="43"/>
        <v>151</v>
      </c>
      <c r="B153">
        <f>IF(G153="Bonds",COUNTIF($G$3:G153,"Bonds"),0)</f>
        <v>0</v>
      </c>
      <c r="C153" t="str">
        <f t="shared" si="54"/>
        <v>Eletrobras4430146127</v>
      </c>
      <c r="D153">
        <f t="shared" si="55"/>
        <v>14</v>
      </c>
      <c r="E153" s="43" t="s">
        <v>207</v>
      </c>
      <c r="F153" s="43" t="s">
        <v>208</v>
      </c>
      <c r="G153" s="43" t="s">
        <v>25</v>
      </c>
      <c r="H153">
        <f t="shared" si="45"/>
        <v>0</v>
      </c>
      <c r="I153" s="43" t="s">
        <v>210</v>
      </c>
      <c r="J153" s="34">
        <f t="shared" si="57"/>
        <v>2</v>
      </c>
      <c r="K153" s="28">
        <v>44301</v>
      </c>
      <c r="L153" s="28">
        <v>46127</v>
      </c>
      <c r="M153" s="60">
        <f t="shared" si="46"/>
        <v>5.0027397260273974</v>
      </c>
      <c r="N153" s="4">
        <f t="shared" si="47"/>
        <v>1</v>
      </c>
      <c r="O153" s="43" t="s">
        <v>44</v>
      </c>
      <c r="P153" t="str">
        <f t="shared" si="50"/>
        <v>0</v>
      </c>
      <c r="Q153" s="44">
        <v>1200000</v>
      </c>
      <c r="R153" s="43">
        <v>1000</v>
      </c>
      <c r="S153" s="34" t="str">
        <f>IF($V153="USD",INDEX('Dólar Spot'!$B:$B,MATCH(Base!$K153,'Dólar Spot'!$A:$A,0)),"")</f>
        <v/>
      </c>
      <c r="T153" s="4">
        <f t="shared" si="63"/>
        <v>1200000000</v>
      </c>
      <c r="U153" s="8">
        <f t="shared" si="51"/>
        <v>12</v>
      </c>
      <c r="V153" s="43" t="s">
        <v>41</v>
      </c>
      <c r="W153" s="45">
        <v>100</v>
      </c>
      <c r="X153" s="46">
        <v>1.8</v>
      </c>
      <c r="Y153" s="9">
        <f>IF(AND(V153="DI",$W153=100),$X153/100,
IF(AND(V153="DI",$W153&lt;&gt;100,$X153=""),INDEX('Debs %CDI'!$Q:$Q,MATCH(Base!$C153,'Debs %CDI'!$A:$A,0)),
IF($V153="USD",INDEX(Bonds!$AF:$AF,MATCH(Base!$C153,Bonds!$B:$B,0)),
IF($V153="IPCA",INDEX('Debs IPCA'!$Z:$Z,MATCH(Base!$C153,'Debs IPCA'!$A:$A,0))))))</f>
        <v>1.8000000000000002E-2</v>
      </c>
      <c r="Z153" s="43">
        <v>252</v>
      </c>
      <c r="AA153" s="43" t="s">
        <v>30</v>
      </c>
      <c r="AB153" s="43" t="s">
        <v>32</v>
      </c>
      <c r="AC153">
        <f t="shared" si="48"/>
        <v>0</v>
      </c>
      <c r="AD153" s="43" t="s">
        <v>32</v>
      </c>
      <c r="AE153">
        <f t="shared" si="49"/>
        <v>0</v>
      </c>
      <c r="AF153" s="34" t="str" cm="1">
        <f t="array" ref="AF153">INDEX(Ratings!$B$2:$M$40,_xlfn.XMATCH(Base!F153,Ratings!$A$2:$A$40),_xlfn.XMATCH(YEAR(Base!K153),Ratings!$B$1:$M$1))</f>
        <v>BB-</v>
      </c>
      <c r="AG153">
        <f t="shared" si="42"/>
        <v>0</v>
      </c>
      <c r="AH153">
        <f>IFERROR(IFERROR(IFERROR(INDEX('EMBI+'!$B:$B,MATCH(Base!$K153,'EMBI+'!$A:$A,0)),INDEX('EMBI+'!$B:$B,MATCH(Base!$K153+1,'EMBI+'!$A:$A,0))),INDEX('EMBI+'!$B:$B,MATCH(Base!$K153+2,'EMBI+'!$A:$A,0))),INDEX('EMBI+'!$B:$B,MATCH(Base!$K153+3,'EMBI+'!$A:$A,0)))/100</f>
        <v>2.9</v>
      </c>
      <c r="AL153" s="43"/>
      <c r="AM153" s="28"/>
      <c r="AN153" s="28"/>
    </row>
    <row r="154" spans="1:40" x14ac:dyDescent="0.35">
      <c r="A154">
        <f t="shared" si="43"/>
        <v>152</v>
      </c>
      <c r="B154">
        <f>IF(G154="Bonds",COUNTIF($G$3:G154,"Bonds"),0)</f>
        <v>0</v>
      </c>
      <c r="C154" t="str">
        <f t="shared" si="54"/>
        <v>Eletrobras4358045407</v>
      </c>
      <c r="D154">
        <f t="shared" si="55"/>
        <v>14</v>
      </c>
      <c r="E154" s="43" t="s">
        <v>207</v>
      </c>
      <c r="F154" s="43" t="s">
        <v>208</v>
      </c>
      <c r="G154" s="43" t="s">
        <v>25</v>
      </c>
      <c r="H154">
        <f t="shared" si="45"/>
        <v>0</v>
      </c>
      <c r="I154" s="43" t="s">
        <v>211</v>
      </c>
      <c r="J154" s="34">
        <f t="shared" si="57"/>
        <v>3</v>
      </c>
      <c r="K154" s="28">
        <v>43580</v>
      </c>
      <c r="L154" s="28">
        <v>45407</v>
      </c>
      <c r="M154" s="60">
        <f t="shared" si="46"/>
        <v>5.0054794520547947</v>
      </c>
      <c r="N154" s="4">
        <f t="shared" si="47"/>
        <v>1</v>
      </c>
      <c r="O154" s="43" t="s">
        <v>44</v>
      </c>
      <c r="P154" t="str">
        <f t="shared" si="50"/>
        <v>0</v>
      </c>
      <c r="Q154" s="44">
        <v>2200000</v>
      </c>
      <c r="R154" s="43">
        <v>1000</v>
      </c>
      <c r="S154" s="34" t="str">
        <f>IF($V154="USD",INDEX('Dólar Spot'!$B:$B,MATCH(Base!$K154,'Dólar Spot'!$A:$A,0)),"")</f>
        <v/>
      </c>
      <c r="T154" s="4">
        <f t="shared" si="63"/>
        <v>2200000000</v>
      </c>
      <c r="U154" s="8">
        <f t="shared" si="51"/>
        <v>22</v>
      </c>
      <c r="V154" s="43" t="s">
        <v>41</v>
      </c>
      <c r="W154" s="45">
        <v>100</v>
      </c>
      <c r="X154" s="46">
        <v>1</v>
      </c>
      <c r="Y154" s="9">
        <f>IF(AND(V154="DI",$W154=100),$X154/100,
IF(AND(V154="DI",$W154&lt;&gt;100,$X154=""),INDEX('Debs %CDI'!$Q:$Q,MATCH(Base!$C154,'Debs %CDI'!$A:$A,0)),
IF($V154="USD",INDEX(Bonds!$AF:$AF,MATCH(Base!$C154,Bonds!$B:$B,0)),
IF($V154="IPCA",INDEX('Debs IPCA'!$Z:$Z,MATCH(Base!$C154,'Debs IPCA'!$A:$A,0))))))</f>
        <v>0.01</v>
      </c>
      <c r="Z154" s="43">
        <v>252</v>
      </c>
      <c r="AA154" s="43" t="s">
        <v>30</v>
      </c>
      <c r="AB154" s="43" t="s">
        <v>32</v>
      </c>
      <c r="AC154">
        <f t="shared" si="48"/>
        <v>0</v>
      </c>
      <c r="AD154" s="43" t="s">
        <v>31</v>
      </c>
      <c r="AE154">
        <f t="shared" si="49"/>
        <v>1</v>
      </c>
      <c r="AF154" s="34" t="str" cm="1">
        <f t="array" ref="AF154">INDEX(Ratings!$B$2:$M$40,_xlfn.XMATCH(Base!F154,Ratings!$A$2:$A$40),_xlfn.XMATCH(YEAR(Base!K154),Ratings!$B$1:$M$1))</f>
        <v>BB-</v>
      </c>
      <c r="AG154">
        <f t="shared" si="42"/>
        <v>0</v>
      </c>
      <c r="AH154">
        <f>IFERROR(IFERROR(IFERROR(INDEX('EMBI+'!$B:$B,MATCH(Base!$K154,'EMBI+'!$A:$A,0)),INDEX('EMBI+'!$B:$B,MATCH(Base!$K154+1,'EMBI+'!$A:$A,0))),INDEX('EMBI+'!$B:$B,MATCH(Base!$K154+2,'EMBI+'!$A:$A,0))),INDEX('EMBI+'!$B:$B,MATCH(Base!$K154+3,'EMBI+'!$A:$A,0)))/100</f>
        <v>2.52</v>
      </c>
      <c r="AL154" s="43"/>
      <c r="AM154" s="28"/>
      <c r="AN154" s="28"/>
    </row>
    <row r="155" spans="1:40" x14ac:dyDescent="0.35">
      <c r="A155">
        <f t="shared" si="43"/>
        <v>153</v>
      </c>
      <c r="B155">
        <f>IF(G155="Bonds",COUNTIF($G$3:G155,"Bonds"),0)</f>
        <v>0</v>
      </c>
      <c r="C155" t="str">
        <f t="shared" si="54"/>
        <v>Eletrobras4430147953</v>
      </c>
      <c r="D155">
        <f t="shared" si="55"/>
        <v>14</v>
      </c>
      <c r="E155" s="43" t="s">
        <v>207</v>
      </c>
      <c r="F155" s="43" t="s">
        <v>208</v>
      </c>
      <c r="G155" s="43" t="s">
        <v>25</v>
      </c>
      <c r="H155">
        <f t="shared" si="45"/>
        <v>0</v>
      </c>
      <c r="I155" s="43" t="s">
        <v>212</v>
      </c>
      <c r="J155" s="34">
        <f t="shared" si="57"/>
        <v>4</v>
      </c>
      <c r="K155" s="28">
        <v>44301</v>
      </c>
      <c r="L155" s="28">
        <v>47953</v>
      </c>
      <c r="M155" s="60">
        <f t="shared" si="46"/>
        <v>10.005479452054795</v>
      </c>
      <c r="N155" s="4">
        <f t="shared" si="47"/>
        <v>1</v>
      </c>
      <c r="O155" s="43" t="s">
        <v>44</v>
      </c>
      <c r="P155" t="str">
        <f t="shared" si="50"/>
        <v>0</v>
      </c>
      <c r="Q155" s="44">
        <v>1500000</v>
      </c>
      <c r="R155" s="43">
        <v>1000</v>
      </c>
      <c r="S155" s="34" t="str">
        <f>IF($V155="USD",INDEX('Dólar Spot'!$B:$B,MATCH(Base!$K155,'Dólar Spot'!$A:$A,0)),"")</f>
        <v/>
      </c>
      <c r="T155" s="4">
        <f t="shared" si="63"/>
        <v>1500000000</v>
      </c>
      <c r="U155" s="8">
        <f t="shared" si="51"/>
        <v>15</v>
      </c>
      <c r="V155" s="43" t="s">
        <v>28</v>
      </c>
      <c r="W155" s="45" t="s">
        <v>29</v>
      </c>
      <c r="X155" s="46">
        <v>4.9126000000000003</v>
      </c>
      <c r="Y155" s="9">
        <f>IF(AND(V155="DI",$W155=100),$X155/100,
IF(AND(V155="DI",$W155&lt;&gt;100,$X155=""),INDEX('Debs %CDI'!$Q:$Q,MATCH(Base!$C155,'Debs %CDI'!$A:$A,0)),
IF($V155="USD",INDEX(Bonds!$AF:$AF,MATCH(Base!$C155,Bonds!$B:$B,0)),
IF($V155="IPCA",INDEX('Debs IPCA'!$Z:$Z,MATCH(Base!$C155,'Debs IPCA'!$A:$A,0))))))</f>
        <v>9.9580365641116497E-3</v>
      </c>
      <c r="Z155" s="43">
        <v>252</v>
      </c>
      <c r="AA155" s="43" t="s">
        <v>30</v>
      </c>
      <c r="AB155" s="43" t="s">
        <v>31</v>
      </c>
      <c r="AC155">
        <f t="shared" si="48"/>
        <v>1</v>
      </c>
      <c r="AD155" s="43" t="s">
        <v>32</v>
      </c>
      <c r="AE155">
        <f t="shared" si="49"/>
        <v>0</v>
      </c>
      <c r="AF155" s="34" t="str" cm="1">
        <f t="array" ref="AF155">INDEX(Ratings!$B$2:$M$40,_xlfn.XMATCH(Base!F155,Ratings!$A$2:$A$40),_xlfn.XMATCH(YEAR(Base!K155),Ratings!$B$1:$M$1))</f>
        <v>BB-</v>
      </c>
      <c r="AG155">
        <f t="shared" si="42"/>
        <v>0</v>
      </c>
      <c r="AH155">
        <f>IFERROR(IFERROR(IFERROR(INDEX('EMBI+'!$B:$B,MATCH(Base!$K155,'EMBI+'!$A:$A,0)),INDEX('EMBI+'!$B:$B,MATCH(Base!$K155+1,'EMBI+'!$A:$A,0))),INDEX('EMBI+'!$B:$B,MATCH(Base!$K155+2,'EMBI+'!$A:$A,0))),INDEX('EMBI+'!$B:$B,MATCH(Base!$K155+3,'EMBI+'!$A:$A,0)))/100</f>
        <v>2.9</v>
      </c>
      <c r="AL155" s="43"/>
      <c r="AM155" s="28"/>
      <c r="AN155" s="28"/>
    </row>
    <row r="156" spans="1:40" x14ac:dyDescent="0.35">
      <c r="A156">
        <f t="shared" si="43"/>
        <v>154</v>
      </c>
      <c r="B156">
        <f>IF(G156="Bonds",COUNTIF($G$3:G156,"Bonds"),0)</f>
        <v>0</v>
      </c>
      <c r="C156" t="str">
        <f t="shared" si="54"/>
        <v>Eletrobras4358046137</v>
      </c>
      <c r="D156">
        <f t="shared" si="55"/>
        <v>14</v>
      </c>
      <c r="E156" s="43" t="s">
        <v>207</v>
      </c>
      <c r="F156" s="43" t="s">
        <v>208</v>
      </c>
      <c r="G156" s="43" t="s">
        <v>25</v>
      </c>
      <c r="H156">
        <f t="shared" si="45"/>
        <v>0</v>
      </c>
      <c r="I156" s="43" t="s">
        <v>213</v>
      </c>
      <c r="J156" s="34">
        <f t="shared" si="57"/>
        <v>5</v>
      </c>
      <c r="K156" s="28">
        <v>43580</v>
      </c>
      <c r="L156" s="28">
        <v>46137</v>
      </c>
      <c r="M156" s="60">
        <f t="shared" si="46"/>
        <v>7.0054794520547947</v>
      </c>
      <c r="N156" s="4">
        <f t="shared" si="47"/>
        <v>1</v>
      </c>
      <c r="O156" s="43" t="s">
        <v>44</v>
      </c>
      <c r="P156" t="str">
        <f t="shared" si="50"/>
        <v>0</v>
      </c>
      <c r="Q156" s="44">
        <v>1000000</v>
      </c>
      <c r="R156" s="43">
        <v>1000</v>
      </c>
      <c r="S156" s="34" t="str">
        <f>IF($V156="USD",INDEX('Dólar Spot'!$B:$B,MATCH(Base!$K156,'Dólar Spot'!$A:$A,0)),"")</f>
        <v/>
      </c>
      <c r="T156" s="4">
        <f t="shared" si="63"/>
        <v>1000000000</v>
      </c>
      <c r="U156" s="8">
        <f t="shared" si="51"/>
        <v>10</v>
      </c>
      <c r="V156" s="43" t="s">
        <v>41</v>
      </c>
      <c r="W156" s="45">
        <v>100</v>
      </c>
      <c r="X156" s="46">
        <v>1.2</v>
      </c>
      <c r="Y156" s="9">
        <f>IF(AND(V156="DI",$W156=100),$X156/100,
IF(AND(V156="DI",$W156&lt;&gt;100,$X156=""),INDEX('Debs %CDI'!$Q:$Q,MATCH(Base!$C156,'Debs %CDI'!$A:$A,0)),
IF($V156="USD",INDEX(Bonds!$AF:$AF,MATCH(Base!$C156,Bonds!$B:$B,0)),
IF($V156="IPCA",INDEX('Debs IPCA'!$Z:$Z,MATCH(Base!$C156,'Debs IPCA'!$A:$A,0))))))</f>
        <v>1.2E-2</v>
      </c>
      <c r="Z156" s="43">
        <v>252</v>
      </c>
      <c r="AA156" s="43" t="s">
        <v>30</v>
      </c>
      <c r="AB156" s="43" t="s">
        <v>32</v>
      </c>
      <c r="AC156">
        <f t="shared" si="48"/>
        <v>0</v>
      </c>
      <c r="AD156" s="43" t="s">
        <v>31</v>
      </c>
      <c r="AE156">
        <f t="shared" si="49"/>
        <v>1</v>
      </c>
      <c r="AF156" s="34" t="str" cm="1">
        <f t="array" ref="AF156">INDEX(Ratings!$B$2:$M$40,_xlfn.XMATCH(Base!F156,Ratings!$A$2:$A$40),_xlfn.XMATCH(YEAR(Base!K156),Ratings!$B$1:$M$1))</f>
        <v>BB-</v>
      </c>
      <c r="AG156">
        <f t="shared" si="42"/>
        <v>0</v>
      </c>
      <c r="AH156">
        <f>IFERROR(IFERROR(IFERROR(INDEX('EMBI+'!$B:$B,MATCH(Base!$K156,'EMBI+'!$A:$A,0)),INDEX('EMBI+'!$B:$B,MATCH(Base!$K156+1,'EMBI+'!$A:$A,0))),INDEX('EMBI+'!$B:$B,MATCH(Base!$K156+2,'EMBI+'!$A:$A,0))),INDEX('EMBI+'!$B:$B,MATCH(Base!$K156+3,'EMBI+'!$A:$A,0)))/100</f>
        <v>2.52</v>
      </c>
      <c r="AL156" s="43"/>
      <c r="AM156" s="28"/>
      <c r="AN156" s="28"/>
    </row>
    <row r="157" spans="1:40" x14ac:dyDescent="0.35">
      <c r="A157">
        <f t="shared" si="43"/>
        <v>155</v>
      </c>
      <c r="B157">
        <f>IF(G157="Bonds",COUNTIF($G$3:G157,"Bonds"),0)</f>
        <v>0</v>
      </c>
      <c r="C157" t="str">
        <f t="shared" si="54"/>
        <v>Eletrobras4358047253</v>
      </c>
      <c r="D157">
        <f t="shared" si="55"/>
        <v>14</v>
      </c>
      <c r="E157" s="43" t="s">
        <v>207</v>
      </c>
      <c r="F157" s="43" t="s">
        <v>208</v>
      </c>
      <c r="G157" s="43" t="s">
        <v>25</v>
      </c>
      <c r="H157">
        <f t="shared" si="45"/>
        <v>0</v>
      </c>
      <c r="I157" s="43" t="s">
        <v>214</v>
      </c>
      <c r="J157" s="34">
        <f t="shared" si="57"/>
        <v>6</v>
      </c>
      <c r="K157" s="28">
        <v>43580</v>
      </c>
      <c r="L157" s="28">
        <v>47253</v>
      </c>
      <c r="M157" s="60">
        <f t="shared" si="46"/>
        <v>10.063013698630137</v>
      </c>
      <c r="N157" s="4">
        <f t="shared" si="47"/>
        <v>1</v>
      </c>
      <c r="O157" s="43" t="s">
        <v>44</v>
      </c>
      <c r="P157" t="str">
        <f t="shared" si="50"/>
        <v>0</v>
      </c>
      <c r="Q157" s="44">
        <v>700000</v>
      </c>
      <c r="R157" s="43">
        <v>1000</v>
      </c>
      <c r="S157" s="34" t="str">
        <f>IF($V157="USD",INDEX('Dólar Spot'!$B:$B,MATCH(Base!$K157,'Dólar Spot'!$A:$A,0)),"")</f>
        <v/>
      </c>
      <c r="T157" s="4">
        <f t="shared" si="63"/>
        <v>700000000</v>
      </c>
      <c r="U157" s="8">
        <f t="shared" si="51"/>
        <v>7</v>
      </c>
      <c r="V157" s="43" t="s">
        <v>28</v>
      </c>
      <c r="W157" s="45" t="s">
        <v>29</v>
      </c>
      <c r="X157" s="46">
        <v>5.1814</v>
      </c>
      <c r="Y157" s="9">
        <f>IF(AND(V157="DI",$W157=100),$X157/100,
IF(AND(V157="DI",$W157&lt;&gt;100,$X157=""),INDEX('Debs %CDI'!$Q:$Q,MATCH(Base!$C157,'Debs %CDI'!$A:$A,0)),
IF($V157="USD",INDEX(Bonds!$AF:$AF,MATCH(Base!$C157,Bonds!$B:$B,0)),
IF($V157="IPCA",INDEX('Debs IPCA'!$Z:$Z,MATCH(Base!$C157,'Debs IPCA'!$A:$A,0))))))</f>
        <v>1.2125318250302497E-2</v>
      </c>
      <c r="Z157" s="43">
        <v>252</v>
      </c>
      <c r="AA157" s="43" t="s">
        <v>30</v>
      </c>
      <c r="AB157" s="43" t="s">
        <v>31</v>
      </c>
      <c r="AC157">
        <f t="shared" si="48"/>
        <v>1</v>
      </c>
      <c r="AD157" s="43" t="s">
        <v>32</v>
      </c>
      <c r="AE157">
        <f t="shared" si="49"/>
        <v>0</v>
      </c>
      <c r="AF157" s="34" t="str" cm="1">
        <f t="array" ref="AF157">INDEX(Ratings!$B$2:$M$40,_xlfn.XMATCH(Base!F157,Ratings!$A$2:$A$40),_xlfn.XMATCH(YEAR(Base!K157),Ratings!$B$1:$M$1))</f>
        <v>BB-</v>
      </c>
      <c r="AG157">
        <f t="shared" si="42"/>
        <v>0</v>
      </c>
      <c r="AH157">
        <f>IFERROR(IFERROR(IFERROR(INDEX('EMBI+'!$B:$B,MATCH(Base!$K157,'EMBI+'!$A:$A,0)),INDEX('EMBI+'!$B:$B,MATCH(Base!$K157+1,'EMBI+'!$A:$A,0))),INDEX('EMBI+'!$B:$B,MATCH(Base!$K157+2,'EMBI+'!$A:$A,0))),INDEX('EMBI+'!$B:$B,MATCH(Base!$K157+3,'EMBI+'!$A:$A,0)))/100</f>
        <v>2.52</v>
      </c>
      <c r="AL157" s="43"/>
      <c r="AM157" s="28"/>
      <c r="AN157" s="28"/>
    </row>
    <row r="158" spans="1:40" x14ac:dyDescent="0.35">
      <c r="A158">
        <f t="shared" si="43"/>
        <v>156</v>
      </c>
      <c r="B158">
        <f>IF(G158="Bonds",COUNTIF($G$3:G158,"Bonds"),0)</f>
        <v>48</v>
      </c>
      <c r="C158" t="str">
        <f t="shared" si="54"/>
        <v>Eletrobras4386504/02/2030</v>
      </c>
      <c r="D158">
        <f t="shared" si="55"/>
        <v>14</v>
      </c>
      <c r="E158" s="43" t="s">
        <v>215</v>
      </c>
      <c r="F158" s="43" t="s">
        <v>208</v>
      </c>
      <c r="G158" s="43" t="s">
        <v>34</v>
      </c>
      <c r="H158">
        <f t="shared" si="45"/>
        <v>1</v>
      </c>
      <c r="I158" s="43"/>
      <c r="J158" s="34">
        <f t="shared" si="57"/>
        <v>7</v>
      </c>
      <c r="K158" s="28">
        <v>43865</v>
      </c>
      <c r="L158" s="28" t="s">
        <v>216</v>
      </c>
      <c r="M158" s="60">
        <f t="shared" si="46"/>
        <v>10.008219178082191</v>
      </c>
      <c r="N158" s="4">
        <f t="shared" si="47"/>
        <v>1</v>
      </c>
      <c r="O158" s="43" t="s">
        <v>29</v>
      </c>
      <c r="P158" t="str">
        <f t="shared" si="50"/>
        <v>0</v>
      </c>
      <c r="Q158" s="43"/>
      <c r="R158" s="43"/>
      <c r="S158" s="34">
        <f>IF($V158="USD",INDEX('Dólar Spot'!$B:$B,MATCH(Base!$K158,'Dólar Spot'!$A:$A,0)),"")</f>
        <v>4.2374999999999998</v>
      </c>
      <c r="T158" s="44">
        <v>750000000</v>
      </c>
      <c r="U158" s="8">
        <f t="shared" si="51"/>
        <v>31.78125</v>
      </c>
      <c r="V158" s="43" t="s">
        <v>651</v>
      </c>
      <c r="W158" s="45" t="s">
        <v>29</v>
      </c>
      <c r="X158" s="53">
        <v>4.625</v>
      </c>
      <c r="Y158" s="9">
        <f>IF(AND(V158="DI",$W158=100),$X158/100,
IF(AND(V158="DI",$W158&lt;&gt;100,$X158=""),INDEX('Debs %CDI'!$Q:$Q,MATCH(Base!$C158,'Debs %CDI'!$A:$A,0)),
IF($V158="USD",INDEX(Bonds!$AF:$AF,MATCH(Base!$C158,Bonds!$B:$B,0)),
IF($V158="IPCA",INDEX('Debs IPCA'!$Z:$Z,MATCH(Base!$C158,'Debs IPCA'!$A:$A,0))))))</f>
        <v>2.033447348682027E-2</v>
      </c>
      <c r="Z158" s="43">
        <v>360</v>
      </c>
      <c r="AA158" s="43" t="s">
        <v>37</v>
      </c>
      <c r="AB158" s="43" t="s">
        <v>32</v>
      </c>
      <c r="AC158">
        <f t="shared" si="48"/>
        <v>0</v>
      </c>
      <c r="AD158" s="43" t="s">
        <v>32</v>
      </c>
      <c r="AE158">
        <f t="shared" si="49"/>
        <v>0</v>
      </c>
      <c r="AF158" s="34" t="str" cm="1">
        <f t="array" ref="AF158">INDEX(Ratings!$B$2:$M$40,_xlfn.XMATCH(Base!F158,Ratings!$A$2:$A$40),_xlfn.XMATCH(YEAR(Base!K158),Ratings!$B$1:$M$1))</f>
        <v>BB-</v>
      </c>
      <c r="AG158">
        <f t="shared" si="42"/>
        <v>0</v>
      </c>
      <c r="AH158">
        <f>IFERROR(IFERROR(IFERROR(INDEX('EMBI+'!$B:$B,MATCH(Base!$K158,'EMBI+'!$A:$A,0)),INDEX('EMBI+'!$B:$B,MATCH(Base!$K158+1,'EMBI+'!$A:$A,0))),INDEX('EMBI+'!$B:$B,MATCH(Base!$K158+2,'EMBI+'!$A:$A,0))),INDEX('EMBI+'!$B:$B,MATCH(Base!$K158+3,'EMBI+'!$A:$A,0)))/100</f>
        <v>2.19</v>
      </c>
      <c r="AL158" s="43"/>
      <c r="AM158" s="28"/>
      <c r="AN158" s="28"/>
    </row>
    <row r="159" spans="1:40" x14ac:dyDescent="0.35">
      <c r="A159">
        <f t="shared" si="43"/>
        <v>157</v>
      </c>
      <c r="B159">
        <f>IF(G159="Bonds",COUNTIF($G$3:G159,"Bonds"),0)</f>
        <v>49</v>
      </c>
      <c r="C159" t="str">
        <f t="shared" si="54"/>
        <v>Eletrobras4386504/02/2025</v>
      </c>
      <c r="D159">
        <f t="shared" si="55"/>
        <v>14</v>
      </c>
      <c r="E159" s="43" t="s">
        <v>215</v>
      </c>
      <c r="F159" s="43" t="s">
        <v>208</v>
      </c>
      <c r="G159" s="43" t="s">
        <v>34</v>
      </c>
      <c r="H159">
        <f t="shared" si="45"/>
        <v>1</v>
      </c>
      <c r="I159" s="43"/>
      <c r="J159" s="34">
        <f t="shared" si="57"/>
        <v>8</v>
      </c>
      <c r="K159" s="28">
        <v>43865</v>
      </c>
      <c r="L159" s="28" t="s">
        <v>217</v>
      </c>
      <c r="M159" s="60">
        <f t="shared" si="46"/>
        <v>5.0054794520547947</v>
      </c>
      <c r="N159" s="4">
        <f t="shared" si="47"/>
        <v>1</v>
      </c>
      <c r="O159" s="43" t="s">
        <v>29</v>
      </c>
      <c r="P159" t="str">
        <f t="shared" si="50"/>
        <v>0</v>
      </c>
      <c r="Q159" s="43"/>
      <c r="R159" s="43"/>
      <c r="S159" s="34">
        <f>IF($V159="USD",INDEX('Dólar Spot'!$B:$B,MATCH(Base!$K159,'Dólar Spot'!$A:$A,0)),"")</f>
        <v>4.2374999999999998</v>
      </c>
      <c r="T159" s="44">
        <v>500000000</v>
      </c>
      <c r="U159" s="8">
        <f t="shared" si="51"/>
        <v>21.1875</v>
      </c>
      <c r="V159" s="43" t="s">
        <v>651</v>
      </c>
      <c r="W159" s="45" t="s">
        <v>29</v>
      </c>
      <c r="X159" s="53">
        <v>3.625</v>
      </c>
      <c r="Y159" s="9">
        <f>IF(AND(V159="DI",$W159=100),$X159/100,
IF(AND(V159="DI",$W159&lt;&gt;100,$X159=""),INDEX('Debs %CDI'!$Q:$Q,MATCH(Base!$C159,'Debs %CDI'!$A:$A,0)),
IF($V159="USD",INDEX(Bonds!$AF:$AF,MATCH(Base!$C159,Bonds!$B:$B,0)),
IF($V159="IPCA",INDEX('Debs IPCA'!$Z:$Z,MATCH(Base!$C159,'Debs IPCA'!$A:$A,0))))))</f>
        <v>1.3480780535695791E-2</v>
      </c>
      <c r="Z159" s="43">
        <v>360</v>
      </c>
      <c r="AA159" s="43" t="s">
        <v>37</v>
      </c>
      <c r="AB159" s="43" t="s">
        <v>32</v>
      </c>
      <c r="AC159">
        <f t="shared" si="48"/>
        <v>0</v>
      </c>
      <c r="AD159" s="43" t="s">
        <v>32</v>
      </c>
      <c r="AE159">
        <f t="shared" si="49"/>
        <v>0</v>
      </c>
      <c r="AF159" s="34" t="str" cm="1">
        <f t="array" ref="AF159">INDEX(Ratings!$B$2:$M$40,_xlfn.XMATCH(Base!F159,Ratings!$A$2:$A$40),_xlfn.XMATCH(YEAR(Base!K159),Ratings!$B$1:$M$1))</f>
        <v>BB-</v>
      </c>
      <c r="AG159">
        <f t="shared" si="42"/>
        <v>0</v>
      </c>
      <c r="AH159">
        <f>IFERROR(IFERROR(IFERROR(INDEX('EMBI+'!$B:$B,MATCH(Base!$K159,'EMBI+'!$A:$A,0)),INDEX('EMBI+'!$B:$B,MATCH(Base!$K159+1,'EMBI+'!$A:$A,0))),INDEX('EMBI+'!$B:$B,MATCH(Base!$K159+2,'EMBI+'!$A:$A,0))),INDEX('EMBI+'!$B:$B,MATCH(Base!$K159+3,'EMBI+'!$A:$A,0)))/100</f>
        <v>2.19</v>
      </c>
      <c r="AL159" s="43"/>
      <c r="AM159" s="28"/>
      <c r="AN159" s="28"/>
    </row>
    <row r="160" spans="1:40" x14ac:dyDescent="0.35">
      <c r="A160">
        <f t="shared" si="43"/>
        <v>158</v>
      </c>
      <c r="B160">
        <f>IF(G160="Bonds",COUNTIF($G$3:G160,"Bonds"),0)</f>
        <v>50</v>
      </c>
      <c r="C160" t="str">
        <f t="shared" si="54"/>
        <v>Eletrobras4084327/10/2021</v>
      </c>
      <c r="D160">
        <f t="shared" si="55"/>
        <v>14</v>
      </c>
      <c r="E160" s="43" t="s">
        <v>215</v>
      </c>
      <c r="F160" s="43" t="s">
        <v>208</v>
      </c>
      <c r="G160" s="43" t="s">
        <v>34</v>
      </c>
      <c r="H160">
        <f t="shared" si="45"/>
        <v>1</v>
      </c>
      <c r="I160" s="43"/>
      <c r="J160" s="34">
        <f t="shared" si="57"/>
        <v>9</v>
      </c>
      <c r="K160" s="28">
        <v>40843</v>
      </c>
      <c r="L160" s="28" t="s">
        <v>218</v>
      </c>
      <c r="M160" s="60">
        <f t="shared" si="46"/>
        <v>10.008219178082191</v>
      </c>
      <c r="N160" s="4">
        <f t="shared" si="47"/>
        <v>1</v>
      </c>
      <c r="O160" s="43" t="s">
        <v>29</v>
      </c>
      <c r="P160" t="str">
        <f t="shared" si="50"/>
        <v>0</v>
      </c>
      <c r="Q160" s="43"/>
      <c r="R160" s="43"/>
      <c r="S160" s="34">
        <f>IF($V160="USD",INDEX('Dólar Spot'!$B:$B,MATCH(Base!$K160,'Dólar Spot'!$A:$A,0)),"")</f>
        <v>1.7316</v>
      </c>
      <c r="T160" s="44">
        <v>1750000000</v>
      </c>
      <c r="U160" s="8">
        <f t="shared" si="51"/>
        <v>30.303000000000001</v>
      </c>
      <c r="V160" s="43" t="s">
        <v>651</v>
      </c>
      <c r="W160" s="45" t="s">
        <v>29</v>
      </c>
      <c r="X160" s="53">
        <v>5.75</v>
      </c>
      <c r="Y160" s="9">
        <f>IF(AND(V160="DI",$W160=100),$X160/100,
IF(AND(V160="DI",$W160&lt;&gt;100,$X160=""),INDEX('Debs %CDI'!$Q:$Q,MATCH(Base!$C160,'Debs %CDI'!$A:$A,0)),
IF($V160="USD",INDEX(Bonds!$AF:$AF,MATCH(Base!$C160,Bonds!$B:$B,0)),
IF($V160="IPCA",INDEX('Debs IPCA'!$Z:$Z,MATCH(Base!$C160,'Debs IPCA'!$A:$A,0))))))</f>
        <v>9.7562734682465901E-3</v>
      </c>
      <c r="Z160" s="43">
        <v>360</v>
      </c>
      <c r="AA160" s="43" t="s">
        <v>37</v>
      </c>
      <c r="AB160" s="43" t="s">
        <v>32</v>
      </c>
      <c r="AC160">
        <f t="shared" si="48"/>
        <v>0</v>
      </c>
      <c r="AD160" s="43" t="s">
        <v>32</v>
      </c>
      <c r="AE160">
        <f t="shared" si="49"/>
        <v>0</v>
      </c>
      <c r="AF160" s="34" t="str" cm="1">
        <f t="array" ref="AF160">INDEX(Ratings!$B$2:$M$40,_xlfn.XMATCH(Base!F160,Ratings!$A$2:$A$40),_xlfn.XMATCH(YEAR(Base!K160),Ratings!$B$1:$M$1))</f>
        <v>BBB</v>
      </c>
      <c r="AG160">
        <f t="shared" si="42"/>
        <v>1</v>
      </c>
      <c r="AH160">
        <f>IFERROR(IFERROR(IFERROR(INDEX('EMBI+'!$B:$B,MATCH(Base!$K160,'EMBI+'!$A:$A,0)),INDEX('EMBI+'!$B:$B,MATCH(Base!$K160+1,'EMBI+'!$A:$A,0))),INDEX('EMBI+'!$B:$B,MATCH(Base!$K160+2,'EMBI+'!$A:$A,0))),INDEX('EMBI+'!$B:$B,MATCH(Base!$K160+3,'EMBI+'!$A:$A,0)))/100</f>
        <v>1.97</v>
      </c>
      <c r="AL160" s="43"/>
      <c r="AM160" s="28"/>
      <c r="AN160" s="28"/>
    </row>
    <row r="161" spans="1:40" x14ac:dyDescent="0.35">
      <c r="A161">
        <f t="shared" si="43"/>
        <v>159</v>
      </c>
      <c r="B161">
        <f>IF(G161="Bonds",COUNTIF($G$3:G161,"Bonds"),0)</f>
        <v>0</v>
      </c>
      <c r="C161" t="str">
        <f t="shared" si="54"/>
        <v>Equatorial4271944545</v>
      </c>
      <c r="D161">
        <f t="shared" si="55"/>
        <v>15</v>
      </c>
      <c r="E161" s="43" t="s">
        <v>220</v>
      </c>
      <c r="F161" s="43" t="s">
        <v>221</v>
      </c>
      <c r="G161" s="43" t="s">
        <v>25</v>
      </c>
      <c r="H161">
        <f t="shared" si="45"/>
        <v>0</v>
      </c>
      <c r="I161" s="43" t="s">
        <v>222</v>
      </c>
      <c r="J161" s="34">
        <f t="shared" si="57"/>
        <v>1</v>
      </c>
      <c r="K161" s="28">
        <v>42719</v>
      </c>
      <c r="L161" s="28">
        <v>44545</v>
      </c>
      <c r="M161" s="60">
        <f t="shared" si="46"/>
        <v>5.0027397260273974</v>
      </c>
      <c r="N161" s="4">
        <f t="shared" si="47"/>
        <v>1</v>
      </c>
      <c r="O161" s="43" t="s">
        <v>44</v>
      </c>
      <c r="P161" t="str">
        <f t="shared" si="50"/>
        <v>0</v>
      </c>
      <c r="Q161" s="44">
        <v>199069</v>
      </c>
      <c r="R161" s="43">
        <v>1000</v>
      </c>
      <c r="S161" s="34" t="str">
        <f>IF($V161="USD",INDEX('Dólar Spot'!$B:$B,MATCH(Base!$K161,'Dólar Spot'!$A:$A,0)),"")</f>
        <v/>
      </c>
      <c r="T161" s="4">
        <f t="shared" ref="T161:T164" si="64">Q161*R161</f>
        <v>199069000</v>
      </c>
      <c r="U161" s="8">
        <f t="shared" si="51"/>
        <v>1.9906900000000001</v>
      </c>
      <c r="V161" s="43" t="s">
        <v>28</v>
      </c>
      <c r="W161" s="45" t="s">
        <v>29</v>
      </c>
      <c r="X161" s="46">
        <v>6.6970999999999998</v>
      </c>
      <c r="Y161" s="9">
        <f>IF(AND(V161="DI",$W161=100),$X161/100,
IF(AND(V161="DI",$W161&lt;&gt;100,$X161=""),INDEX('Debs %CDI'!$Q:$Q,MATCH(Base!$C161,'Debs %CDI'!$A:$A,0)),
IF($V161="USD",INDEX(Bonds!$AF:$AF,MATCH(Base!$C161,Bonds!$B:$B,0)),
IF($V161="IPCA",INDEX('Debs IPCA'!$Z:$Z,MATCH(Base!$C161,'Debs IPCA'!$A:$A,0))))))</f>
        <v>4.0206608393469345E-3</v>
      </c>
      <c r="Z161" s="43">
        <v>252</v>
      </c>
      <c r="AA161" s="43" t="s">
        <v>30</v>
      </c>
      <c r="AB161" s="43" t="s">
        <v>31</v>
      </c>
      <c r="AC161">
        <f t="shared" si="48"/>
        <v>1</v>
      </c>
      <c r="AD161" s="43" t="s">
        <v>31</v>
      </c>
      <c r="AE161">
        <f t="shared" si="49"/>
        <v>1</v>
      </c>
      <c r="AF161" s="34" t="str" cm="1">
        <f t="array" ref="AF161">INDEX(Ratings!$B$2:$M$40,_xlfn.XMATCH(Base!F161,Ratings!$A$2:$A$40),_xlfn.XMATCH(YEAR(Base!K161),Ratings!$B$1:$M$1))</f>
        <v>NR</v>
      </c>
      <c r="AG161">
        <f t="shared" si="42"/>
        <v>0</v>
      </c>
      <c r="AH161">
        <f>IFERROR(IFERROR(IFERROR(INDEX('EMBI+'!$B:$B,MATCH(Base!$K161,'EMBI+'!$A:$A,0)),INDEX('EMBI+'!$B:$B,MATCH(Base!$K161+1,'EMBI+'!$A:$A,0))),INDEX('EMBI+'!$B:$B,MATCH(Base!$K161+2,'EMBI+'!$A:$A,0))),INDEX('EMBI+'!$B:$B,MATCH(Base!$K161+3,'EMBI+'!$A:$A,0)))/100</f>
        <v>3.32</v>
      </c>
      <c r="AL161" s="43"/>
      <c r="AM161" s="28"/>
      <c r="AN161" s="28"/>
    </row>
    <row r="162" spans="1:40" x14ac:dyDescent="0.35">
      <c r="A162">
        <f t="shared" si="43"/>
        <v>160</v>
      </c>
      <c r="B162">
        <f>IF(G162="Bonds",COUNTIF($G$3:G162,"Bonds"),0)</f>
        <v>0</v>
      </c>
      <c r="C162" t="str">
        <f t="shared" si="54"/>
        <v>Equatorial4271943814</v>
      </c>
      <c r="D162">
        <f t="shared" si="55"/>
        <v>15</v>
      </c>
      <c r="E162" s="43" t="s">
        <v>220</v>
      </c>
      <c r="F162" s="43" t="s">
        <v>221</v>
      </c>
      <c r="G162" s="43" t="s">
        <v>25</v>
      </c>
      <c r="H162">
        <f t="shared" si="45"/>
        <v>0</v>
      </c>
      <c r="I162" s="43" t="s">
        <v>223</v>
      </c>
      <c r="J162" s="34">
        <f t="shared" si="57"/>
        <v>2</v>
      </c>
      <c r="K162" s="28">
        <v>42719</v>
      </c>
      <c r="L162" s="28">
        <v>43814</v>
      </c>
      <c r="M162" s="60">
        <f t="shared" si="46"/>
        <v>3</v>
      </c>
      <c r="N162" s="4">
        <f t="shared" si="47"/>
        <v>0</v>
      </c>
      <c r="O162" s="43" t="s">
        <v>44</v>
      </c>
      <c r="P162" t="str">
        <f t="shared" si="50"/>
        <v>0</v>
      </c>
      <c r="Q162" s="44">
        <v>50000</v>
      </c>
      <c r="R162" s="43">
        <v>10000</v>
      </c>
      <c r="S162" s="34" t="str">
        <f>IF($V162="USD",INDEX('Dólar Spot'!$B:$B,MATCH(Base!$K162,'Dólar Spot'!$A:$A,0)),"")</f>
        <v/>
      </c>
      <c r="T162" s="4">
        <f t="shared" si="64"/>
        <v>500000000</v>
      </c>
      <c r="U162" s="8">
        <f t="shared" si="51"/>
        <v>5</v>
      </c>
      <c r="V162" s="43" t="s">
        <v>41</v>
      </c>
      <c r="W162" s="45">
        <v>116</v>
      </c>
      <c r="X162" s="46"/>
      <c r="Y162" s="9">
        <f>IF(AND(V162="DI",$W162=100),$X162/100,
IF(AND(V162="DI",$W162&lt;&gt;100,$X162=""),INDEX('Debs %CDI'!$Q:$Q,MATCH(Base!$C162,'Debs %CDI'!$A:$A,0)),
IF($V162="USD",INDEX(Bonds!$AF:$AF,MATCH(Base!$C162,Bonds!$B:$B,0)),
IF($V162="IPCA",INDEX('Debs IPCA'!$Z:$Z,MATCH(Base!$C162,'Debs IPCA'!$A:$A,0))))))</f>
        <v>1.8651845037651275E-2</v>
      </c>
      <c r="Z162" s="43">
        <v>252</v>
      </c>
      <c r="AA162" s="43" t="s">
        <v>30</v>
      </c>
      <c r="AB162" s="43" t="s">
        <v>32</v>
      </c>
      <c r="AC162">
        <f t="shared" si="48"/>
        <v>0</v>
      </c>
      <c r="AD162" s="43" t="s">
        <v>31</v>
      </c>
      <c r="AE162">
        <f t="shared" si="49"/>
        <v>1</v>
      </c>
      <c r="AF162" s="34" t="str" cm="1">
        <f t="array" ref="AF162">INDEX(Ratings!$B$2:$M$40,_xlfn.XMATCH(Base!F162,Ratings!$A$2:$A$40),_xlfn.XMATCH(YEAR(Base!K162),Ratings!$B$1:$M$1))</f>
        <v>NR</v>
      </c>
      <c r="AG162">
        <f t="shared" si="42"/>
        <v>0</v>
      </c>
      <c r="AH162">
        <f>IFERROR(IFERROR(IFERROR(INDEX('EMBI+'!$B:$B,MATCH(Base!$K162,'EMBI+'!$A:$A,0)),INDEX('EMBI+'!$B:$B,MATCH(Base!$K162+1,'EMBI+'!$A:$A,0))),INDEX('EMBI+'!$B:$B,MATCH(Base!$K162+2,'EMBI+'!$A:$A,0))),INDEX('EMBI+'!$B:$B,MATCH(Base!$K162+3,'EMBI+'!$A:$A,0)))/100</f>
        <v>3.32</v>
      </c>
      <c r="AL162" s="43"/>
      <c r="AM162" s="28"/>
      <c r="AN162" s="28"/>
    </row>
    <row r="163" spans="1:40" x14ac:dyDescent="0.35">
      <c r="A163">
        <f t="shared" si="43"/>
        <v>161</v>
      </c>
      <c r="B163">
        <f>IF(G163="Bonds",COUNTIF($G$3:G163,"Bonds"),0)</f>
        <v>0</v>
      </c>
      <c r="C163" t="str">
        <f t="shared" si="54"/>
        <v>Equatorial4271945275</v>
      </c>
      <c r="D163">
        <f t="shared" si="55"/>
        <v>15</v>
      </c>
      <c r="E163" s="43" t="s">
        <v>220</v>
      </c>
      <c r="F163" s="43" t="s">
        <v>221</v>
      </c>
      <c r="G163" s="43" t="s">
        <v>25</v>
      </c>
      <c r="H163">
        <f t="shared" si="45"/>
        <v>0</v>
      </c>
      <c r="I163" s="43" t="s">
        <v>224</v>
      </c>
      <c r="J163" s="34">
        <f t="shared" si="57"/>
        <v>3</v>
      </c>
      <c r="K163" s="28">
        <v>42719</v>
      </c>
      <c r="L163" s="28">
        <v>45275</v>
      </c>
      <c r="M163" s="60">
        <f t="shared" si="46"/>
        <v>7.0027397260273974</v>
      </c>
      <c r="N163" s="4">
        <f t="shared" si="47"/>
        <v>1</v>
      </c>
      <c r="O163" s="43" t="s">
        <v>44</v>
      </c>
      <c r="P163" t="str">
        <f t="shared" si="50"/>
        <v>0</v>
      </c>
      <c r="Q163" s="44">
        <v>100931</v>
      </c>
      <c r="R163" s="43">
        <v>1000</v>
      </c>
      <c r="S163" s="34" t="str">
        <f>IF($V163="USD",INDEX('Dólar Spot'!$B:$B,MATCH(Base!$K163,'Dólar Spot'!$A:$A,0)),"")</f>
        <v/>
      </c>
      <c r="T163" s="4">
        <f t="shared" si="64"/>
        <v>100931000</v>
      </c>
      <c r="U163" s="8">
        <f t="shared" si="51"/>
        <v>1.0093099999999999</v>
      </c>
      <c r="V163" s="43" t="s">
        <v>28</v>
      </c>
      <c r="W163" s="45" t="s">
        <v>29</v>
      </c>
      <c r="X163" s="46">
        <v>6.8701999999999996</v>
      </c>
      <c r="Y163" s="9">
        <f>IF(AND(V163="DI",$W163=100),$X163/100,
IF(AND(V163="DI",$W163&lt;&gt;100,$X163=""),INDEX('Debs %CDI'!$Q:$Q,MATCH(Base!$C163,'Debs %CDI'!$A:$A,0)),
IF($V163="USD",INDEX(Bonds!$AF:$AF,MATCH(Base!$C163,Bonds!$B:$B,0)),
IF($V163="IPCA",INDEX('Debs IPCA'!$Z:$Z,MATCH(Base!$C163,'Debs IPCA'!$A:$A,0))))))</f>
        <v>6.2185755510817398E-3</v>
      </c>
      <c r="Z163" s="43">
        <v>252</v>
      </c>
      <c r="AA163" s="43" t="s">
        <v>30</v>
      </c>
      <c r="AB163" s="43" t="s">
        <v>31</v>
      </c>
      <c r="AC163">
        <f t="shared" si="48"/>
        <v>1</v>
      </c>
      <c r="AD163" s="43" t="s">
        <v>31</v>
      </c>
      <c r="AE163">
        <f t="shared" si="49"/>
        <v>1</v>
      </c>
      <c r="AF163" s="34" t="str" cm="1">
        <f t="array" ref="AF163">INDEX(Ratings!$B$2:$M$40,_xlfn.XMATCH(Base!F163,Ratings!$A$2:$A$40),_xlfn.XMATCH(YEAR(Base!K163),Ratings!$B$1:$M$1))</f>
        <v>NR</v>
      </c>
      <c r="AG163">
        <f t="shared" si="42"/>
        <v>0</v>
      </c>
      <c r="AH163">
        <f>IFERROR(IFERROR(IFERROR(INDEX('EMBI+'!$B:$B,MATCH(Base!$K163,'EMBI+'!$A:$A,0)),INDEX('EMBI+'!$B:$B,MATCH(Base!$K163+1,'EMBI+'!$A:$A,0))),INDEX('EMBI+'!$B:$B,MATCH(Base!$K163+2,'EMBI+'!$A:$A,0))),INDEX('EMBI+'!$B:$B,MATCH(Base!$K163+3,'EMBI+'!$A:$A,0)))/100</f>
        <v>3.32</v>
      </c>
      <c r="AL163" s="43"/>
      <c r="AM163" s="28"/>
      <c r="AN163" s="28"/>
    </row>
    <row r="164" spans="1:40" x14ac:dyDescent="0.35">
      <c r="A164">
        <f t="shared" si="43"/>
        <v>162</v>
      </c>
      <c r="B164">
        <f>IF(G164="Bonds",COUNTIF($G$3:G164,"Bonds"),0)</f>
        <v>0</v>
      </c>
      <c r="C164" t="str">
        <f t="shared" si="54"/>
        <v>Equatorial4469646888</v>
      </c>
      <c r="D164">
        <f t="shared" si="55"/>
        <v>15</v>
      </c>
      <c r="E164" s="43" t="s">
        <v>220</v>
      </c>
      <c r="F164" s="43" t="s">
        <v>221</v>
      </c>
      <c r="G164" s="43" t="s">
        <v>25</v>
      </c>
      <c r="H164">
        <f t="shared" si="45"/>
        <v>0</v>
      </c>
      <c r="I164" s="43" t="s">
        <v>832</v>
      </c>
      <c r="J164" s="34">
        <f t="shared" si="57"/>
        <v>4</v>
      </c>
      <c r="K164" s="28">
        <v>44696</v>
      </c>
      <c r="L164" s="28">
        <v>46888</v>
      </c>
      <c r="M164" s="60">
        <f t="shared" si="46"/>
        <v>6.0054794520547947</v>
      </c>
      <c r="N164" s="4">
        <f t="shared" si="47"/>
        <v>1</v>
      </c>
      <c r="O164" s="43" t="s">
        <v>44</v>
      </c>
      <c r="P164" t="str">
        <f t="shared" si="50"/>
        <v>0</v>
      </c>
      <c r="Q164" s="44">
        <v>1350000000</v>
      </c>
      <c r="R164" s="43">
        <v>1</v>
      </c>
      <c r="S164" s="34" t="str">
        <f>IF($V164="USD",INDEX('Dólar Spot'!$B:$B,MATCH(Base!$K164,'Dólar Spot'!$A:$A,0)),"")</f>
        <v/>
      </c>
      <c r="T164" s="4">
        <f t="shared" si="64"/>
        <v>1350000000</v>
      </c>
      <c r="U164" s="8">
        <f t="shared" si="51"/>
        <v>13.5</v>
      </c>
      <c r="V164" s="43" t="s">
        <v>41</v>
      </c>
      <c r="W164" s="45">
        <v>100</v>
      </c>
      <c r="X164" s="46">
        <v>1.4</v>
      </c>
      <c r="Y164" s="9">
        <f>IF(AND(V164="DI",$W164=100),$X164/100,
IF(AND(V164="DI",$W164&lt;&gt;100,$X164=""),INDEX('Debs %CDI'!$Q:$Q,MATCH(Base!$C164,'Debs %CDI'!$A:$A,0)),
IF($V164="USD",INDEX(Bonds!$AF:$AF,MATCH(Base!$C164,Bonds!$B:$B,0)),
IF($V164="IPCA",INDEX('Debs IPCA'!$Z:$Z,MATCH(Base!$C164,'Debs IPCA'!$A:$A,0))))))</f>
        <v>1.3999999999999999E-2</v>
      </c>
      <c r="Z164" s="43">
        <v>252</v>
      </c>
      <c r="AA164" s="43" t="s">
        <v>30</v>
      </c>
      <c r="AB164" s="43" t="s">
        <v>32</v>
      </c>
      <c r="AC164">
        <f t="shared" si="48"/>
        <v>0</v>
      </c>
      <c r="AD164" s="43" t="s">
        <v>31</v>
      </c>
      <c r="AE164">
        <f t="shared" si="49"/>
        <v>1</v>
      </c>
      <c r="AF164" s="34" t="str" cm="1">
        <f t="array" ref="AF164">INDEX(Ratings!$B$2:$M$40,_xlfn.XMATCH(Base!F164,Ratings!$A$2:$A$40),_xlfn.XMATCH(YEAR(Base!K164),Ratings!$B$1:$M$1))</f>
        <v>NR</v>
      </c>
      <c r="AG164">
        <f t="shared" si="42"/>
        <v>0</v>
      </c>
      <c r="AH164">
        <f>IFERROR(IFERROR(IFERROR(INDEX('EMBI+'!$B:$B,MATCH(Base!$K164,'EMBI+'!$A:$A,0)),INDEX('EMBI+'!$B:$B,MATCH(Base!$K164+1,'EMBI+'!$A:$A,0))),INDEX('EMBI+'!$B:$B,MATCH(Base!$K164+2,'EMBI+'!$A:$A,0))),INDEX('EMBI+'!$B:$B,MATCH(Base!$K164+3,'EMBI+'!$A:$A,0)))/100</f>
        <v>3.19</v>
      </c>
      <c r="AL164" s="43"/>
      <c r="AM164" s="28"/>
      <c r="AN164" s="28"/>
    </row>
    <row r="165" spans="1:40" x14ac:dyDescent="0.35">
      <c r="A165">
        <f t="shared" si="43"/>
        <v>163</v>
      </c>
      <c r="B165">
        <f>IF(G165="Bonds",COUNTIF($G$3:G165,"Bonds"),0)</f>
        <v>51</v>
      </c>
      <c r="C165" t="str">
        <f t="shared" si="54"/>
        <v>Equatorial4069703/06/2016</v>
      </c>
      <c r="D165">
        <f t="shared" si="55"/>
        <v>15</v>
      </c>
      <c r="E165" s="43" t="s">
        <v>225</v>
      </c>
      <c r="F165" s="43" t="s">
        <v>221</v>
      </c>
      <c r="G165" s="43" t="s">
        <v>34</v>
      </c>
      <c r="H165">
        <f t="shared" si="45"/>
        <v>1</v>
      </c>
      <c r="I165" s="43"/>
      <c r="J165" s="34">
        <f t="shared" si="57"/>
        <v>5</v>
      </c>
      <c r="K165" s="28">
        <v>40697</v>
      </c>
      <c r="L165" s="28" t="s">
        <v>226</v>
      </c>
      <c r="M165" s="60">
        <f t="shared" si="46"/>
        <v>5.0054794520547947</v>
      </c>
      <c r="N165" s="4">
        <f t="shared" si="47"/>
        <v>1</v>
      </c>
      <c r="O165" s="43" t="s">
        <v>29</v>
      </c>
      <c r="P165" t="str">
        <f t="shared" si="50"/>
        <v>0</v>
      </c>
      <c r="Q165" s="43"/>
      <c r="R165" s="43"/>
      <c r="S165" s="34">
        <f>IF($V165="USD",INDEX('Dólar Spot'!$B:$B,MATCH(Base!$K165,'Dólar Spot'!$A:$A,0)),"")</f>
        <v>1.5736000000000001</v>
      </c>
      <c r="T165" s="44">
        <v>250000000</v>
      </c>
      <c r="U165" s="8">
        <f t="shared" si="51"/>
        <v>3.9340000000000002</v>
      </c>
      <c r="V165" s="43" t="s">
        <v>651</v>
      </c>
      <c r="W165" s="45" t="s">
        <v>29</v>
      </c>
      <c r="X165" s="53">
        <v>10.5</v>
      </c>
      <c r="Y165" s="9">
        <f>IF(AND(V165="DI",$W165=100),$X165/100,
IF(AND(V165="DI",$W165&lt;&gt;100,$X165=""),INDEX('Debs %CDI'!$Q:$Q,MATCH(Base!$C165,'Debs %CDI'!$A:$A,0)),
IF($V165="USD",INDEX(Bonds!$AF:$AF,MATCH(Base!$C165,Bonds!$B:$B,0)),
IF($V165="IPCA",INDEX('Debs IPCA'!$Z:$Z,MATCH(Base!$C165,'Debs IPCA'!$A:$A,0))))))</f>
        <v>6.3056578334491187E-2</v>
      </c>
      <c r="Z165" s="43">
        <v>360</v>
      </c>
      <c r="AA165" s="43" t="s">
        <v>37</v>
      </c>
      <c r="AB165" s="43" t="s">
        <v>32</v>
      </c>
      <c r="AC165">
        <f t="shared" si="48"/>
        <v>0</v>
      </c>
      <c r="AD165" s="43" t="s">
        <v>31</v>
      </c>
      <c r="AE165">
        <f t="shared" si="49"/>
        <v>1</v>
      </c>
      <c r="AF165" s="34" t="str" cm="1">
        <f t="array" ref="AF165">INDEX(Ratings!$B$2:$M$40,_xlfn.XMATCH(Base!F165,Ratings!$A$2:$A$40),_xlfn.XMATCH(YEAR(Base!K165),Ratings!$B$1:$M$1))</f>
        <v>B</v>
      </c>
      <c r="AG165">
        <f t="shared" si="42"/>
        <v>0</v>
      </c>
      <c r="AH165">
        <f>IFERROR(IFERROR(IFERROR(INDEX('EMBI+'!$B:$B,MATCH(Base!$K165,'EMBI+'!$A:$A,0)),INDEX('EMBI+'!$B:$B,MATCH(Base!$K165+1,'EMBI+'!$A:$A,0))),INDEX('EMBI+'!$B:$B,MATCH(Base!$K165+2,'EMBI+'!$A:$A,0))),INDEX('EMBI+'!$B:$B,MATCH(Base!$K165+3,'EMBI+'!$A:$A,0)))/100</f>
        <v>1.75</v>
      </c>
      <c r="AL165" s="43"/>
      <c r="AM165" s="28"/>
      <c r="AN165" s="28"/>
    </row>
    <row r="166" spans="1:40" x14ac:dyDescent="0.35">
      <c r="A166">
        <f t="shared" si="43"/>
        <v>164</v>
      </c>
      <c r="B166">
        <f>IF(G166="Bonds",COUNTIF($G$3:G166,"Bonds"),0)</f>
        <v>0</v>
      </c>
      <c r="C166" t="str">
        <f t="shared" si="54"/>
        <v>Gerdau4342544886</v>
      </c>
      <c r="D166">
        <f t="shared" si="55"/>
        <v>16</v>
      </c>
      <c r="E166" s="43" t="s">
        <v>227</v>
      </c>
      <c r="F166" s="43" t="s">
        <v>228</v>
      </c>
      <c r="G166" s="43" t="s">
        <v>25</v>
      </c>
      <c r="H166">
        <f t="shared" si="45"/>
        <v>0</v>
      </c>
      <c r="I166" s="43" t="s">
        <v>229</v>
      </c>
      <c r="J166" s="34">
        <f t="shared" si="57"/>
        <v>1</v>
      </c>
      <c r="K166" s="28">
        <v>43425</v>
      </c>
      <c r="L166" s="28">
        <v>44886</v>
      </c>
      <c r="M166" s="60">
        <f t="shared" si="46"/>
        <v>4.0027397260273974</v>
      </c>
      <c r="N166" s="4">
        <f t="shared" si="47"/>
        <v>0</v>
      </c>
      <c r="O166" s="43" t="s">
        <v>44</v>
      </c>
      <c r="P166" t="str">
        <f t="shared" si="50"/>
        <v>0</v>
      </c>
      <c r="Q166" s="44">
        <v>1500000</v>
      </c>
      <c r="R166" s="43">
        <v>1000</v>
      </c>
      <c r="S166" s="34" t="str">
        <f>IF($V166="USD",INDEX('Dólar Spot'!$B:$B,MATCH(Base!$K166,'Dólar Spot'!$A:$A,0)),"")</f>
        <v/>
      </c>
      <c r="T166" s="4">
        <f>Q166*R166</f>
        <v>1500000000</v>
      </c>
      <c r="U166" s="8">
        <f t="shared" si="51"/>
        <v>15</v>
      </c>
      <c r="V166" s="43" t="s">
        <v>41</v>
      </c>
      <c r="W166" s="45">
        <v>106.5</v>
      </c>
      <c r="X166" s="46"/>
      <c r="Y166" s="9">
        <f>IF(AND(V166="DI",$W166=100),$X166/100,
IF(AND(V166="DI",$W166&lt;&gt;100,$X166=""),INDEX('Debs %CDI'!$Q:$Q,MATCH(Base!$C166,'Debs %CDI'!$A:$A,0)),
IF($V166="USD",INDEX(Bonds!$AF:$AF,MATCH(Base!$C166,Bonds!$B:$B,0)),
IF($V166="IPCA",INDEX('Debs IPCA'!$Z:$Z,MATCH(Base!$C166,'Debs IPCA'!$A:$A,0))))))</f>
        <v>5.908266142141877E-3</v>
      </c>
      <c r="Z166" s="43">
        <v>252</v>
      </c>
      <c r="AA166" s="43" t="s">
        <v>30</v>
      </c>
      <c r="AB166" s="43" t="s">
        <v>32</v>
      </c>
      <c r="AC166">
        <f t="shared" si="48"/>
        <v>0</v>
      </c>
      <c r="AD166" s="43" t="s">
        <v>31</v>
      </c>
      <c r="AE166">
        <f t="shared" si="49"/>
        <v>1</v>
      </c>
      <c r="AF166" s="34" t="str" cm="1">
        <f t="array" ref="AF166">INDEX(Ratings!$B$2:$M$40,_xlfn.XMATCH(Base!F166,Ratings!$A$2:$A$40),_xlfn.XMATCH(YEAR(Base!K166),Ratings!$B$1:$M$1))</f>
        <v>BBB-</v>
      </c>
      <c r="AG166">
        <f t="shared" si="42"/>
        <v>1</v>
      </c>
      <c r="AH166">
        <f>IFERROR(IFERROR(IFERROR(INDEX('EMBI+'!$B:$B,MATCH(Base!$K166,'EMBI+'!$A:$A,0)),INDEX('EMBI+'!$B:$B,MATCH(Base!$K166+1,'EMBI+'!$A:$A,0))),INDEX('EMBI+'!$B:$B,MATCH(Base!$K166+2,'EMBI+'!$A:$A,0))),INDEX('EMBI+'!$B:$B,MATCH(Base!$K166+3,'EMBI+'!$A:$A,0)))/100</f>
        <v>2.71</v>
      </c>
      <c r="AL166" s="43"/>
      <c r="AM166" s="28"/>
      <c r="AN166" s="28"/>
    </row>
    <row r="167" spans="1:40" x14ac:dyDescent="0.35">
      <c r="A167">
        <f t="shared" si="43"/>
        <v>165</v>
      </c>
      <c r="B167">
        <f>IF(G167="Bonds",COUNTIF($G$3:G167,"Bonds"),0)</f>
        <v>0</v>
      </c>
      <c r="C167" t="str">
        <f t="shared" si="54"/>
        <v>Gerdau4359145052</v>
      </c>
      <c r="D167">
        <f t="shared" si="55"/>
        <v>16</v>
      </c>
      <c r="E167" s="43" t="s">
        <v>227</v>
      </c>
      <c r="F167" s="43" t="s">
        <v>228</v>
      </c>
      <c r="G167" s="43" t="s">
        <v>25</v>
      </c>
      <c r="H167">
        <f t="shared" si="45"/>
        <v>0</v>
      </c>
      <c r="I167" s="43" t="s">
        <v>230</v>
      </c>
      <c r="J167" s="34">
        <f t="shared" si="57"/>
        <v>2</v>
      </c>
      <c r="K167" s="28">
        <v>43591</v>
      </c>
      <c r="L167" s="28">
        <v>45052</v>
      </c>
      <c r="M167" s="60">
        <f t="shared" si="46"/>
        <v>4.0027397260273974</v>
      </c>
      <c r="N167" s="4">
        <f t="shared" si="47"/>
        <v>0</v>
      </c>
      <c r="O167" s="43" t="s">
        <v>44</v>
      </c>
      <c r="P167" t="str">
        <f t="shared" si="50"/>
        <v>0</v>
      </c>
      <c r="Q167" s="44">
        <v>600000</v>
      </c>
      <c r="R167" s="43">
        <v>1000</v>
      </c>
      <c r="S167" s="34" t="str">
        <f>IF($V167="USD",INDEX('Dólar Spot'!$B:$B,MATCH(Base!$K167,'Dólar Spot'!$A:$A,0)),"")</f>
        <v/>
      </c>
      <c r="T167" s="4">
        <f>Q167*R167</f>
        <v>600000000</v>
      </c>
      <c r="U167" s="8">
        <f t="shared" si="51"/>
        <v>6</v>
      </c>
      <c r="V167" s="43" t="s">
        <v>41</v>
      </c>
      <c r="W167" s="45">
        <v>105.5</v>
      </c>
      <c r="X167" s="46"/>
      <c r="Y167" s="9">
        <f>IF(AND(V167="DI",$W167=100),$X167/100,
IF(AND(V167="DI",$W167&lt;&gt;100,$X167=""),INDEX('Debs %CDI'!$Q:$Q,MATCH(Base!$C167,'Debs %CDI'!$A:$A,0)),
IF($V167="USD",INDEX(Bonds!$AF:$AF,MATCH(Base!$C167,Bonds!$B:$B,0)),
IF($V167="IPCA",INDEX('Debs IPCA'!$Z:$Z,MATCH(Base!$C167,'Debs IPCA'!$A:$A,0))))))</f>
        <v>4.5577590836291355E-3</v>
      </c>
      <c r="Z167" s="43">
        <v>252</v>
      </c>
      <c r="AA167" s="43" t="s">
        <v>30</v>
      </c>
      <c r="AB167" s="43" t="s">
        <v>32</v>
      </c>
      <c r="AC167">
        <f t="shared" si="48"/>
        <v>0</v>
      </c>
      <c r="AD167" s="43" t="s">
        <v>31</v>
      </c>
      <c r="AE167">
        <f t="shared" si="49"/>
        <v>1</v>
      </c>
      <c r="AF167" s="34" t="str" cm="1">
        <f t="array" ref="AF167">INDEX(Ratings!$B$2:$M$40,_xlfn.XMATCH(Base!F167,Ratings!$A$2:$A$40),_xlfn.XMATCH(YEAR(Base!K167),Ratings!$B$1:$M$1))</f>
        <v>BBB-</v>
      </c>
      <c r="AG167">
        <f t="shared" si="42"/>
        <v>1</v>
      </c>
      <c r="AH167">
        <f>IFERROR(IFERROR(IFERROR(INDEX('EMBI+'!$B:$B,MATCH(Base!$K167,'EMBI+'!$A:$A,0)),INDEX('EMBI+'!$B:$B,MATCH(Base!$K167+1,'EMBI+'!$A:$A,0))),INDEX('EMBI+'!$B:$B,MATCH(Base!$K167+2,'EMBI+'!$A:$A,0))),INDEX('EMBI+'!$B:$B,MATCH(Base!$K167+3,'EMBI+'!$A:$A,0)))/100</f>
        <v>2.5</v>
      </c>
      <c r="AL167" s="43"/>
      <c r="AM167" s="28"/>
      <c r="AN167" s="28"/>
    </row>
    <row r="168" spans="1:40" x14ac:dyDescent="0.35">
      <c r="A168">
        <f t="shared" si="43"/>
        <v>166</v>
      </c>
      <c r="B168">
        <f>IF(G168="Bonds",COUNTIF($G$3:G168,"Bonds"),0)</f>
        <v>0</v>
      </c>
      <c r="C168" t="str">
        <f t="shared" si="54"/>
        <v>Gerdau4359146148</v>
      </c>
      <c r="D168">
        <f t="shared" si="55"/>
        <v>16</v>
      </c>
      <c r="E168" s="43" t="s">
        <v>227</v>
      </c>
      <c r="F168" s="43" t="s">
        <v>228</v>
      </c>
      <c r="G168" s="43" t="s">
        <v>25</v>
      </c>
      <c r="H168">
        <f t="shared" si="45"/>
        <v>0</v>
      </c>
      <c r="I168" s="43" t="s">
        <v>231</v>
      </c>
      <c r="J168" s="34">
        <f t="shared" si="57"/>
        <v>3</v>
      </c>
      <c r="K168" s="28">
        <v>43591</v>
      </c>
      <c r="L168" s="28">
        <v>46148</v>
      </c>
      <c r="M168" s="60">
        <f t="shared" si="46"/>
        <v>7.0054794520547947</v>
      </c>
      <c r="N168" s="4">
        <f t="shared" si="47"/>
        <v>1</v>
      </c>
      <c r="O168" s="43" t="s">
        <v>44</v>
      </c>
      <c r="P168" t="str">
        <f t="shared" si="50"/>
        <v>0</v>
      </c>
      <c r="Q168" s="44">
        <v>800000</v>
      </c>
      <c r="R168" s="43">
        <v>1000</v>
      </c>
      <c r="S168" s="34" t="str">
        <f>IF($V168="USD",INDEX('Dólar Spot'!$B:$B,MATCH(Base!$K168,'Dólar Spot'!$A:$A,0)),"")</f>
        <v/>
      </c>
      <c r="T168" s="4">
        <f>Q168*R168</f>
        <v>800000000</v>
      </c>
      <c r="U168" s="8">
        <f t="shared" si="51"/>
        <v>8</v>
      </c>
      <c r="V168" s="43" t="s">
        <v>41</v>
      </c>
      <c r="W168" s="45">
        <v>107.25</v>
      </c>
      <c r="X168" s="46"/>
      <c r="Y168" s="9">
        <f>IF(AND(V168="DI",$W168=100),$X168/100,
IF(AND(V168="DI",$W168&lt;&gt;100,$X168=""),INDEX('Debs %CDI'!$Q:$Q,MATCH(Base!$C168,'Debs %CDI'!$A:$A,0)),
IF($V168="USD",INDEX(Bonds!$AF:$AF,MATCH(Base!$C168,Bonds!$B:$B,0)),
IF($V168="IPCA",INDEX('Debs IPCA'!$Z:$Z,MATCH(Base!$C168,'Debs IPCA'!$A:$A,0))))))</f>
        <v>6.433802739494357E-3</v>
      </c>
      <c r="Z168" s="43">
        <v>252</v>
      </c>
      <c r="AA168" s="43" t="s">
        <v>30</v>
      </c>
      <c r="AB168" s="43" t="s">
        <v>32</v>
      </c>
      <c r="AC168">
        <f t="shared" si="48"/>
        <v>0</v>
      </c>
      <c r="AD168" s="43" t="s">
        <v>31</v>
      </c>
      <c r="AE168">
        <f t="shared" si="49"/>
        <v>1</v>
      </c>
      <c r="AF168" s="34" t="str" cm="1">
        <f t="array" ref="AF168">INDEX(Ratings!$B$2:$M$40,_xlfn.XMATCH(Base!F168,Ratings!$A$2:$A$40),_xlfn.XMATCH(YEAR(Base!K168),Ratings!$B$1:$M$1))</f>
        <v>BBB-</v>
      </c>
      <c r="AG168">
        <f t="shared" si="42"/>
        <v>1</v>
      </c>
      <c r="AH168">
        <f>IFERROR(IFERROR(IFERROR(INDEX('EMBI+'!$B:$B,MATCH(Base!$K168,'EMBI+'!$A:$A,0)),INDEX('EMBI+'!$B:$B,MATCH(Base!$K168+1,'EMBI+'!$A:$A,0))),INDEX('EMBI+'!$B:$B,MATCH(Base!$K168+2,'EMBI+'!$A:$A,0))),INDEX('EMBI+'!$B:$B,MATCH(Base!$K168+3,'EMBI+'!$A:$A,0)))/100</f>
        <v>2.5</v>
      </c>
      <c r="AL168" s="43"/>
      <c r="AM168" s="28"/>
      <c r="AN168" s="28"/>
    </row>
    <row r="169" spans="1:40" x14ac:dyDescent="0.35">
      <c r="A169">
        <f t="shared" si="43"/>
        <v>167</v>
      </c>
      <c r="B169">
        <f>IF(G169="Bonds",COUNTIF($G$3:G169,"Bonds"),0)</f>
        <v>52</v>
      </c>
      <c r="C169" t="str">
        <f t="shared" si="54"/>
        <v>Gerdau4303224/10/2027</v>
      </c>
      <c r="D169">
        <f t="shared" si="55"/>
        <v>16</v>
      </c>
      <c r="E169" s="43" t="s">
        <v>232</v>
      </c>
      <c r="F169" s="43" t="s">
        <v>228</v>
      </c>
      <c r="G169" s="43" t="s">
        <v>34</v>
      </c>
      <c r="H169">
        <f t="shared" si="45"/>
        <v>1</v>
      </c>
      <c r="I169" s="43"/>
      <c r="J169" s="34">
        <f t="shared" si="57"/>
        <v>4</v>
      </c>
      <c r="K169" s="28">
        <v>43032</v>
      </c>
      <c r="L169" s="28" t="s">
        <v>233</v>
      </c>
      <c r="M169" s="60">
        <f t="shared" si="46"/>
        <v>10.005479452054795</v>
      </c>
      <c r="N169" s="4">
        <f t="shared" si="47"/>
        <v>1</v>
      </c>
      <c r="O169" s="43" t="s">
        <v>36</v>
      </c>
      <c r="P169" t="str">
        <f t="shared" si="50"/>
        <v>0</v>
      </c>
      <c r="Q169" s="43"/>
      <c r="R169" s="43"/>
      <c r="S169" s="34">
        <f>IF($V169="USD",INDEX('Dólar Spot'!$B:$B,MATCH(Base!$K169,'Dólar Spot'!$A:$A,0)),"")</f>
        <v>3.2464</v>
      </c>
      <c r="T169" s="44">
        <v>650000000</v>
      </c>
      <c r="U169" s="8">
        <f t="shared" si="51"/>
        <v>21.101600000000001</v>
      </c>
      <c r="V169" s="43" t="s">
        <v>651</v>
      </c>
      <c r="W169" s="45" t="s">
        <v>29</v>
      </c>
      <c r="X169" s="53">
        <v>4.875</v>
      </c>
      <c r="Y169" s="9">
        <f>IF(AND(V169="DI",$W169=100),$X169/100,
IF(AND(V169="DI",$W169&lt;&gt;100,$X169=""),INDEX('Debs %CDI'!$Q:$Q,MATCH(Base!$C169,'Debs %CDI'!$A:$A,0)),
IF($V169="USD",INDEX(Bonds!$AF:$AF,MATCH(Base!$C169,Bonds!$B:$B,0)),
IF($V169="IPCA",INDEX('Debs IPCA'!$Z:$Z,MATCH(Base!$C169,'Debs IPCA'!$A:$A,0))))))</f>
        <v>9.4556217395396214E-3</v>
      </c>
      <c r="Z169" s="43">
        <v>360</v>
      </c>
      <c r="AA169" s="43" t="s">
        <v>37</v>
      </c>
      <c r="AB169" s="43" t="s">
        <v>32</v>
      </c>
      <c r="AC169">
        <f t="shared" si="48"/>
        <v>0</v>
      </c>
      <c r="AD169" s="43" t="s">
        <v>32</v>
      </c>
      <c r="AE169">
        <f t="shared" si="49"/>
        <v>0</v>
      </c>
      <c r="AF169" s="34" t="str" cm="1">
        <f t="array" ref="AF169">INDEX(Ratings!$B$2:$M$40,_xlfn.XMATCH(Base!F169,Ratings!$A$2:$A$40),_xlfn.XMATCH(YEAR(Base!K169),Ratings!$B$1:$M$1))</f>
        <v>BBB-</v>
      </c>
      <c r="AG169">
        <f t="shared" si="42"/>
        <v>1</v>
      </c>
      <c r="AH169">
        <f>IFERROR(IFERROR(IFERROR(INDEX('EMBI+'!$B:$B,MATCH(Base!$K169,'EMBI+'!$A:$A,0)),INDEX('EMBI+'!$B:$B,MATCH(Base!$K169+1,'EMBI+'!$A:$A,0))),INDEX('EMBI+'!$B:$B,MATCH(Base!$K169+2,'EMBI+'!$A:$A,0))),INDEX('EMBI+'!$B:$B,MATCH(Base!$K169+3,'EMBI+'!$A:$A,0)))/100</f>
        <v>2.34</v>
      </c>
      <c r="AL169" s="43"/>
      <c r="AM169" s="28"/>
      <c r="AN169" s="28"/>
    </row>
    <row r="170" spans="1:40" x14ac:dyDescent="0.35">
      <c r="A170">
        <f t="shared" si="43"/>
        <v>168</v>
      </c>
      <c r="B170">
        <f>IF(G170="Bonds",COUNTIF($G$3:G170,"Bonds"),0)</f>
        <v>53</v>
      </c>
      <c r="C170" t="str">
        <f t="shared" si="54"/>
        <v>Gerdau4137915/04/2023</v>
      </c>
      <c r="D170">
        <f t="shared" si="55"/>
        <v>16</v>
      </c>
      <c r="E170" s="43" t="s">
        <v>232</v>
      </c>
      <c r="F170" s="43" t="s">
        <v>228</v>
      </c>
      <c r="G170" s="43" t="s">
        <v>34</v>
      </c>
      <c r="H170">
        <f t="shared" si="45"/>
        <v>1</v>
      </c>
      <c r="I170" s="43"/>
      <c r="J170" s="34">
        <f t="shared" si="57"/>
        <v>5</v>
      </c>
      <c r="K170" s="28">
        <v>41379</v>
      </c>
      <c r="L170" s="28" t="s">
        <v>234</v>
      </c>
      <c r="M170" s="60">
        <f t="shared" si="46"/>
        <v>10.005479452054795</v>
      </c>
      <c r="N170" s="4">
        <f t="shared" si="47"/>
        <v>1</v>
      </c>
      <c r="O170" s="43" t="s">
        <v>36</v>
      </c>
      <c r="P170" t="str">
        <f t="shared" si="50"/>
        <v>0</v>
      </c>
      <c r="Q170" s="43"/>
      <c r="R170" s="43"/>
      <c r="S170" s="34">
        <f>IF($V170="USD",INDEX('Dólar Spot'!$B:$B,MATCH(Base!$K170,'Dólar Spot'!$A:$A,0)),"")</f>
        <v>1.9783999999999999</v>
      </c>
      <c r="T170" s="44">
        <v>750000000</v>
      </c>
      <c r="U170" s="8">
        <f t="shared" si="51"/>
        <v>14.837999999999999</v>
      </c>
      <c r="V170" s="43" t="s">
        <v>651</v>
      </c>
      <c r="W170" s="45" t="s">
        <v>29</v>
      </c>
      <c r="X170" s="53">
        <v>4.75</v>
      </c>
      <c r="Y170" s="9">
        <f>IF(AND(V170="DI",$W170=100),$X170/100,
IF(AND(V170="DI",$W170&lt;&gt;100,$X170=""),INDEX('Debs %CDI'!$Q:$Q,MATCH(Base!$C170,'Debs %CDI'!$A:$A,0)),
IF($V170="USD",INDEX(Bonds!$AF:$AF,MATCH(Base!$C170,Bonds!$B:$B,0)),
IF($V170="IPCA",INDEX('Debs IPCA'!$Z:$Z,MATCH(Base!$C170,'Debs IPCA'!$A:$A,0))))))</f>
        <v>1.4423597626045614E-2</v>
      </c>
      <c r="Z170" s="43">
        <v>360</v>
      </c>
      <c r="AA170" s="43" t="s">
        <v>37</v>
      </c>
      <c r="AB170" s="43" t="s">
        <v>32</v>
      </c>
      <c r="AC170">
        <f t="shared" si="48"/>
        <v>0</v>
      </c>
      <c r="AD170" s="43" t="s">
        <v>32</v>
      </c>
      <c r="AE170">
        <f t="shared" si="49"/>
        <v>0</v>
      </c>
      <c r="AF170" s="34" t="str" cm="1">
        <f t="array" ref="AF170">INDEX(Ratings!$B$2:$M$40,_xlfn.XMATCH(Base!F170,Ratings!$A$2:$A$40),_xlfn.XMATCH(YEAR(Base!K170),Ratings!$B$1:$M$1))</f>
        <v>BBB-</v>
      </c>
      <c r="AG170">
        <f t="shared" si="42"/>
        <v>1</v>
      </c>
      <c r="AH170">
        <f>IFERROR(IFERROR(IFERROR(INDEX('EMBI+'!$B:$B,MATCH(Base!$K170,'EMBI+'!$A:$A,0)),INDEX('EMBI+'!$B:$B,MATCH(Base!$K170+1,'EMBI+'!$A:$A,0))),INDEX('EMBI+'!$B:$B,MATCH(Base!$K170+2,'EMBI+'!$A:$A,0))),INDEX('EMBI+'!$B:$B,MATCH(Base!$K170+3,'EMBI+'!$A:$A,0)))/100</f>
        <v>1.74</v>
      </c>
      <c r="AL170" s="43"/>
      <c r="AM170" s="28"/>
      <c r="AN170" s="28"/>
    </row>
    <row r="171" spans="1:40" x14ac:dyDescent="0.35">
      <c r="A171">
        <f t="shared" si="43"/>
        <v>169</v>
      </c>
      <c r="B171">
        <f>IF(G171="Bonds",COUNTIF($G$3:G171,"Bonds"),0)</f>
        <v>54</v>
      </c>
      <c r="C171" t="str">
        <f t="shared" si="54"/>
        <v>Gerdau4174516/04/2044</v>
      </c>
      <c r="D171">
        <f t="shared" si="55"/>
        <v>16</v>
      </c>
      <c r="E171" s="43" t="s">
        <v>235</v>
      </c>
      <c r="F171" s="43" t="s">
        <v>228</v>
      </c>
      <c r="G171" s="43" t="s">
        <v>34</v>
      </c>
      <c r="H171">
        <f t="shared" si="45"/>
        <v>1</v>
      </c>
      <c r="I171" s="43"/>
      <c r="J171" s="34">
        <f t="shared" si="57"/>
        <v>6</v>
      </c>
      <c r="K171" s="28">
        <v>41745</v>
      </c>
      <c r="L171" s="28" t="s">
        <v>236</v>
      </c>
      <c r="M171" s="60">
        <f t="shared" si="46"/>
        <v>30.021917808219179</v>
      </c>
      <c r="N171" s="4">
        <f t="shared" si="47"/>
        <v>1</v>
      </c>
      <c r="O171" s="43" t="s">
        <v>36</v>
      </c>
      <c r="P171" t="str">
        <f t="shared" si="50"/>
        <v>0</v>
      </c>
      <c r="Q171" s="43"/>
      <c r="R171" s="43"/>
      <c r="S171" s="34">
        <f>IF($V171="USD",INDEX('Dólar Spot'!$B:$B,MATCH(Base!$K171,'Dólar Spot'!$A:$A,0)),"")</f>
        <v>2.2336</v>
      </c>
      <c r="T171" s="44">
        <v>500000000</v>
      </c>
      <c r="U171" s="8">
        <f t="shared" si="51"/>
        <v>11.167999999999999</v>
      </c>
      <c r="V171" s="43" t="s">
        <v>651</v>
      </c>
      <c r="W171" s="45" t="s">
        <v>29</v>
      </c>
      <c r="X171" s="53">
        <v>7.25</v>
      </c>
      <c r="Y171" s="9">
        <f>IF(AND(V171="DI",$W171=100),$X171/100,
IF(AND(V171="DI",$W171&lt;&gt;100,$X171=""),INDEX('Debs %CDI'!$Q:$Q,MATCH(Base!$C171,'Debs %CDI'!$A:$A,0)),
IF($V171="USD",INDEX(Bonds!$AF:$AF,MATCH(Base!$C171,Bonds!$B:$B,0)),
IF($V171="IPCA",INDEX('Debs IPCA'!$Z:$Z,MATCH(Base!$C171,'Debs IPCA'!$A:$A,0))))))</f>
        <v>3.5467931354284499E-2</v>
      </c>
      <c r="Z171" s="43">
        <v>360</v>
      </c>
      <c r="AA171" s="43" t="s">
        <v>37</v>
      </c>
      <c r="AB171" s="43" t="s">
        <v>32</v>
      </c>
      <c r="AC171">
        <f t="shared" si="48"/>
        <v>0</v>
      </c>
      <c r="AD171" s="43" t="s">
        <v>31</v>
      </c>
      <c r="AE171">
        <f t="shared" si="49"/>
        <v>1</v>
      </c>
      <c r="AF171" s="34" t="str" cm="1">
        <f t="array" ref="AF171">INDEX(Ratings!$B$2:$M$40,_xlfn.XMATCH(Base!F171,Ratings!$A$2:$A$40),_xlfn.XMATCH(YEAR(Base!K171),Ratings!$B$1:$M$1))</f>
        <v>BBB-</v>
      </c>
      <c r="AG171">
        <f t="shared" si="42"/>
        <v>1</v>
      </c>
      <c r="AH171">
        <f>IFERROR(IFERROR(IFERROR(INDEX('EMBI+'!$B:$B,MATCH(Base!$K171,'EMBI+'!$A:$A,0)),INDEX('EMBI+'!$B:$B,MATCH(Base!$K171+1,'EMBI+'!$A:$A,0))),INDEX('EMBI+'!$B:$B,MATCH(Base!$K171+2,'EMBI+'!$A:$A,0))),INDEX('EMBI+'!$B:$B,MATCH(Base!$K171+3,'EMBI+'!$A:$A,0)))/100</f>
        <v>2.21</v>
      </c>
      <c r="AL171" s="43"/>
      <c r="AM171" s="28"/>
      <c r="AN171" s="28"/>
    </row>
    <row r="172" spans="1:40" x14ac:dyDescent="0.35">
      <c r="A172">
        <f t="shared" si="43"/>
        <v>170</v>
      </c>
      <c r="B172">
        <f>IF(G172="Bonds",COUNTIF($G$3:G172,"Bonds"),0)</f>
        <v>55</v>
      </c>
      <c r="C172" t="str">
        <f t="shared" si="54"/>
        <v>Gerdau4176829/04/2024</v>
      </c>
      <c r="D172">
        <f t="shared" si="55"/>
        <v>16</v>
      </c>
      <c r="E172" s="43" t="s">
        <v>235</v>
      </c>
      <c r="F172" s="43" t="s">
        <v>228</v>
      </c>
      <c r="G172" s="43" t="s">
        <v>34</v>
      </c>
      <c r="H172">
        <f t="shared" si="45"/>
        <v>1</v>
      </c>
      <c r="I172" s="43"/>
      <c r="J172" s="34">
        <f t="shared" si="57"/>
        <v>7</v>
      </c>
      <c r="K172" s="28">
        <v>41768</v>
      </c>
      <c r="L172" s="28" t="s">
        <v>237</v>
      </c>
      <c r="M172" s="60">
        <f t="shared" si="46"/>
        <v>9.9808219178082194</v>
      </c>
      <c r="N172" s="4">
        <f t="shared" si="47"/>
        <v>1</v>
      </c>
      <c r="O172" s="43" t="s">
        <v>36</v>
      </c>
      <c r="P172" t="str">
        <f t="shared" si="50"/>
        <v>0</v>
      </c>
      <c r="Q172" s="43"/>
      <c r="R172" s="43"/>
      <c r="S172" s="34">
        <f>IF($V172="USD",INDEX('Dólar Spot'!$B:$B,MATCH(Base!$K172,'Dólar Spot'!$A:$A,0)),"")</f>
        <v>2.2185999999999999</v>
      </c>
      <c r="T172" s="44">
        <v>600000000</v>
      </c>
      <c r="U172" s="8">
        <f t="shared" si="51"/>
        <v>13.3116</v>
      </c>
      <c r="V172" s="43" t="s">
        <v>651</v>
      </c>
      <c r="W172" s="45" t="s">
        <v>29</v>
      </c>
      <c r="X172" s="53">
        <v>5.8929999999999998</v>
      </c>
      <c r="Y172" s="9">
        <f>IF(AND(V172="DI",$W172=100),$X172/100,
IF(AND(V172="DI",$W172&lt;&gt;100,$X172=""),INDEX('Debs %CDI'!$Q:$Q,MATCH(Base!$C172,'Debs %CDI'!$A:$A,0)),
IF($V172="USD",INDEX(Bonds!$AF:$AF,MATCH(Base!$C172,Bonds!$B:$B,0)),
IF($V172="IPCA",INDEX('Debs IPCA'!$Z:$Z,MATCH(Base!$C172,'Debs IPCA'!$A:$A,0))))))</f>
        <v>1.4190824862453599E-2</v>
      </c>
      <c r="Z172" s="43">
        <v>360</v>
      </c>
      <c r="AA172" s="43" t="s">
        <v>37</v>
      </c>
      <c r="AB172" s="43" t="s">
        <v>32</v>
      </c>
      <c r="AC172">
        <f t="shared" si="48"/>
        <v>0</v>
      </c>
      <c r="AD172" s="43" t="s">
        <v>31</v>
      </c>
      <c r="AE172">
        <f t="shared" si="49"/>
        <v>1</v>
      </c>
      <c r="AF172" s="34" t="str" cm="1">
        <f t="array" ref="AF172">INDEX(Ratings!$B$2:$M$40,_xlfn.XMATCH(Base!F172,Ratings!$A$2:$A$40),_xlfn.XMATCH(YEAR(Base!K172),Ratings!$B$1:$M$1))</f>
        <v>BBB-</v>
      </c>
      <c r="AG172">
        <f t="shared" si="42"/>
        <v>1</v>
      </c>
      <c r="AH172">
        <f>IFERROR(IFERROR(IFERROR(INDEX('EMBI+'!$B:$B,MATCH(Base!$K172,'EMBI+'!$A:$A,0)),INDEX('EMBI+'!$B:$B,MATCH(Base!$K172+1,'EMBI+'!$A:$A,0))),INDEX('EMBI+'!$B:$B,MATCH(Base!$K172+2,'EMBI+'!$A:$A,0))),INDEX('EMBI+'!$B:$B,MATCH(Base!$K172+3,'EMBI+'!$A:$A,0)))/100</f>
        <v>2.0499999999999998</v>
      </c>
      <c r="AL172" s="43"/>
      <c r="AM172" s="28"/>
      <c r="AN172" s="28"/>
    </row>
    <row r="173" spans="1:40" x14ac:dyDescent="0.35">
      <c r="A173">
        <f t="shared" si="43"/>
        <v>171</v>
      </c>
      <c r="B173">
        <f>IF(G173="Bonds",COUNTIF($G$3:G173,"Bonds"),0)</f>
        <v>56</v>
      </c>
      <c r="C173" t="str">
        <f t="shared" si="54"/>
        <v>Gerdau4175829/04/2024</v>
      </c>
      <c r="D173">
        <f t="shared" si="55"/>
        <v>16</v>
      </c>
      <c r="E173" s="43" t="s">
        <v>238</v>
      </c>
      <c r="F173" s="43" t="s">
        <v>228</v>
      </c>
      <c r="G173" s="43" t="s">
        <v>34</v>
      </c>
      <c r="H173">
        <f t="shared" si="45"/>
        <v>1</v>
      </c>
      <c r="I173" s="43"/>
      <c r="J173" s="34">
        <f t="shared" si="57"/>
        <v>8</v>
      </c>
      <c r="K173" s="28">
        <v>41758</v>
      </c>
      <c r="L173" s="28" t="s">
        <v>237</v>
      </c>
      <c r="M173" s="60">
        <f t="shared" si="46"/>
        <v>10.008219178082191</v>
      </c>
      <c r="N173" s="4">
        <f t="shared" si="47"/>
        <v>1</v>
      </c>
      <c r="O173" s="43" t="s">
        <v>36</v>
      </c>
      <c r="P173" t="str">
        <f t="shared" si="50"/>
        <v>0</v>
      </c>
      <c r="Q173" s="43"/>
      <c r="R173" s="43"/>
      <c r="S173" s="34">
        <f>IF($V173="USD",INDEX('Dólar Spot'!$B:$B,MATCH(Base!$K173,'Dólar Spot'!$A:$A,0)),"")</f>
        <v>2.2193000000000001</v>
      </c>
      <c r="T173" s="44">
        <v>600000000</v>
      </c>
      <c r="U173" s="8">
        <f t="shared" si="51"/>
        <v>13.315799999999999</v>
      </c>
      <c r="V173" s="43" t="s">
        <v>651</v>
      </c>
      <c r="W173" s="45" t="s">
        <v>29</v>
      </c>
      <c r="X173" s="53">
        <v>5.8929999999999998</v>
      </c>
      <c r="Y173" s="9">
        <f>IF(AND(V173="DI",$W173=100),$X173/100,
IF(AND(V173="DI",$W173&lt;&gt;100,$X173=""),INDEX('Debs %CDI'!$Q:$Q,MATCH(Base!$C173,'Debs %CDI'!$A:$A,0)),
IF($V173="USD",INDEX(Bonds!$AF:$AF,MATCH(Base!$C173,Bonds!$B:$B,0)),
IF($V173="IPCA",INDEX('Debs IPCA'!$Z:$Z,MATCH(Base!$C173,'Debs IPCA'!$A:$A,0))))))</f>
        <v>1.2443403559372346E-2</v>
      </c>
      <c r="Z173" s="43">
        <v>360</v>
      </c>
      <c r="AA173" s="43" t="s">
        <v>37</v>
      </c>
      <c r="AB173" s="43" t="s">
        <v>32</v>
      </c>
      <c r="AC173">
        <f t="shared" si="48"/>
        <v>0</v>
      </c>
      <c r="AD173" s="43" t="s">
        <v>31</v>
      </c>
      <c r="AE173">
        <f t="shared" si="49"/>
        <v>1</v>
      </c>
      <c r="AF173" s="34" t="str" cm="1">
        <f t="array" ref="AF173">INDEX(Ratings!$B$2:$M$40,_xlfn.XMATCH(Base!F173,Ratings!$A$2:$A$40),_xlfn.XMATCH(YEAR(Base!K173),Ratings!$B$1:$M$1))</f>
        <v>BBB-</v>
      </c>
      <c r="AG173">
        <f t="shared" si="42"/>
        <v>1</v>
      </c>
      <c r="AH173">
        <f>IFERROR(IFERROR(IFERROR(INDEX('EMBI+'!$B:$B,MATCH(Base!$K173,'EMBI+'!$A:$A,0)),INDEX('EMBI+'!$B:$B,MATCH(Base!$K173+1,'EMBI+'!$A:$A,0))),INDEX('EMBI+'!$B:$B,MATCH(Base!$K173+2,'EMBI+'!$A:$A,0))),INDEX('EMBI+'!$B:$B,MATCH(Base!$K173+3,'EMBI+'!$A:$A,0)))/100</f>
        <v>2.14</v>
      </c>
      <c r="AL173" s="43"/>
      <c r="AM173" s="28"/>
      <c r="AN173" s="28"/>
    </row>
    <row r="174" spans="1:40" x14ac:dyDescent="0.35">
      <c r="A174">
        <f t="shared" si="43"/>
        <v>172</v>
      </c>
      <c r="B174">
        <f>IF(G174="Bonds",COUNTIF($G$3:G174,"Bonds"),0)</f>
        <v>57</v>
      </c>
      <c r="C174" t="str">
        <f t="shared" si="54"/>
        <v>Gerdau4379021/01/2030</v>
      </c>
      <c r="D174">
        <f t="shared" si="55"/>
        <v>16</v>
      </c>
      <c r="E174" s="43" t="s">
        <v>239</v>
      </c>
      <c r="F174" s="43" t="s">
        <v>228</v>
      </c>
      <c r="G174" s="43" t="s">
        <v>34</v>
      </c>
      <c r="H174">
        <f t="shared" si="45"/>
        <v>1</v>
      </c>
      <c r="I174" s="43"/>
      <c r="J174" s="34">
        <f t="shared" si="57"/>
        <v>9</v>
      </c>
      <c r="K174" s="28">
        <v>43790</v>
      </c>
      <c r="L174" s="28" t="s">
        <v>240</v>
      </c>
      <c r="M174" s="60">
        <f t="shared" si="46"/>
        <v>10.175342465753424</v>
      </c>
      <c r="N174" s="4">
        <f t="shared" si="47"/>
        <v>1</v>
      </c>
      <c r="O174" s="43" t="s">
        <v>36</v>
      </c>
      <c r="P174" t="str">
        <f t="shared" si="50"/>
        <v>0</v>
      </c>
      <c r="Q174" s="43"/>
      <c r="R174" s="43"/>
      <c r="S174" s="34">
        <f>IF($V174="USD",INDEX('Dólar Spot'!$B:$B,MATCH(Base!$K174,'Dólar Spot'!$A:$A,0)),"")</f>
        <v>4.2005999999999997</v>
      </c>
      <c r="T174" s="44">
        <v>500000000</v>
      </c>
      <c r="U174" s="8">
        <f t="shared" si="51"/>
        <v>21.002999999999997</v>
      </c>
      <c r="V174" s="43" t="s">
        <v>651</v>
      </c>
      <c r="W174" s="45" t="s">
        <v>29</v>
      </c>
      <c r="X174" s="53">
        <v>4.25</v>
      </c>
      <c r="Y174" s="9">
        <f>IF(AND(V174="DI",$W174=100),$X174/100,
IF(AND(V174="DI",$W174&lt;&gt;100,$X174=""),INDEX('Debs %CDI'!$Q:$Q,MATCH(Base!$C174,'Debs %CDI'!$A:$A,0)),
IF($V174="USD",INDEX(Bonds!$AF:$AF,MATCH(Base!$C174,Bonds!$B:$B,0)),
IF($V174="IPCA",INDEX('Debs IPCA'!$Z:$Z,MATCH(Base!$C174,'Debs IPCA'!$A:$A,0))))))</f>
        <v>1.2190923266410802E-2</v>
      </c>
      <c r="Z174" s="43">
        <v>360</v>
      </c>
      <c r="AA174" s="43" t="s">
        <v>37</v>
      </c>
      <c r="AB174" s="43" t="s">
        <v>32</v>
      </c>
      <c r="AC174">
        <f t="shared" si="48"/>
        <v>0</v>
      </c>
      <c r="AD174" s="43" t="s">
        <v>31</v>
      </c>
      <c r="AE174">
        <f t="shared" si="49"/>
        <v>1</v>
      </c>
      <c r="AF174" s="34" t="str" cm="1">
        <f t="array" ref="AF174">INDEX(Ratings!$B$2:$M$40,_xlfn.XMATCH(Base!F174,Ratings!$A$2:$A$40),_xlfn.XMATCH(YEAR(Base!K174),Ratings!$B$1:$M$1))</f>
        <v>BBB-</v>
      </c>
      <c r="AG174">
        <f t="shared" si="42"/>
        <v>1</v>
      </c>
      <c r="AH174">
        <f>IFERROR(IFERROR(IFERROR(INDEX('EMBI+'!$B:$B,MATCH(Base!$K174,'EMBI+'!$A:$A,0)),INDEX('EMBI+'!$B:$B,MATCH(Base!$K174+1,'EMBI+'!$A:$A,0))),INDEX('EMBI+'!$B:$B,MATCH(Base!$K174+2,'EMBI+'!$A:$A,0))),INDEX('EMBI+'!$B:$B,MATCH(Base!$K174+3,'EMBI+'!$A:$A,0)))/100</f>
        <v>2.4500000000000002</v>
      </c>
      <c r="AL174" s="43"/>
      <c r="AM174" s="28"/>
      <c r="AN174" s="28"/>
    </row>
    <row r="175" spans="1:40" x14ac:dyDescent="0.35">
      <c r="A175">
        <f t="shared" si="43"/>
        <v>173</v>
      </c>
      <c r="B175">
        <f>IF(G175="Bonds",COUNTIF($G$3:G175,"Bonds"),0)</f>
        <v>0</v>
      </c>
      <c r="C175" t="str">
        <f t="shared" si="54"/>
        <v>Gol Linhas Aéreas4070442896</v>
      </c>
      <c r="D175">
        <f t="shared" si="55"/>
        <v>17</v>
      </c>
      <c r="E175" s="43" t="s">
        <v>241</v>
      </c>
      <c r="F175" s="43" t="s">
        <v>242</v>
      </c>
      <c r="G175" s="43" t="s">
        <v>25</v>
      </c>
      <c r="H175">
        <f t="shared" si="45"/>
        <v>0</v>
      </c>
      <c r="I175" s="43" t="s">
        <v>243</v>
      </c>
      <c r="J175" s="34">
        <f t="shared" si="57"/>
        <v>1</v>
      </c>
      <c r="K175" s="28">
        <v>40704</v>
      </c>
      <c r="L175" s="28">
        <v>42896</v>
      </c>
      <c r="M175" s="60">
        <f t="shared" si="46"/>
        <v>6.0054794520547947</v>
      </c>
      <c r="N175" s="4">
        <f t="shared" si="47"/>
        <v>1</v>
      </c>
      <c r="O175" s="43" t="s">
        <v>44</v>
      </c>
      <c r="P175" t="str">
        <f t="shared" si="50"/>
        <v>0</v>
      </c>
      <c r="Q175" s="44">
        <v>500</v>
      </c>
      <c r="R175" s="43">
        <v>1000000</v>
      </c>
      <c r="S175" s="34" t="str">
        <f>IF($V175="USD",INDEX('Dólar Spot'!$B:$B,MATCH(Base!$K175,'Dólar Spot'!$A:$A,0)),"")</f>
        <v/>
      </c>
      <c r="T175" s="4">
        <f>Q175*R175</f>
        <v>500000000</v>
      </c>
      <c r="U175" s="8">
        <f t="shared" si="51"/>
        <v>5</v>
      </c>
      <c r="V175" s="43" t="s">
        <v>41</v>
      </c>
      <c r="W175" s="45">
        <v>128</v>
      </c>
      <c r="X175" s="46"/>
      <c r="Y175" s="9">
        <f>IF(AND(V175="DI",$W175=100),$X175/100,
IF(AND(V175="DI",$W175&lt;&gt;100,$X175=""),INDEX('Debs %CDI'!$Q:$Q,MATCH(Base!$C175,'Debs %CDI'!$A:$A,0)),
IF($V175="USD",INDEX(Bonds!$AF:$AF,MATCH(Base!$C175,Bonds!$B:$B,0)),
IF($V175="IPCA",INDEX('Debs IPCA'!$Z:$Z,MATCH(Base!$C175,'Debs IPCA'!$A:$A,0))))))</f>
        <v>3.3896976234699429E-2</v>
      </c>
      <c r="Z175" s="43">
        <v>252</v>
      </c>
      <c r="AA175" s="43" t="s">
        <v>30</v>
      </c>
      <c r="AB175" s="43" t="s">
        <v>32</v>
      </c>
      <c r="AC175">
        <f t="shared" si="48"/>
        <v>0</v>
      </c>
      <c r="AD175" s="43" t="s">
        <v>31</v>
      </c>
      <c r="AE175">
        <f t="shared" si="49"/>
        <v>1</v>
      </c>
      <c r="AF175" s="34" t="str" cm="1">
        <f t="array" ref="AF175">INDEX(Ratings!$B$2:$M$40,_xlfn.XMATCH(Base!F175,Ratings!$A$2:$A$40),_xlfn.XMATCH(YEAR(Base!K175),Ratings!$B$1:$M$1))</f>
        <v>BB-</v>
      </c>
      <c r="AG175">
        <f t="shared" si="42"/>
        <v>0</v>
      </c>
      <c r="AH175">
        <f>IFERROR(IFERROR(IFERROR(INDEX('EMBI+'!$B:$B,MATCH(Base!$K175,'EMBI+'!$A:$A,0)),INDEX('EMBI+'!$B:$B,MATCH(Base!$K175+1,'EMBI+'!$A:$A,0))),INDEX('EMBI+'!$B:$B,MATCH(Base!$K175+2,'EMBI+'!$A:$A,0))),INDEX('EMBI+'!$B:$B,MATCH(Base!$K175+3,'EMBI+'!$A:$A,0)))/100</f>
        <v>1.77</v>
      </c>
      <c r="AL175" s="43"/>
      <c r="AM175" s="28"/>
      <c r="AN175" s="28"/>
    </row>
    <row r="176" spans="1:40" x14ac:dyDescent="0.35">
      <c r="A176">
        <f t="shared" si="43"/>
        <v>174</v>
      </c>
      <c r="B176">
        <f>IF(G176="Bonds",COUNTIF($G$3:G176,"Bonds"),0)</f>
        <v>0</v>
      </c>
      <c r="C176" t="str">
        <f t="shared" si="54"/>
        <v>Gol Linhas Aéreas4227643737</v>
      </c>
      <c r="D176">
        <f t="shared" si="55"/>
        <v>17</v>
      </c>
      <c r="E176" s="43" t="s">
        <v>241</v>
      </c>
      <c r="F176" s="43" t="s">
        <v>242</v>
      </c>
      <c r="G176" s="43" t="s">
        <v>25</v>
      </c>
      <c r="H176">
        <f t="shared" si="45"/>
        <v>0</v>
      </c>
      <c r="I176" s="43" t="s">
        <v>244</v>
      </c>
      <c r="J176" s="34">
        <f t="shared" si="57"/>
        <v>2</v>
      </c>
      <c r="K176" s="28">
        <v>42276</v>
      </c>
      <c r="L176" s="28">
        <v>43737</v>
      </c>
      <c r="M176" s="60">
        <f t="shared" si="46"/>
        <v>4.0027397260273974</v>
      </c>
      <c r="N176" s="4">
        <f t="shared" si="47"/>
        <v>0</v>
      </c>
      <c r="O176" s="43" t="s">
        <v>44</v>
      </c>
      <c r="P176" t="str">
        <f t="shared" si="50"/>
        <v>0</v>
      </c>
      <c r="Q176" s="44">
        <v>105000</v>
      </c>
      <c r="R176" s="43">
        <v>10000</v>
      </c>
      <c r="S176" s="34" t="str">
        <f>IF($V176="USD",INDEX('Dólar Spot'!$B:$B,MATCH(Base!$K176,'Dólar Spot'!$A:$A,0)),"")</f>
        <v/>
      </c>
      <c r="T176" s="4">
        <f>Q176*R176</f>
        <v>1050000000</v>
      </c>
      <c r="U176" s="8">
        <f t="shared" si="51"/>
        <v>10.5</v>
      </c>
      <c r="V176" s="43" t="s">
        <v>41</v>
      </c>
      <c r="W176" s="45">
        <v>132</v>
      </c>
      <c r="X176" s="46"/>
      <c r="Y176" s="9">
        <f>IF(AND(V176="DI",$W176=100),$X176/100,
IF(AND(V176="DI",$W176&lt;&gt;100,$X176=""),INDEX('Debs %CDI'!$Q:$Q,MATCH(Base!$C176,'Debs %CDI'!$A:$A,0)),
IF($V176="USD",INDEX(Bonds!$AF:$AF,MATCH(Base!$C176,Bonds!$B:$B,0)),
IF($V176="IPCA",INDEX('Debs IPCA'!$Z:$Z,MATCH(Base!$C176,'Debs IPCA'!$A:$A,0))))))</f>
        <v>5.1819030804687721E-2</v>
      </c>
      <c r="Z176" s="43">
        <v>252</v>
      </c>
      <c r="AA176" s="43" t="s">
        <v>30</v>
      </c>
      <c r="AB176" s="43" t="s">
        <v>32</v>
      </c>
      <c r="AC176">
        <f t="shared" si="48"/>
        <v>0</v>
      </c>
      <c r="AD176" s="43" t="s">
        <v>31</v>
      </c>
      <c r="AE176">
        <f t="shared" si="49"/>
        <v>1</v>
      </c>
      <c r="AF176" s="34" t="str" cm="1">
        <f t="array" ref="AF176">INDEX(Ratings!$B$2:$M$40,_xlfn.XMATCH(Base!F176,Ratings!$A$2:$A$40),_xlfn.XMATCH(YEAR(Base!K176),Ratings!$B$1:$M$1))</f>
        <v>B-</v>
      </c>
      <c r="AG176">
        <f t="shared" si="42"/>
        <v>0</v>
      </c>
      <c r="AH176">
        <f>IFERROR(IFERROR(IFERROR(INDEX('EMBI+'!$B:$B,MATCH(Base!$K176,'EMBI+'!$A:$A,0)),INDEX('EMBI+'!$B:$B,MATCH(Base!$K176+1,'EMBI+'!$A:$A,0))),INDEX('EMBI+'!$B:$B,MATCH(Base!$K176+2,'EMBI+'!$A:$A,0))),INDEX('EMBI+'!$B:$B,MATCH(Base!$K176+3,'EMBI+'!$A:$A,0)))/100</f>
        <v>4.8499999999999996</v>
      </c>
      <c r="AL176" s="43"/>
      <c r="AM176" s="28"/>
      <c r="AN176" s="28"/>
    </row>
    <row r="177" spans="1:40" x14ac:dyDescent="0.35">
      <c r="A177">
        <f t="shared" si="43"/>
        <v>175</v>
      </c>
      <c r="B177">
        <f>IF(G177="Bonds",COUNTIF($G$3:G177,"Bonds"),0)</f>
        <v>0</v>
      </c>
      <c r="C177" t="str">
        <f t="shared" si="54"/>
        <v>Gol Linhas Aéreas4340145592</v>
      </c>
      <c r="D177">
        <f t="shared" si="55"/>
        <v>17</v>
      </c>
      <c r="E177" s="43" t="s">
        <v>241</v>
      </c>
      <c r="F177" s="43" t="s">
        <v>242</v>
      </c>
      <c r="G177" s="43" t="s">
        <v>25</v>
      </c>
      <c r="H177">
        <f t="shared" si="45"/>
        <v>0</v>
      </c>
      <c r="I177" s="43" t="s">
        <v>245</v>
      </c>
      <c r="J177" s="34">
        <f t="shared" si="57"/>
        <v>3</v>
      </c>
      <c r="K177" s="28">
        <v>43401</v>
      </c>
      <c r="L177" s="28">
        <v>45592</v>
      </c>
      <c r="M177" s="60">
        <f t="shared" si="46"/>
        <v>6.0027397260273974</v>
      </c>
      <c r="N177" s="4">
        <f t="shared" si="47"/>
        <v>1</v>
      </c>
      <c r="O177" s="43" t="s">
        <v>44</v>
      </c>
      <c r="P177" t="str">
        <f t="shared" si="50"/>
        <v>0</v>
      </c>
      <c r="Q177" s="44">
        <v>22187</v>
      </c>
      <c r="R177" s="43">
        <v>10000</v>
      </c>
      <c r="S177" s="34" t="str">
        <f>IF($V177="USD",INDEX('Dólar Spot'!$B:$B,MATCH(Base!$K177,'Dólar Spot'!$A:$A,0)),"")</f>
        <v/>
      </c>
      <c r="T177" s="4">
        <f>Q177*R177</f>
        <v>221870000</v>
      </c>
      <c r="U177" s="8">
        <f t="shared" si="51"/>
        <v>2.2187000000000001</v>
      </c>
      <c r="V177" s="43" t="s">
        <v>41</v>
      </c>
      <c r="W177" s="45">
        <v>100</v>
      </c>
      <c r="X177" s="46">
        <v>4.5</v>
      </c>
      <c r="Y177" s="9">
        <f>IF(AND(V177="DI",$W177=100),$X177/100,
IF(AND(V177="DI",$W177&lt;&gt;100,$X177=""),INDEX('Debs %CDI'!$Q:$Q,MATCH(Base!$C177,'Debs %CDI'!$A:$A,0)),
IF($V177="USD",INDEX(Bonds!$AF:$AF,MATCH(Base!$C177,Bonds!$B:$B,0)),
IF($V177="IPCA",INDEX('Debs IPCA'!$Z:$Z,MATCH(Base!$C177,'Debs IPCA'!$A:$A,0))))))</f>
        <v>4.4999999999999998E-2</v>
      </c>
      <c r="Z177" s="43">
        <v>252</v>
      </c>
      <c r="AA177" s="43" t="s">
        <v>30</v>
      </c>
      <c r="AB177" s="43" t="s">
        <v>32</v>
      </c>
      <c r="AC177">
        <f t="shared" si="48"/>
        <v>0</v>
      </c>
      <c r="AD177" s="43" t="s">
        <v>31</v>
      </c>
      <c r="AE177">
        <f t="shared" si="49"/>
        <v>1</v>
      </c>
      <c r="AF177" s="34" t="str" cm="1">
        <f t="array" ref="AF177">INDEX(Ratings!$B$2:$M$40,_xlfn.XMATCH(Base!F177,Ratings!$A$2:$A$40),_xlfn.XMATCH(YEAR(Base!K177),Ratings!$B$1:$M$1))</f>
        <v>B</v>
      </c>
      <c r="AG177">
        <f t="shared" si="42"/>
        <v>0</v>
      </c>
      <c r="AH177">
        <f>IFERROR(IFERROR(IFERROR(INDEX('EMBI+'!$B:$B,MATCH(Base!$K177,'EMBI+'!$A:$A,0)),INDEX('EMBI+'!$B:$B,MATCH(Base!$K177+1,'EMBI+'!$A:$A,0))),INDEX('EMBI+'!$B:$B,MATCH(Base!$K177+2,'EMBI+'!$A:$A,0))),INDEX('EMBI+'!$B:$B,MATCH(Base!$K177+3,'EMBI+'!$A:$A,0)))/100</f>
        <v>2.67</v>
      </c>
      <c r="AL177" s="43"/>
      <c r="AM177" s="28"/>
      <c r="AN177" s="28"/>
    </row>
    <row r="178" spans="1:40" x14ac:dyDescent="0.35">
      <c r="A178">
        <f t="shared" si="43"/>
        <v>176</v>
      </c>
      <c r="B178">
        <f>IF(G178="Bonds",COUNTIF($G$3:G178,"Bonds"),0)</f>
        <v>0</v>
      </c>
      <c r="C178" t="str">
        <f t="shared" si="54"/>
        <v>Gol Linhas Aéreas4449645592</v>
      </c>
      <c r="D178">
        <f t="shared" si="55"/>
        <v>17</v>
      </c>
      <c r="E178" s="43" t="s">
        <v>241</v>
      </c>
      <c r="F178" s="43" t="s">
        <v>242</v>
      </c>
      <c r="G178" s="43" t="s">
        <v>25</v>
      </c>
      <c r="H178">
        <f t="shared" si="45"/>
        <v>0</v>
      </c>
      <c r="I178" s="43" t="s">
        <v>246</v>
      </c>
      <c r="J178" s="34">
        <f t="shared" si="57"/>
        <v>4</v>
      </c>
      <c r="K178" s="28">
        <v>44496</v>
      </c>
      <c r="L178" s="28">
        <v>45592</v>
      </c>
      <c r="M178" s="60">
        <f t="shared" si="46"/>
        <v>3.0027397260273974</v>
      </c>
      <c r="N178" s="4">
        <f t="shared" si="47"/>
        <v>0</v>
      </c>
      <c r="O178" s="43" t="s">
        <v>44</v>
      </c>
      <c r="P178" t="str">
        <f t="shared" si="50"/>
        <v>0</v>
      </c>
      <c r="Q178" s="44">
        <v>610217</v>
      </c>
      <c r="R178" s="43">
        <v>1000</v>
      </c>
      <c r="S178" s="34" t="str">
        <f>IF($V178="USD",INDEX('Dólar Spot'!$B:$B,MATCH(Base!$K178,'Dólar Spot'!$A:$A,0)),"")</f>
        <v/>
      </c>
      <c r="T178" s="4">
        <f>Q178*R178</f>
        <v>610217000</v>
      </c>
      <c r="U178" s="8">
        <f t="shared" si="51"/>
        <v>6.1021700000000001</v>
      </c>
      <c r="V178" s="43" t="s">
        <v>41</v>
      </c>
      <c r="W178" s="45">
        <v>100</v>
      </c>
      <c r="X178" s="46">
        <v>4.5</v>
      </c>
      <c r="Y178" s="9">
        <f>IF(AND(V178="DI",$W178=100),$X178/100,
IF(AND(V178="DI",$W178&lt;&gt;100,$X178=""),INDEX('Debs %CDI'!$Q:$Q,MATCH(Base!$C178,'Debs %CDI'!$A:$A,0)),
IF($V178="USD",INDEX(Bonds!$AF:$AF,MATCH(Base!$C178,Bonds!$B:$B,0)),
IF($V178="IPCA",INDEX('Debs IPCA'!$Z:$Z,MATCH(Base!$C178,'Debs IPCA'!$A:$A,0))))))</f>
        <v>4.4999999999999998E-2</v>
      </c>
      <c r="Z178" s="43">
        <v>252</v>
      </c>
      <c r="AA178" s="43" t="s">
        <v>30</v>
      </c>
      <c r="AB178" s="43" t="s">
        <v>32</v>
      </c>
      <c r="AC178">
        <f t="shared" si="48"/>
        <v>0</v>
      </c>
      <c r="AD178" s="43" t="s">
        <v>31</v>
      </c>
      <c r="AE178">
        <f t="shared" si="49"/>
        <v>1</v>
      </c>
      <c r="AF178" s="34" t="str" cm="1">
        <f t="array" ref="AF178">INDEX(Ratings!$B$2:$M$40,_xlfn.XMATCH(Base!F178,Ratings!$A$2:$A$40),_xlfn.XMATCH(YEAR(Base!K178),Ratings!$B$1:$M$1))</f>
        <v>CCC+</v>
      </c>
      <c r="AG178">
        <f t="shared" si="42"/>
        <v>0</v>
      </c>
      <c r="AH178">
        <f>IFERROR(IFERROR(IFERROR(INDEX('EMBI+'!$B:$B,MATCH(Base!$K178,'EMBI+'!$A:$A,0)),INDEX('EMBI+'!$B:$B,MATCH(Base!$K178+1,'EMBI+'!$A:$A,0))),INDEX('EMBI+'!$B:$B,MATCH(Base!$K178+2,'EMBI+'!$A:$A,0))),INDEX('EMBI+'!$B:$B,MATCH(Base!$K178+3,'EMBI+'!$A:$A,0)))/100</f>
        <v>3.46</v>
      </c>
      <c r="AL178" s="43"/>
      <c r="AM178" s="28"/>
      <c r="AN178" s="28"/>
    </row>
    <row r="179" spans="1:40" x14ac:dyDescent="0.35">
      <c r="A179">
        <f t="shared" si="43"/>
        <v>177</v>
      </c>
      <c r="B179">
        <f>IF(G179="Bonds",COUNTIF($G$3:G179,"Bonds"),0)</f>
        <v>0</v>
      </c>
      <c r="C179" t="str">
        <f t="shared" si="54"/>
        <v>Gol Linhas Aéreas4340145592</v>
      </c>
      <c r="D179">
        <f t="shared" si="55"/>
        <v>17</v>
      </c>
      <c r="E179" s="43" t="s">
        <v>241</v>
      </c>
      <c r="F179" s="43" t="s">
        <v>242</v>
      </c>
      <c r="G179" s="43" t="s">
        <v>25</v>
      </c>
      <c r="H179">
        <f t="shared" si="45"/>
        <v>0</v>
      </c>
      <c r="I179" s="43" t="s">
        <v>247</v>
      </c>
      <c r="J179" s="34">
        <f t="shared" si="57"/>
        <v>5</v>
      </c>
      <c r="K179" s="28">
        <v>43401</v>
      </c>
      <c r="L179" s="28">
        <v>45592</v>
      </c>
      <c r="M179" s="60">
        <f t="shared" si="46"/>
        <v>6.0027397260273974</v>
      </c>
      <c r="N179" s="4">
        <f t="shared" si="47"/>
        <v>1</v>
      </c>
      <c r="O179" s="43" t="s">
        <v>44</v>
      </c>
      <c r="P179" t="str">
        <f t="shared" si="50"/>
        <v>0</v>
      </c>
      <c r="Q179" s="44">
        <v>22188</v>
      </c>
      <c r="R179" s="43">
        <v>10000</v>
      </c>
      <c r="S179" s="34" t="str">
        <f>IF($V179="USD",INDEX('Dólar Spot'!$B:$B,MATCH(Base!$K179,'Dólar Spot'!$A:$A,0)),"")</f>
        <v/>
      </c>
      <c r="T179" s="4">
        <f>Q179*R179</f>
        <v>221880000</v>
      </c>
      <c r="U179" s="8">
        <f t="shared" si="51"/>
        <v>2.2187999999999999</v>
      </c>
      <c r="V179" s="43" t="s">
        <v>41</v>
      </c>
      <c r="W179" s="45">
        <v>100</v>
      </c>
      <c r="X179" s="46">
        <v>4.5</v>
      </c>
      <c r="Y179" s="9">
        <f>IF(AND(V179="DI",$W179=100),$X179/100,
IF(AND(V179="DI",$W179&lt;&gt;100,$X179=""),INDEX('Debs %CDI'!$Q:$Q,MATCH(Base!$C179,'Debs %CDI'!$A:$A,0)),
IF($V179="USD",INDEX(Bonds!$AF:$AF,MATCH(Base!$C179,Bonds!$B:$B,0)),
IF($V179="IPCA",INDEX('Debs IPCA'!$Z:$Z,MATCH(Base!$C179,'Debs IPCA'!$A:$A,0))))))</f>
        <v>4.4999999999999998E-2</v>
      </c>
      <c r="Z179" s="43">
        <v>252</v>
      </c>
      <c r="AA179" s="43" t="s">
        <v>30</v>
      </c>
      <c r="AB179" s="43" t="s">
        <v>32</v>
      </c>
      <c r="AC179">
        <f t="shared" si="48"/>
        <v>0</v>
      </c>
      <c r="AD179" s="43" t="s">
        <v>31</v>
      </c>
      <c r="AE179">
        <f t="shared" si="49"/>
        <v>1</v>
      </c>
      <c r="AF179" s="34" t="str" cm="1">
        <f t="array" ref="AF179">INDEX(Ratings!$B$2:$M$40,_xlfn.XMATCH(Base!F179,Ratings!$A$2:$A$40),_xlfn.XMATCH(YEAR(Base!K179),Ratings!$B$1:$M$1))</f>
        <v>B</v>
      </c>
      <c r="AG179">
        <f t="shared" si="42"/>
        <v>0</v>
      </c>
      <c r="AH179">
        <f>IFERROR(IFERROR(IFERROR(INDEX('EMBI+'!$B:$B,MATCH(Base!$K179,'EMBI+'!$A:$A,0)),INDEX('EMBI+'!$B:$B,MATCH(Base!$K179+1,'EMBI+'!$A:$A,0))),INDEX('EMBI+'!$B:$B,MATCH(Base!$K179+2,'EMBI+'!$A:$A,0))),INDEX('EMBI+'!$B:$B,MATCH(Base!$K179+3,'EMBI+'!$A:$A,0)))/100</f>
        <v>2.67</v>
      </c>
      <c r="AL179" s="43"/>
      <c r="AM179" s="28"/>
      <c r="AN179" s="28"/>
    </row>
    <row r="180" spans="1:40" x14ac:dyDescent="0.35">
      <c r="A180">
        <f t="shared" si="43"/>
        <v>178</v>
      </c>
      <c r="B180">
        <f>IF(G180="Bonds",COUNTIF($G$3:G180,"Bonds"),0)</f>
        <v>58</v>
      </c>
      <c r="C180" t="str">
        <f t="shared" si="54"/>
        <v>Gol Linhas Aéreas4313331/01/2025</v>
      </c>
      <c r="D180">
        <f t="shared" si="55"/>
        <v>17</v>
      </c>
      <c r="E180" s="43" t="s">
        <v>248</v>
      </c>
      <c r="F180" s="43" t="s">
        <v>242</v>
      </c>
      <c r="G180" s="43" t="s">
        <v>34</v>
      </c>
      <c r="H180">
        <f t="shared" si="45"/>
        <v>1</v>
      </c>
      <c r="I180" s="43"/>
      <c r="J180" s="34">
        <f t="shared" si="57"/>
        <v>6</v>
      </c>
      <c r="K180" s="28">
        <v>43133</v>
      </c>
      <c r="L180" s="28" t="s">
        <v>249</v>
      </c>
      <c r="M180" s="60">
        <f t="shared" si="46"/>
        <v>7</v>
      </c>
      <c r="N180" s="4">
        <f t="shared" si="47"/>
        <v>1</v>
      </c>
      <c r="O180" s="43" t="s">
        <v>36</v>
      </c>
      <c r="P180" t="str">
        <f t="shared" si="50"/>
        <v>0</v>
      </c>
      <c r="Q180" s="43"/>
      <c r="R180" s="43"/>
      <c r="S180" s="34">
        <f>IF($V180="USD",INDEX('Dólar Spot'!$B:$B,MATCH(Base!$K180,'Dólar Spot'!$A:$A,0)),"")</f>
        <v>3.2054</v>
      </c>
      <c r="T180" s="44">
        <v>150000000</v>
      </c>
      <c r="U180" s="8">
        <f t="shared" si="51"/>
        <v>4.8080999999999996</v>
      </c>
      <c r="V180" s="43" t="s">
        <v>651</v>
      </c>
      <c r="W180" s="45" t="s">
        <v>29</v>
      </c>
      <c r="X180" s="53">
        <v>7</v>
      </c>
      <c r="Y180" s="9">
        <f>IF(AND(V180="DI",$W180=100),$X180/100,
IF(AND(V180="DI",$W180&lt;&gt;100,$X180=""),INDEX('Debs %CDI'!$Q:$Q,MATCH(Base!$C180,'Debs %CDI'!$A:$A,0)),
IF($V180="USD",INDEX(Bonds!$AF:$AF,MATCH(Base!$C180,Bonds!$B:$B,0)),
IF($V180="IPCA",INDEX('Debs IPCA'!$Z:$Z,MATCH(Base!$C180,'Debs IPCA'!$A:$A,0))))))</f>
        <v>3.1322493570187238E-2</v>
      </c>
      <c r="Z180" s="43">
        <v>360</v>
      </c>
      <c r="AA180" s="43" t="s">
        <v>37</v>
      </c>
      <c r="AB180" s="43" t="s">
        <v>32</v>
      </c>
      <c r="AC180">
        <f t="shared" si="48"/>
        <v>0</v>
      </c>
      <c r="AD180" s="43" t="s">
        <v>31</v>
      </c>
      <c r="AE180">
        <f t="shared" si="49"/>
        <v>1</v>
      </c>
      <c r="AF180" s="34" t="str" cm="1">
        <f t="array" ref="AF180">INDEX(Ratings!$B$2:$M$40,_xlfn.XMATCH(Base!F180,Ratings!$A$2:$A$40),_xlfn.XMATCH(YEAR(Base!K180),Ratings!$B$1:$M$1))</f>
        <v>B</v>
      </c>
      <c r="AG180">
        <f t="shared" si="42"/>
        <v>0</v>
      </c>
      <c r="AH180">
        <f>IFERROR(IFERROR(IFERROR(INDEX('EMBI+'!$B:$B,MATCH(Base!$K180,'EMBI+'!$A:$A,0)),INDEX('EMBI+'!$B:$B,MATCH(Base!$K180+1,'EMBI+'!$A:$A,0))),INDEX('EMBI+'!$B:$B,MATCH(Base!$K180+2,'EMBI+'!$A:$A,0))),INDEX('EMBI+'!$B:$B,MATCH(Base!$K180+3,'EMBI+'!$A:$A,0)))/100</f>
        <v>2.29</v>
      </c>
      <c r="AL180" s="43"/>
      <c r="AM180" s="28"/>
      <c r="AN180" s="28"/>
    </row>
    <row r="181" spans="1:40" x14ac:dyDescent="0.35">
      <c r="A181">
        <f t="shared" si="43"/>
        <v>179</v>
      </c>
      <c r="B181">
        <f>IF(G181="Bonds",COUNTIF($G$3:G181,"Bonds"),0)</f>
        <v>59</v>
      </c>
      <c r="C181" t="str">
        <f t="shared" si="54"/>
        <v>Gol Linhas Aéreas4308031/01/2025</v>
      </c>
      <c r="D181">
        <f t="shared" si="55"/>
        <v>17</v>
      </c>
      <c r="E181" s="43" t="s">
        <v>250</v>
      </c>
      <c r="F181" s="43" t="s">
        <v>242</v>
      </c>
      <c r="G181" s="43" t="s">
        <v>34</v>
      </c>
      <c r="H181">
        <f t="shared" si="45"/>
        <v>1</v>
      </c>
      <c r="I181" s="43"/>
      <c r="J181" s="34">
        <f t="shared" si="57"/>
        <v>7</v>
      </c>
      <c r="K181" s="28">
        <v>43080</v>
      </c>
      <c r="L181" s="28" t="s">
        <v>249</v>
      </c>
      <c r="M181" s="60">
        <f t="shared" si="46"/>
        <v>7.1452054794520548</v>
      </c>
      <c r="N181" s="4">
        <f t="shared" si="47"/>
        <v>1</v>
      </c>
      <c r="O181" s="43" t="s">
        <v>36</v>
      </c>
      <c r="P181" t="str">
        <f t="shared" si="50"/>
        <v>0</v>
      </c>
      <c r="Q181" s="43"/>
      <c r="R181" s="43"/>
      <c r="S181" s="34">
        <f>IF($V181="USD",INDEX('Dólar Spot'!$B:$B,MATCH(Base!$K181,'Dólar Spot'!$A:$A,0)),"")</f>
        <v>3.2839</v>
      </c>
      <c r="T181" s="44">
        <v>650000000</v>
      </c>
      <c r="U181" s="8">
        <f t="shared" si="51"/>
        <v>21.34535</v>
      </c>
      <c r="V181" s="43" t="s">
        <v>651</v>
      </c>
      <c r="W181" s="45" t="s">
        <v>29</v>
      </c>
      <c r="X181" s="53">
        <v>7</v>
      </c>
      <c r="Y181" s="9">
        <f>IF(AND(V181="DI",$W181=100),$X181/100,
IF(AND(V181="DI",$W181&lt;&gt;100,$X181=""),INDEX('Debs %CDI'!$Q:$Q,MATCH(Base!$C181,'Debs %CDI'!$A:$A,0)),
IF($V181="USD",INDEX(Bonds!$AF:$AF,MATCH(Base!$C181,Bonds!$B:$B,0)),
IF($V181="IPCA",INDEX('Debs IPCA'!$Z:$Z,MATCH(Base!$C181,'Debs IPCA'!$A:$A,0))))))</f>
        <v>3.3622968399086073E-2</v>
      </c>
      <c r="Z181" s="43">
        <v>360</v>
      </c>
      <c r="AA181" s="43" t="s">
        <v>37</v>
      </c>
      <c r="AB181" s="43" t="s">
        <v>32</v>
      </c>
      <c r="AC181">
        <f t="shared" si="48"/>
        <v>0</v>
      </c>
      <c r="AD181" s="43" t="s">
        <v>31</v>
      </c>
      <c r="AE181">
        <f t="shared" si="49"/>
        <v>1</v>
      </c>
      <c r="AF181" s="34" t="str" cm="1">
        <f t="array" ref="AF181">INDEX(Ratings!$B$2:$M$40,_xlfn.XMATCH(Base!F181,Ratings!$A$2:$A$40),_xlfn.XMATCH(YEAR(Base!K181),Ratings!$B$1:$M$1))</f>
        <v>CCC</v>
      </c>
      <c r="AG181">
        <f t="shared" si="42"/>
        <v>0</v>
      </c>
      <c r="AH181">
        <f>IFERROR(IFERROR(IFERROR(INDEX('EMBI+'!$B:$B,MATCH(Base!$K181,'EMBI+'!$A:$A,0)),INDEX('EMBI+'!$B:$B,MATCH(Base!$K181+1,'EMBI+'!$A:$A,0))),INDEX('EMBI+'!$B:$B,MATCH(Base!$K181+2,'EMBI+'!$A:$A,0))),INDEX('EMBI+'!$B:$B,MATCH(Base!$K181+3,'EMBI+'!$A:$A,0)))/100</f>
        <v>2.39</v>
      </c>
      <c r="AL181" s="43"/>
      <c r="AM181" s="28"/>
      <c r="AN181" s="28"/>
    </row>
    <row r="182" spans="1:40" x14ac:dyDescent="0.35">
      <c r="A182">
        <f t="shared" si="43"/>
        <v>180</v>
      </c>
      <c r="B182">
        <f>IF(G182="Bonds",COUNTIF($G$3:G182,"Bonds"),0)</f>
        <v>60</v>
      </c>
      <c r="C182" t="str">
        <f t="shared" si="54"/>
        <v>Gol Linhas Aéreas4418830/06/2026</v>
      </c>
      <c r="D182">
        <f t="shared" si="55"/>
        <v>17</v>
      </c>
      <c r="E182" s="43" t="s">
        <v>250</v>
      </c>
      <c r="F182" s="43" t="s">
        <v>242</v>
      </c>
      <c r="G182" s="43" t="s">
        <v>34</v>
      </c>
      <c r="H182">
        <f t="shared" si="45"/>
        <v>1</v>
      </c>
      <c r="I182" s="43"/>
      <c r="J182" s="34">
        <f t="shared" si="57"/>
        <v>8</v>
      </c>
      <c r="K182" s="28">
        <v>44188</v>
      </c>
      <c r="L182" s="28" t="s">
        <v>251</v>
      </c>
      <c r="M182" s="60">
        <f t="shared" si="46"/>
        <v>5.5205479452054798</v>
      </c>
      <c r="N182" s="4">
        <f t="shared" si="47"/>
        <v>1</v>
      </c>
      <c r="O182" s="43" t="s">
        <v>94</v>
      </c>
      <c r="P182" t="str">
        <f t="shared" si="50"/>
        <v>1</v>
      </c>
      <c r="Q182" s="43"/>
      <c r="R182" s="43"/>
      <c r="S182" s="34">
        <f>IF($V182="USD",INDEX('Dólar Spot'!$B:$B,MATCH(Base!$K182,'Dólar Spot'!$A:$A,0)),"")</f>
        <v>5.1734</v>
      </c>
      <c r="T182" s="44">
        <v>650000000</v>
      </c>
      <c r="U182" s="8">
        <f t="shared" si="51"/>
        <v>33.627099999999999</v>
      </c>
      <c r="V182" s="43" t="s">
        <v>651</v>
      </c>
      <c r="W182" s="45" t="s">
        <v>29</v>
      </c>
      <c r="X182" s="53">
        <v>8</v>
      </c>
      <c r="Y182" s="9">
        <f>IF(AND(V182="DI",$W182=100),$X182/100,
IF(AND(V182="DI",$W182&lt;&gt;100,$X182=""),INDEX('Debs %CDI'!$Q:$Q,MATCH(Base!$C182,'Debs %CDI'!$A:$A,0)),
IF($V182="USD",INDEX(Bonds!$AF:$AF,MATCH(Base!$C182,Bonds!$B:$B,0)),
IF($V182="IPCA",INDEX('Debs IPCA'!$Z:$Z,MATCH(Base!$C182,'Debs IPCA'!$A:$A,0))))))</f>
        <v>6.8343820082715778E-2</v>
      </c>
      <c r="Z182" s="43">
        <v>360</v>
      </c>
      <c r="AA182" s="43" t="s">
        <v>37</v>
      </c>
      <c r="AB182" s="43" t="s">
        <v>32</v>
      </c>
      <c r="AC182">
        <f t="shared" si="48"/>
        <v>0</v>
      </c>
      <c r="AD182" s="43" t="s">
        <v>31</v>
      </c>
      <c r="AE182">
        <f t="shared" si="49"/>
        <v>1</v>
      </c>
      <c r="AF182" s="34" t="str" cm="1">
        <f t="array" ref="AF182">INDEX(Ratings!$B$2:$M$40,_xlfn.XMATCH(Base!F182,Ratings!$A$2:$A$40),_xlfn.XMATCH(YEAR(Base!K182),Ratings!$B$1:$M$1))</f>
        <v>B</v>
      </c>
      <c r="AG182">
        <f t="shared" si="42"/>
        <v>0</v>
      </c>
      <c r="AH182">
        <f>IFERROR(IFERROR(IFERROR(INDEX('EMBI+'!$B:$B,MATCH(Base!$K182,'EMBI+'!$A:$A,0)),INDEX('EMBI+'!$B:$B,MATCH(Base!$K182+1,'EMBI+'!$A:$A,0))),INDEX('EMBI+'!$B:$B,MATCH(Base!$K182+2,'EMBI+'!$A:$A,0))),INDEX('EMBI+'!$B:$B,MATCH(Base!$K182+3,'EMBI+'!$A:$A,0)))/100</f>
        <v>2.59</v>
      </c>
      <c r="AL182" s="43"/>
      <c r="AM182" s="28"/>
      <c r="AN182" s="28"/>
    </row>
    <row r="183" spans="1:40" x14ac:dyDescent="0.35">
      <c r="A183">
        <f t="shared" si="43"/>
        <v>181</v>
      </c>
      <c r="B183">
        <f>IF(G183="Bonds",COUNTIF($G$3:G183,"Bonds"),0)</f>
        <v>61</v>
      </c>
      <c r="C183" t="str">
        <f t="shared" si="54"/>
        <v>Gol Linhas Aéreas4432730/06/2026</v>
      </c>
      <c r="D183">
        <f t="shared" si="55"/>
        <v>17</v>
      </c>
      <c r="E183" s="43" t="s">
        <v>250</v>
      </c>
      <c r="F183" s="43" t="s">
        <v>242</v>
      </c>
      <c r="G183" s="43" t="s">
        <v>34</v>
      </c>
      <c r="H183">
        <f t="shared" si="45"/>
        <v>1</v>
      </c>
      <c r="I183" s="43"/>
      <c r="J183" s="34">
        <f t="shared" si="57"/>
        <v>9</v>
      </c>
      <c r="K183" s="28">
        <v>44327</v>
      </c>
      <c r="L183" s="28" t="s">
        <v>251</v>
      </c>
      <c r="M183" s="60">
        <f t="shared" si="46"/>
        <v>5.13972602739726</v>
      </c>
      <c r="N183" s="4">
        <f t="shared" si="47"/>
        <v>1</v>
      </c>
      <c r="O183" s="43" t="s">
        <v>94</v>
      </c>
      <c r="P183" t="str">
        <f t="shared" si="50"/>
        <v>1</v>
      </c>
      <c r="Q183" s="43"/>
      <c r="R183" s="43"/>
      <c r="S183" s="34">
        <f>IF($V183="USD",INDEX('Dólar Spot'!$B:$B,MATCH(Base!$K183,'Dólar Spot'!$A:$A,0)),"")</f>
        <v>5.2397</v>
      </c>
      <c r="T183" s="44">
        <v>300000000</v>
      </c>
      <c r="U183" s="8">
        <f t="shared" si="51"/>
        <v>15.719099999999999</v>
      </c>
      <c r="V183" s="43" t="s">
        <v>651</v>
      </c>
      <c r="W183" s="45" t="s">
        <v>29</v>
      </c>
      <c r="X183" s="53">
        <v>8</v>
      </c>
      <c r="Y183" s="9">
        <f>IF(AND(V183="DI",$W183=100),$X183/100,
IF(AND(V183="DI",$W183&lt;&gt;100,$X183=""),INDEX('Debs %CDI'!$Q:$Q,MATCH(Base!$C183,'Debs %CDI'!$A:$A,0)),
IF($V183="USD",INDEX(Bonds!$AF:$AF,MATCH(Base!$C183,Bonds!$B:$B,0)),
IF($V183="IPCA",INDEX('Debs IPCA'!$Z:$Z,MATCH(Base!$C183,'Debs IPCA'!$A:$A,0))))))</f>
        <v>6.2383573989025498E-2</v>
      </c>
      <c r="Z183" s="43">
        <v>360</v>
      </c>
      <c r="AA183" s="43" t="s">
        <v>37</v>
      </c>
      <c r="AB183" s="43" t="s">
        <v>32</v>
      </c>
      <c r="AC183">
        <f t="shared" si="48"/>
        <v>0</v>
      </c>
      <c r="AD183" s="43" t="s">
        <v>31</v>
      </c>
      <c r="AE183">
        <f t="shared" si="49"/>
        <v>1</v>
      </c>
      <c r="AF183" s="34" t="str" cm="1">
        <f t="array" ref="AF183">INDEX(Ratings!$B$2:$M$40,_xlfn.XMATCH(Base!F183,Ratings!$A$2:$A$40),_xlfn.XMATCH(YEAR(Base!K183),Ratings!$B$1:$M$1))</f>
        <v>CCC+</v>
      </c>
      <c r="AG183">
        <f t="shared" si="42"/>
        <v>0</v>
      </c>
      <c r="AH183">
        <f>IFERROR(IFERROR(IFERROR(INDEX('EMBI+'!$B:$B,MATCH(Base!$K183,'EMBI+'!$A:$A,0)),INDEX('EMBI+'!$B:$B,MATCH(Base!$K183+1,'EMBI+'!$A:$A,0))),INDEX('EMBI+'!$B:$B,MATCH(Base!$K183+2,'EMBI+'!$A:$A,0))),INDEX('EMBI+'!$B:$B,MATCH(Base!$K183+3,'EMBI+'!$A:$A,0)))/100</f>
        <v>2.56</v>
      </c>
      <c r="AL183" s="43"/>
      <c r="AM183" s="28"/>
      <c r="AN183" s="28"/>
    </row>
    <row r="184" spans="1:40" x14ac:dyDescent="0.35">
      <c r="A184">
        <f t="shared" si="43"/>
        <v>182</v>
      </c>
      <c r="B184">
        <f>IF(G184="Bonds",COUNTIF($G$3:G184,"Bonds"),0)</f>
        <v>62</v>
      </c>
      <c r="C184" t="str">
        <f t="shared" si="54"/>
        <v>Gol Linhas Aéreas4446730/06/2026</v>
      </c>
      <c r="D184">
        <f t="shared" si="55"/>
        <v>17</v>
      </c>
      <c r="E184" s="43" t="s">
        <v>250</v>
      </c>
      <c r="F184" s="43" t="s">
        <v>242</v>
      </c>
      <c r="G184" s="43" t="s">
        <v>34</v>
      </c>
      <c r="H184">
        <f t="shared" si="45"/>
        <v>1</v>
      </c>
      <c r="I184" s="43"/>
      <c r="J184" s="34">
        <f t="shared" si="57"/>
        <v>10</v>
      </c>
      <c r="K184" s="28">
        <v>44467</v>
      </c>
      <c r="L184" s="28" t="s">
        <v>251</v>
      </c>
      <c r="M184" s="60">
        <f t="shared" si="46"/>
        <v>4.7561643835616438</v>
      </c>
      <c r="N184" s="4">
        <f t="shared" si="47"/>
        <v>0</v>
      </c>
      <c r="O184" s="43" t="s">
        <v>94</v>
      </c>
      <c r="P184" t="str">
        <f t="shared" si="50"/>
        <v>1</v>
      </c>
      <c r="Q184" s="43"/>
      <c r="R184" s="43"/>
      <c r="S184" s="34">
        <f>IF($V184="USD",INDEX('Dólar Spot'!$B:$B,MATCH(Base!$K184,'Dólar Spot'!$A:$A,0)),"")</f>
        <v>5.42</v>
      </c>
      <c r="T184" s="44">
        <v>150000000</v>
      </c>
      <c r="U184" s="8">
        <f t="shared" si="51"/>
        <v>8.1300000000000008</v>
      </c>
      <c r="V184" s="43" t="s">
        <v>651</v>
      </c>
      <c r="W184" s="45" t="s">
        <v>29</v>
      </c>
      <c r="X184" s="53">
        <v>8</v>
      </c>
      <c r="Y184" s="9">
        <f>IF(AND(V184="DI",$W184=100),$X184/100,
IF(AND(V184="DI",$W184&lt;&gt;100,$X184=""),INDEX('Debs %CDI'!$Q:$Q,MATCH(Base!$C184,'Debs %CDI'!$A:$A,0)),
IF($V184="USD",INDEX(Bonds!$AF:$AF,MATCH(Base!$C184,Bonds!$B:$B,0)),
IF($V184="IPCA",INDEX('Debs IPCA'!$Z:$Z,MATCH(Base!$C184,'Debs IPCA'!$A:$A,0))))))</f>
        <v>6.287704603173716E-2</v>
      </c>
      <c r="Z184" s="43">
        <v>360</v>
      </c>
      <c r="AA184" s="43" t="s">
        <v>37</v>
      </c>
      <c r="AB184" s="43" t="s">
        <v>32</v>
      </c>
      <c r="AC184">
        <f t="shared" si="48"/>
        <v>0</v>
      </c>
      <c r="AD184" s="43" t="s">
        <v>31</v>
      </c>
      <c r="AE184">
        <f t="shared" si="49"/>
        <v>1</v>
      </c>
      <c r="AF184" s="34" t="str" cm="1">
        <f t="array" ref="AF184">INDEX(Ratings!$B$2:$M$40,_xlfn.XMATCH(Base!F184,Ratings!$A$2:$A$40),_xlfn.XMATCH(YEAR(Base!K184),Ratings!$B$1:$M$1))</f>
        <v>CCC+</v>
      </c>
      <c r="AG184">
        <f t="shared" si="42"/>
        <v>0</v>
      </c>
      <c r="AH184">
        <f>IFERROR(IFERROR(IFERROR(INDEX('EMBI+'!$B:$B,MATCH(Base!$K184,'EMBI+'!$A:$A,0)),INDEX('EMBI+'!$B:$B,MATCH(Base!$K184+1,'EMBI+'!$A:$A,0))),INDEX('EMBI+'!$B:$B,MATCH(Base!$K184+2,'EMBI+'!$A:$A,0))),INDEX('EMBI+'!$B:$B,MATCH(Base!$K184+3,'EMBI+'!$A:$A,0)))/100</f>
        <v>3.25</v>
      </c>
      <c r="AL184" s="43"/>
      <c r="AM184" s="28"/>
      <c r="AN184" s="28"/>
    </row>
    <row r="185" spans="1:40" x14ac:dyDescent="0.35">
      <c r="A185">
        <f t="shared" si="43"/>
        <v>183</v>
      </c>
      <c r="B185">
        <f>IF(G185="Bonds",COUNTIF($G$3:G185,"Bonds"),0)</f>
        <v>63</v>
      </c>
      <c r="C185" t="str">
        <f t="shared" si="54"/>
        <v>Gol Linhas Aéreas4190624/01/2022</v>
      </c>
      <c r="D185">
        <f t="shared" si="55"/>
        <v>17</v>
      </c>
      <c r="E185" s="43" t="s">
        <v>250</v>
      </c>
      <c r="F185" s="43" t="s">
        <v>242</v>
      </c>
      <c r="G185" s="43" t="s">
        <v>34</v>
      </c>
      <c r="H185">
        <f t="shared" si="45"/>
        <v>1</v>
      </c>
      <c r="I185" s="43"/>
      <c r="J185" s="34">
        <f t="shared" si="57"/>
        <v>11</v>
      </c>
      <c r="K185" s="28">
        <v>41906</v>
      </c>
      <c r="L185" s="28" t="s">
        <v>252</v>
      </c>
      <c r="M185" s="60">
        <f t="shared" si="46"/>
        <v>7.3397260273972602</v>
      </c>
      <c r="N185" s="4">
        <f t="shared" si="47"/>
        <v>1</v>
      </c>
      <c r="O185" s="43" t="s">
        <v>36</v>
      </c>
      <c r="P185" t="str">
        <f t="shared" si="50"/>
        <v>0</v>
      </c>
      <c r="Q185" s="43"/>
      <c r="R185" s="43"/>
      <c r="S185" s="34">
        <f>IF($V185="USD",INDEX('Dólar Spot'!$B:$B,MATCH(Base!$K185,'Dólar Spot'!$A:$A,0)),"")</f>
        <v>2.4064000000000001</v>
      </c>
      <c r="T185" s="44">
        <v>325000000</v>
      </c>
      <c r="U185" s="8">
        <f t="shared" si="51"/>
        <v>7.8208000000000002</v>
      </c>
      <c r="V185" s="43" t="s">
        <v>651</v>
      </c>
      <c r="W185" s="45" t="s">
        <v>29</v>
      </c>
      <c r="X185" s="53">
        <v>8.875</v>
      </c>
      <c r="Y185" s="9">
        <f>IF(AND(V185="DI",$W185=100),$X185/100,
IF(AND(V185="DI",$W185&lt;&gt;100,$X185=""),INDEX('Debs %CDI'!$Q:$Q,MATCH(Base!$C185,'Debs %CDI'!$A:$A,0)),
IF($V185="USD",INDEX(Bonds!$AF:$AF,MATCH(Base!$C185,Bonds!$B:$B,0)),
IF($V185="IPCA",INDEX('Debs IPCA'!$Z:$Z,MATCH(Base!$C185,'Debs IPCA'!$A:$A,0))))))</f>
        <v>4.9276563587330902E-2</v>
      </c>
      <c r="Z185" s="43">
        <v>360</v>
      </c>
      <c r="AA185" s="43" t="s">
        <v>37</v>
      </c>
      <c r="AB185" s="43" t="s">
        <v>32</v>
      </c>
      <c r="AC185">
        <f t="shared" si="48"/>
        <v>0</v>
      </c>
      <c r="AD185" s="43" t="s">
        <v>31</v>
      </c>
      <c r="AE185">
        <f t="shared" si="49"/>
        <v>1</v>
      </c>
      <c r="AF185" s="34" t="str" cm="1">
        <f t="array" ref="AF185">INDEX(Ratings!$B$2:$M$40,_xlfn.XMATCH(Base!F185,Ratings!$A$2:$A$40),_xlfn.XMATCH(YEAR(Base!K185),Ratings!$B$1:$M$1))</f>
        <v>B-</v>
      </c>
      <c r="AG185">
        <f t="shared" si="42"/>
        <v>0</v>
      </c>
      <c r="AH185">
        <f>IFERROR(IFERROR(IFERROR(INDEX('EMBI+'!$B:$B,MATCH(Base!$K185,'EMBI+'!$A:$A,0)),INDEX('EMBI+'!$B:$B,MATCH(Base!$K185+1,'EMBI+'!$A:$A,0))),INDEX('EMBI+'!$B:$B,MATCH(Base!$K185+2,'EMBI+'!$A:$A,0))),INDEX('EMBI+'!$B:$B,MATCH(Base!$K185+3,'EMBI+'!$A:$A,0)))/100</f>
        <v>2.1800000000000002</v>
      </c>
      <c r="AL185" s="43"/>
      <c r="AM185" s="28"/>
      <c r="AN185" s="28"/>
    </row>
    <row r="186" spans="1:40" x14ac:dyDescent="0.35">
      <c r="A186">
        <f t="shared" si="43"/>
        <v>184</v>
      </c>
      <c r="B186">
        <f>IF(G186="Bonds",COUNTIF($G$3:G186,"Bonds"),0)</f>
        <v>64</v>
      </c>
      <c r="C186" t="str">
        <f t="shared" si="54"/>
        <v>Gol Linhas Aéreas4131312/02/2023</v>
      </c>
      <c r="D186">
        <f t="shared" si="55"/>
        <v>17</v>
      </c>
      <c r="E186" s="43" t="s">
        <v>253</v>
      </c>
      <c r="F186" s="43" t="s">
        <v>242</v>
      </c>
      <c r="G186" s="43" t="s">
        <v>34</v>
      </c>
      <c r="H186">
        <f t="shared" si="45"/>
        <v>1</v>
      </c>
      <c r="I186" s="43"/>
      <c r="J186" s="34">
        <f t="shared" si="57"/>
        <v>12</v>
      </c>
      <c r="K186" s="28">
        <v>41313</v>
      </c>
      <c r="L186" s="28" t="s">
        <v>254</v>
      </c>
      <c r="M186" s="60">
        <f t="shared" si="46"/>
        <v>10.016438356164384</v>
      </c>
      <c r="N186" s="4">
        <f t="shared" si="47"/>
        <v>1</v>
      </c>
      <c r="O186" s="43" t="s">
        <v>36</v>
      </c>
      <c r="P186" t="str">
        <f t="shared" si="50"/>
        <v>0</v>
      </c>
      <c r="Q186" s="43"/>
      <c r="R186" s="43"/>
      <c r="S186" s="34">
        <f>IF($V186="USD",INDEX('Dólar Spot'!$B:$B,MATCH(Base!$K186,'Dólar Spot'!$A:$A,0)),"")</f>
        <v>1.9630000000000001</v>
      </c>
      <c r="T186" s="44">
        <v>200000000</v>
      </c>
      <c r="U186" s="8">
        <f t="shared" si="51"/>
        <v>3.9260000000000002</v>
      </c>
      <c r="V186" s="43" t="s">
        <v>651</v>
      </c>
      <c r="W186" s="45" t="s">
        <v>29</v>
      </c>
      <c r="X186" s="53">
        <v>10.75</v>
      </c>
      <c r="Y186" s="9">
        <f>IF(AND(V186="DI",$W186=100),$X186/100,
IF(AND(V186="DI",$W186&lt;&gt;100,$X186=""),INDEX('Debs %CDI'!$Q:$Q,MATCH(Base!$C186,'Debs %CDI'!$A:$A,0)),
IF($V186="USD",INDEX(Bonds!$AF:$AF,MATCH(Base!$C186,Bonds!$B:$B,0)),
IF($V186="IPCA",INDEX('Debs IPCA'!$Z:$Z,MATCH(Base!$C186,'Debs IPCA'!$A:$A,0))))))</f>
        <v>6.965528671008081E-2</v>
      </c>
      <c r="Z186" s="43">
        <v>360</v>
      </c>
      <c r="AA186" s="43" t="s">
        <v>37</v>
      </c>
      <c r="AB186" s="43" t="s">
        <v>32</v>
      </c>
      <c r="AC186">
        <f t="shared" si="48"/>
        <v>0</v>
      </c>
      <c r="AD186" s="43" t="s">
        <v>31</v>
      </c>
      <c r="AE186">
        <f t="shared" si="49"/>
        <v>1</v>
      </c>
      <c r="AF186" s="34" t="str" cm="1">
        <f t="array" ref="AF186">INDEX(Ratings!$B$2:$M$40,_xlfn.XMATCH(Base!F186,Ratings!$A$2:$A$40),_xlfn.XMATCH(YEAR(Base!K186),Ratings!$B$1:$M$1))</f>
        <v>B-</v>
      </c>
      <c r="AG186">
        <f t="shared" si="42"/>
        <v>0</v>
      </c>
      <c r="AH186">
        <f>IFERROR(IFERROR(IFERROR(INDEX('EMBI+'!$B:$B,MATCH(Base!$K186,'EMBI+'!$A:$A,0)),INDEX('EMBI+'!$B:$B,MATCH(Base!$K186+1,'EMBI+'!$A:$A,0))),INDEX('EMBI+'!$B:$B,MATCH(Base!$K186+2,'EMBI+'!$A:$A,0))),INDEX('EMBI+'!$B:$B,MATCH(Base!$K186+3,'EMBI+'!$A:$A,0)))/100</f>
        <v>1.55</v>
      </c>
      <c r="AL186" s="43"/>
      <c r="AM186" s="28"/>
      <c r="AN186" s="28"/>
    </row>
    <row r="187" spans="1:40" x14ac:dyDescent="0.35">
      <c r="A187">
        <f t="shared" si="43"/>
        <v>185</v>
      </c>
      <c r="B187">
        <f>IF(G187="Bonds",COUNTIF($G$3:G187,"Bonds"),0)</f>
        <v>0</v>
      </c>
      <c r="C187" t="str">
        <f t="shared" si="54"/>
        <v>Hidrovias do Brasil4448447041</v>
      </c>
      <c r="D187">
        <f t="shared" si="55"/>
        <v>18</v>
      </c>
      <c r="E187" s="43" t="s">
        <v>255</v>
      </c>
      <c r="F187" s="43" t="s">
        <v>256</v>
      </c>
      <c r="G187" s="43" t="s">
        <v>25</v>
      </c>
      <c r="H187">
        <f t="shared" si="45"/>
        <v>0</v>
      </c>
      <c r="I187" s="43" t="s">
        <v>257</v>
      </c>
      <c r="J187" s="34">
        <f t="shared" si="57"/>
        <v>1</v>
      </c>
      <c r="K187" s="28">
        <v>44484</v>
      </c>
      <c r="L187" s="28">
        <v>47041</v>
      </c>
      <c r="M187" s="60">
        <f t="shared" si="46"/>
        <v>7.0054794520547947</v>
      </c>
      <c r="N187" s="4">
        <f t="shared" si="47"/>
        <v>1</v>
      </c>
      <c r="O187" s="43" t="s">
        <v>44</v>
      </c>
      <c r="P187" t="str">
        <f t="shared" si="50"/>
        <v>0</v>
      </c>
      <c r="Q187" s="44">
        <v>280000</v>
      </c>
      <c r="R187" s="43">
        <v>1000</v>
      </c>
      <c r="S187" s="34" t="str">
        <f>IF($V187="USD",INDEX('Dólar Spot'!$B:$B,MATCH(Base!$K187,'Dólar Spot'!$A:$A,0)),"")</f>
        <v/>
      </c>
      <c r="T187" s="4">
        <f>Q187*R187</f>
        <v>280000000</v>
      </c>
      <c r="U187" s="8">
        <f t="shared" si="51"/>
        <v>2.8</v>
      </c>
      <c r="V187" s="43" t="s">
        <v>28</v>
      </c>
      <c r="W187" s="45" t="s">
        <v>29</v>
      </c>
      <c r="X187" s="46">
        <v>6.0029000000000003</v>
      </c>
      <c r="Y187" s="9">
        <f>IF(AND(V187="DI",$W187=100),$X187/100,
IF(AND(V187="DI",$W187&lt;&gt;100,$X187=""),INDEX('Debs %CDI'!$Q:$Q,MATCH(Base!$C187,'Debs %CDI'!$A:$A,0)),
IF($V187="USD",INDEX(Bonds!$AF:$AF,MATCH(Base!$C187,Bonds!$B:$B,0)),
IF($V187="IPCA",INDEX('Debs IPCA'!$Z:$Z,MATCH(Base!$C187,'Debs IPCA'!$A:$A,0))))))</f>
        <v>1.270252601352384E-2</v>
      </c>
      <c r="Z187" s="43">
        <v>252</v>
      </c>
      <c r="AA187" s="43" t="s">
        <v>30</v>
      </c>
      <c r="AB187" s="43" t="s">
        <v>31</v>
      </c>
      <c r="AC187">
        <f t="shared" si="48"/>
        <v>1</v>
      </c>
      <c r="AD187" s="43" t="s">
        <v>32</v>
      </c>
      <c r="AE187">
        <f t="shared" si="49"/>
        <v>0</v>
      </c>
      <c r="AF187" s="34" t="str" cm="1">
        <f t="array" ref="AF187">INDEX(Ratings!$B$2:$M$40,_xlfn.XMATCH(Base!F187,Ratings!$A$2:$A$40),_xlfn.XMATCH(YEAR(Base!K187),Ratings!$B$1:$M$1))</f>
        <v>BB</v>
      </c>
      <c r="AG187">
        <f t="shared" si="42"/>
        <v>0</v>
      </c>
      <c r="AH187">
        <f>IFERROR(IFERROR(IFERROR(INDEX('EMBI+'!$B:$B,MATCH(Base!$K187,'EMBI+'!$A:$A,0)),INDEX('EMBI+'!$B:$B,MATCH(Base!$K187+1,'EMBI+'!$A:$A,0))),INDEX('EMBI+'!$B:$B,MATCH(Base!$K187+2,'EMBI+'!$A:$A,0))),INDEX('EMBI+'!$B:$B,MATCH(Base!$K187+3,'EMBI+'!$A:$A,0)))/100</f>
        <v>3.24</v>
      </c>
      <c r="AL187" s="43"/>
      <c r="AM187" s="28"/>
      <c r="AN187" s="28"/>
    </row>
    <row r="188" spans="1:40" x14ac:dyDescent="0.35">
      <c r="A188">
        <f t="shared" si="43"/>
        <v>186</v>
      </c>
      <c r="B188">
        <f>IF(G188="Bonds",COUNTIF($G$3:G188,"Bonds"),0)</f>
        <v>0</v>
      </c>
      <c r="C188" t="str">
        <f t="shared" si="54"/>
        <v>Hidrovias do Brasil4448448136</v>
      </c>
      <c r="D188">
        <f t="shared" si="55"/>
        <v>18</v>
      </c>
      <c r="E188" s="43" t="s">
        <v>255</v>
      </c>
      <c r="F188" s="43" t="s">
        <v>256</v>
      </c>
      <c r="G188" s="43" t="s">
        <v>25</v>
      </c>
      <c r="H188">
        <f t="shared" si="45"/>
        <v>0</v>
      </c>
      <c r="I188" s="43" t="s">
        <v>258</v>
      </c>
      <c r="J188" s="34">
        <f t="shared" si="57"/>
        <v>2</v>
      </c>
      <c r="K188" s="28">
        <v>44484</v>
      </c>
      <c r="L188" s="28">
        <v>48136</v>
      </c>
      <c r="M188" s="60">
        <f t="shared" si="46"/>
        <v>10.005479452054795</v>
      </c>
      <c r="N188" s="4">
        <f t="shared" si="47"/>
        <v>1</v>
      </c>
      <c r="O188" s="43" t="s">
        <v>44</v>
      </c>
      <c r="P188" t="str">
        <f t="shared" si="50"/>
        <v>0</v>
      </c>
      <c r="Q188" s="44">
        <v>100000</v>
      </c>
      <c r="R188" s="43">
        <v>1000</v>
      </c>
      <c r="S188" s="34" t="str">
        <f>IF($V188="USD",INDEX('Dólar Spot'!$B:$B,MATCH(Base!$K188,'Dólar Spot'!$A:$A,0)),"")</f>
        <v/>
      </c>
      <c r="T188" s="4">
        <f>Q188*R188</f>
        <v>100000000</v>
      </c>
      <c r="U188" s="8">
        <f t="shared" si="51"/>
        <v>1</v>
      </c>
      <c r="V188" s="43" t="s">
        <v>28</v>
      </c>
      <c r="W188" s="45" t="s">
        <v>29</v>
      </c>
      <c r="X188" s="46">
        <v>6.0444000000000004</v>
      </c>
      <c r="Y188" s="9">
        <f>IF(AND(V188="DI",$W188=100),$X188/100,
IF(AND(V188="DI",$W188&lt;&gt;100,$X188=""),INDEX('Debs %CDI'!$Q:$Q,MATCH(Base!$C188,'Debs %CDI'!$A:$A,0)),
IF($V188="USD",INDEX(Bonds!$AF:$AF,MATCH(Base!$C188,Bonds!$B:$B,0)),
IF($V188="IPCA",INDEX('Debs IPCA'!$Z:$Z,MATCH(Base!$C188,'Debs IPCA'!$A:$A,0))))))</f>
        <v>1.2509766887391249E-2</v>
      </c>
      <c r="Z188" s="43">
        <v>252</v>
      </c>
      <c r="AA188" s="43" t="s">
        <v>30</v>
      </c>
      <c r="AB188" s="43" t="s">
        <v>31</v>
      </c>
      <c r="AC188">
        <f t="shared" si="48"/>
        <v>1</v>
      </c>
      <c r="AD188" s="43" t="s">
        <v>32</v>
      </c>
      <c r="AE188">
        <f t="shared" si="49"/>
        <v>0</v>
      </c>
      <c r="AF188" s="34" t="str" cm="1">
        <f t="array" ref="AF188">INDEX(Ratings!$B$2:$M$40,_xlfn.XMATCH(Base!F188,Ratings!$A$2:$A$40),_xlfn.XMATCH(YEAR(Base!K188),Ratings!$B$1:$M$1))</f>
        <v>BB</v>
      </c>
      <c r="AG188">
        <f t="shared" si="42"/>
        <v>0</v>
      </c>
      <c r="AH188">
        <f>IFERROR(IFERROR(IFERROR(INDEX('EMBI+'!$B:$B,MATCH(Base!$K188,'EMBI+'!$A:$A,0)),INDEX('EMBI+'!$B:$B,MATCH(Base!$K188+1,'EMBI+'!$A:$A,0))),INDEX('EMBI+'!$B:$B,MATCH(Base!$K188+2,'EMBI+'!$A:$A,0))),INDEX('EMBI+'!$B:$B,MATCH(Base!$K188+3,'EMBI+'!$A:$A,0)))/100</f>
        <v>3.24</v>
      </c>
      <c r="AL188" s="43"/>
      <c r="AM188" s="28"/>
      <c r="AN188" s="28"/>
    </row>
    <row r="189" spans="1:40" x14ac:dyDescent="0.35">
      <c r="A189">
        <f t="shared" si="43"/>
        <v>187</v>
      </c>
      <c r="B189">
        <f>IF(G189="Bonds",COUNTIF($G$3:G189,"Bonds"),0)</f>
        <v>0</v>
      </c>
      <c r="C189" t="str">
        <f t="shared" si="54"/>
        <v>Hidrovias do Brasil4476246588</v>
      </c>
      <c r="D189">
        <f t="shared" si="55"/>
        <v>18</v>
      </c>
      <c r="E189" s="43" t="s">
        <v>255</v>
      </c>
      <c r="F189" s="43" t="s">
        <v>256</v>
      </c>
      <c r="G189" s="43" t="s">
        <v>25</v>
      </c>
      <c r="H189">
        <f t="shared" si="45"/>
        <v>0</v>
      </c>
      <c r="I189" s="43" t="s">
        <v>842</v>
      </c>
      <c r="J189" s="34">
        <f t="shared" si="57"/>
        <v>3</v>
      </c>
      <c r="K189" s="28">
        <v>44762</v>
      </c>
      <c r="L189" s="28">
        <v>46588</v>
      </c>
      <c r="M189" s="60">
        <f t="shared" si="46"/>
        <v>5.0027397260273974</v>
      </c>
      <c r="N189" s="4">
        <f t="shared" si="47"/>
        <v>1</v>
      </c>
      <c r="O189" s="43" t="s">
        <v>44</v>
      </c>
      <c r="P189" t="str">
        <f t="shared" si="50"/>
        <v>0</v>
      </c>
      <c r="Q189" s="44">
        <v>395000</v>
      </c>
      <c r="R189" s="43">
        <v>1000</v>
      </c>
      <c r="S189" s="34" t="str">
        <f>IF($V189="USD",INDEX('Dólar Spot'!$B:$B,MATCH(Base!$K189,'Dólar Spot'!$A:$A,0)),"")</f>
        <v/>
      </c>
      <c r="T189" s="4">
        <f t="shared" ref="T189:T190" si="65">Q189*R189</f>
        <v>395000000</v>
      </c>
      <c r="U189" s="8">
        <f t="shared" si="51"/>
        <v>3.95</v>
      </c>
      <c r="V189" s="43" t="s">
        <v>41</v>
      </c>
      <c r="W189" s="45">
        <v>100</v>
      </c>
      <c r="X189" s="46">
        <v>2.15</v>
      </c>
      <c r="Y189" s="9">
        <f>IF(AND(V189="DI",$W189=100),$X189/100,
IF(AND(V189="DI",$W189&lt;&gt;100,$X189=""),INDEX('Debs %CDI'!$Q:$Q,MATCH(Base!$C189,'Debs %CDI'!$A:$A,0)),
IF($V189="USD",INDEX(Bonds!$AF:$AF,MATCH(Base!$C189,Bonds!$B:$B,0)),
IF($V189="IPCA",INDEX('Debs IPCA'!$Z:$Z,MATCH(Base!$C189,'Debs IPCA'!$A:$A,0))))))</f>
        <v>2.1499999999999998E-2</v>
      </c>
      <c r="Z189" s="43">
        <v>252</v>
      </c>
      <c r="AA189" s="43" t="s">
        <v>30</v>
      </c>
      <c r="AB189" s="43" t="s">
        <v>32</v>
      </c>
      <c r="AC189">
        <f t="shared" si="48"/>
        <v>0</v>
      </c>
      <c r="AD189" s="43" t="s">
        <v>31</v>
      </c>
      <c r="AE189">
        <f t="shared" si="49"/>
        <v>1</v>
      </c>
      <c r="AF189" s="34" t="str" cm="1">
        <f t="array" ref="AF189">INDEX(Ratings!$B$2:$M$40,_xlfn.XMATCH(Base!F189,Ratings!$A$2:$A$40),_xlfn.XMATCH(YEAR(Base!K189),Ratings!$B$1:$M$1))</f>
        <v>BB-</v>
      </c>
      <c r="AG189">
        <f t="shared" si="42"/>
        <v>0</v>
      </c>
      <c r="AH189">
        <f>IFERROR(IFERROR(IFERROR(INDEX('EMBI+'!$B:$B,MATCH(Base!$K189,'EMBI+'!$A:$A,0)),INDEX('EMBI+'!$B:$B,MATCH(Base!$K189+1,'EMBI+'!$A:$A,0))),INDEX('EMBI+'!$B:$B,MATCH(Base!$K189+2,'EMBI+'!$A:$A,0))),INDEX('EMBI+'!$B:$B,MATCH(Base!$K189+3,'EMBI+'!$A:$A,0)))/100</f>
        <v>3.31</v>
      </c>
      <c r="AL189" s="43"/>
      <c r="AM189" s="28"/>
      <c r="AN189" s="28"/>
    </row>
    <row r="190" spans="1:40" x14ac:dyDescent="0.35">
      <c r="A190">
        <f t="shared" si="43"/>
        <v>188</v>
      </c>
      <c r="B190">
        <f>IF(G190="Bonds",COUNTIF($G$3:G190,"Bonds"),0)</f>
        <v>0</v>
      </c>
      <c r="C190" t="str">
        <f t="shared" si="54"/>
        <v>Hidrovias do Brasil4476247319</v>
      </c>
      <c r="D190">
        <f t="shared" si="55"/>
        <v>18</v>
      </c>
      <c r="E190" s="43" t="s">
        <v>255</v>
      </c>
      <c r="F190" s="43" t="s">
        <v>256</v>
      </c>
      <c r="G190" s="43" t="s">
        <v>25</v>
      </c>
      <c r="H190">
        <f t="shared" si="45"/>
        <v>0</v>
      </c>
      <c r="I190" s="43" t="s">
        <v>843</v>
      </c>
      <c r="J190" s="34">
        <f t="shared" si="57"/>
        <v>4</v>
      </c>
      <c r="K190" s="28">
        <v>44762</v>
      </c>
      <c r="L190" s="28">
        <v>47319</v>
      </c>
      <c r="M190" s="60">
        <f t="shared" si="46"/>
        <v>7.0054794520547947</v>
      </c>
      <c r="N190" s="4">
        <f t="shared" si="47"/>
        <v>1</v>
      </c>
      <c r="O190" s="43" t="s">
        <v>44</v>
      </c>
      <c r="P190" t="str">
        <f t="shared" si="50"/>
        <v>0</v>
      </c>
      <c r="Q190" s="44">
        <v>105000</v>
      </c>
      <c r="R190" s="43">
        <v>1000</v>
      </c>
      <c r="S190" s="34" t="str">
        <f>IF($V190="USD",INDEX('Dólar Spot'!$B:$B,MATCH(Base!$K190,'Dólar Spot'!$A:$A,0)),"")</f>
        <v/>
      </c>
      <c r="T190" s="4">
        <f t="shared" si="65"/>
        <v>105000000</v>
      </c>
      <c r="U190" s="8">
        <f t="shared" si="51"/>
        <v>1.05</v>
      </c>
      <c r="V190" s="43" t="s">
        <v>41</v>
      </c>
      <c r="W190" s="45">
        <v>100</v>
      </c>
      <c r="X190" s="46">
        <v>2.4</v>
      </c>
      <c r="Y190" s="9">
        <f>IF(AND(V190="DI",$W190=100),$X190/100,
IF(AND(V190="DI",$W190&lt;&gt;100,$X190=""),INDEX('Debs %CDI'!$Q:$Q,MATCH(Base!$C190,'Debs %CDI'!$A:$A,0)),
IF($V190="USD",INDEX(Bonds!$AF:$AF,MATCH(Base!$C190,Bonds!$B:$B,0)),
IF($V190="IPCA",INDEX('Debs IPCA'!$Z:$Z,MATCH(Base!$C190,'Debs IPCA'!$A:$A,0))))))</f>
        <v>2.4E-2</v>
      </c>
      <c r="Z190" s="43">
        <v>252</v>
      </c>
      <c r="AA190" s="43" t="s">
        <v>30</v>
      </c>
      <c r="AB190" s="43" t="s">
        <v>32</v>
      </c>
      <c r="AC190">
        <f t="shared" si="48"/>
        <v>0</v>
      </c>
      <c r="AD190" s="43" t="s">
        <v>31</v>
      </c>
      <c r="AE190">
        <f t="shared" si="49"/>
        <v>1</v>
      </c>
      <c r="AF190" s="34" t="str" cm="1">
        <f t="array" ref="AF190">INDEX(Ratings!$B$2:$M$40,_xlfn.XMATCH(Base!F190,Ratings!$A$2:$A$40),_xlfn.XMATCH(YEAR(Base!K190),Ratings!$B$1:$M$1))</f>
        <v>BB-</v>
      </c>
      <c r="AG190">
        <f t="shared" si="42"/>
        <v>0</v>
      </c>
      <c r="AH190">
        <f>IFERROR(IFERROR(IFERROR(INDEX('EMBI+'!$B:$B,MATCH(Base!$K190,'EMBI+'!$A:$A,0)),INDEX('EMBI+'!$B:$B,MATCH(Base!$K190+1,'EMBI+'!$A:$A,0))),INDEX('EMBI+'!$B:$B,MATCH(Base!$K190+2,'EMBI+'!$A:$A,0))),INDEX('EMBI+'!$B:$B,MATCH(Base!$K190+3,'EMBI+'!$A:$A,0)))/100</f>
        <v>3.31</v>
      </c>
      <c r="AL190" s="43"/>
      <c r="AM190" s="28"/>
      <c r="AN190" s="28"/>
    </row>
    <row r="191" spans="1:40" x14ac:dyDescent="0.35">
      <c r="A191">
        <f t="shared" si="43"/>
        <v>189</v>
      </c>
      <c r="B191">
        <f>IF(G191="Bonds",COUNTIF($G$3:G191,"Bonds"),0)</f>
        <v>65</v>
      </c>
      <c r="C191" t="str">
        <f t="shared" si="54"/>
        <v>Hidrovias do Brasil4423508/02/2031</v>
      </c>
      <c r="D191">
        <f t="shared" si="55"/>
        <v>18</v>
      </c>
      <c r="E191" s="43" t="s">
        <v>259</v>
      </c>
      <c r="F191" s="43" t="s">
        <v>256</v>
      </c>
      <c r="G191" s="43" t="s">
        <v>34</v>
      </c>
      <c r="H191">
        <f t="shared" si="45"/>
        <v>1</v>
      </c>
      <c r="I191" s="43"/>
      <c r="J191" s="34">
        <f t="shared" si="57"/>
        <v>5</v>
      </c>
      <c r="K191" s="28">
        <v>44235</v>
      </c>
      <c r="L191" s="28" t="s">
        <v>260</v>
      </c>
      <c r="M191" s="60">
        <f t="shared" si="46"/>
        <v>10.005479452054795</v>
      </c>
      <c r="N191" s="4">
        <f t="shared" si="47"/>
        <v>1</v>
      </c>
      <c r="O191" s="43" t="s">
        <v>29</v>
      </c>
      <c r="P191" t="str">
        <f t="shared" si="50"/>
        <v>0</v>
      </c>
      <c r="Q191" s="43"/>
      <c r="R191" s="43"/>
      <c r="S191" s="34">
        <f>IF($V191="USD",INDEX('Dólar Spot'!$B:$B,MATCH(Base!$K191,'Dólar Spot'!$A:$A,0)),"")</f>
        <v>5.3663999999999996</v>
      </c>
      <c r="T191" s="44">
        <v>500000000</v>
      </c>
      <c r="U191" s="8">
        <f t="shared" si="51"/>
        <v>26.832000000000001</v>
      </c>
      <c r="V191" s="43" t="s">
        <v>651</v>
      </c>
      <c r="W191" s="45" t="s">
        <v>29</v>
      </c>
      <c r="X191" s="53">
        <v>4.95</v>
      </c>
      <c r="Y191" s="9">
        <f>IF(AND(V191="DI",$W191=100),$X191/100,
IF(AND(V191="DI",$W191&lt;&gt;100,$X191=""),INDEX('Debs %CDI'!$Q:$Q,MATCH(Base!$C191,'Debs %CDI'!$A:$A,0)),
IF($V191="USD",INDEX(Bonds!$AF:$AF,MATCH(Base!$C191,Bonds!$B:$B,0)),
IF($V191="IPCA",INDEX('Debs IPCA'!$Z:$Z,MATCH(Base!$C191,'Debs IPCA'!$A:$A,0))))))</f>
        <v>3.1559344107938925E-2</v>
      </c>
      <c r="Z191" s="43">
        <v>360</v>
      </c>
      <c r="AA191" s="43" t="s">
        <v>37</v>
      </c>
      <c r="AB191" s="43" t="s">
        <v>32</v>
      </c>
      <c r="AC191">
        <f t="shared" si="48"/>
        <v>0</v>
      </c>
      <c r="AD191" s="43" t="s">
        <v>31</v>
      </c>
      <c r="AE191">
        <f t="shared" si="49"/>
        <v>1</v>
      </c>
      <c r="AF191" s="34" t="str" cm="1">
        <f t="array" ref="AF191">INDEX(Ratings!$B$2:$M$40,_xlfn.XMATCH(Base!F191,Ratings!$A$2:$A$40),_xlfn.XMATCH(YEAR(Base!K191),Ratings!$B$1:$M$1))</f>
        <v>BB</v>
      </c>
      <c r="AG191">
        <f t="shared" si="42"/>
        <v>0</v>
      </c>
      <c r="AH191">
        <f>IFERROR(IFERROR(IFERROR(INDEX('EMBI+'!$B:$B,MATCH(Base!$K191,'EMBI+'!$A:$A,0)),INDEX('EMBI+'!$B:$B,MATCH(Base!$K191+1,'EMBI+'!$A:$A,0))),INDEX('EMBI+'!$B:$B,MATCH(Base!$K191+2,'EMBI+'!$A:$A,0))),INDEX('EMBI+'!$B:$B,MATCH(Base!$K191+3,'EMBI+'!$A:$A,0)))/100</f>
        <v>2.68</v>
      </c>
      <c r="AL191" s="43"/>
      <c r="AM191" s="28"/>
      <c r="AN191" s="28"/>
    </row>
    <row r="192" spans="1:40" x14ac:dyDescent="0.35">
      <c r="A192">
        <f t="shared" si="43"/>
        <v>190</v>
      </c>
      <c r="B192">
        <f>IF(G192="Bonds",COUNTIF($G$3:G192,"Bonds"),0)</f>
        <v>66</v>
      </c>
      <c r="C192" t="str">
        <f t="shared" si="54"/>
        <v>Hidrovias do Brasil4312424/01/2025</v>
      </c>
      <c r="D192">
        <f t="shared" si="55"/>
        <v>18</v>
      </c>
      <c r="E192" s="43" t="s">
        <v>259</v>
      </c>
      <c r="F192" s="43" t="s">
        <v>256</v>
      </c>
      <c r="G192" s="43" t="s">
        <v>34</v>
      </c>
      <c r="H192">
        <f t="shared" si="45"/>
        <v>1</v>
      </c>
      <c r="I192" s="43"/>
      <c r="J192" s="34">
        <f t="shared" si="57"/>
        <v>6</v>
      </c>
      <c r="K192" s="28">
        <v>43124</v>
      </c>
      <c r="L192" s="28" t="s">
        <v>261</v>
      </c>
      <c r="M192" s="60">
        <f t="shared" si="46"/>
        <v>7.0054794520547947</v>
      </c>
      <c r="N192" s="4">
        <f t="shared" si="47"/>
        <v>1</v>
      </c>
      <c r="O192" s="43" t="s">
        <v>36</v>
      </c>
      <c r="P192" t="str">
        <f t="shared" si="50"/>
        <v>0</v>
      </c>
      <c r="Q192" s="43"/>
      <c r="R192" s="43"/>
      <c r="S192" s="34">
        <f>IF($V192="USD",INDEX('Dólar Spot'!$B:$B,MATCH(Base!$K192,'Dólar Spot'!$A:$A,0)),"")</f>
        <v>3.1964000000000001</v>
      </c>
      <c r="T192" s="44">
        <v>600000000</v>
      </c>
      <c r="U192" s="8">
        <f t="shared" si="51"/>
        <v>19.1784</v>
      </c>
      <c r="V192" s="43" t="s">
        <v>651</v>
      </c>
      <c r="W192" s="45" t="s">
        <v>29</v>
      </c>
      <c r="X192" s="53">
        <v>5.95</v>
      </c>
      <c r="Y192" s="9">
        <f>IF(AND(V192="DI",$W192=100),$X192/100,
IF(AND(V192="DI",$W192&lt;&gt;100,$X192=""),INDEX('Debs %CDI'!$Q:$Q,MATCH(Base!$C192,'Debs %CDI'!$A:$A,0)),
IF($V192="USD",INDEX(Bonds!$AF:$AF,MATCH(Base!$C192,Bonds!$B:$B,0)),
IF($V192="IPCA",INDEX('Debs IPCA'!$Z:$Z,MATCH(Base!$C192,'Debs IPCA'!$A:$A,0))))))</f>
        <v>2.3432653155916805E-2</v>
      </c>
      <c r="Z192" s="43">
        <v>360</v>
      </c>
      <c r="AA192" s="43" t="s">
        <v>37</v>
      </c>
      <c r="AB192" s="43" t="s">
        <v>32</v>
      </c>
      <c r="AC192">
        <f t="shared" si="48"/>
        <v>0</v>
      </c>
      <c r="AD192" s="43" t="s">
        <v>31</v>
      </c>
      <c r="AE192">
        <f t="shared" si="49"/>
        <v>1</v>
      </c>
      <c r="AF192" s="34" t="str" cm="1">
        <f t="array" ref="AF192">INDEX(Ratings!$B$2:$M$40,_xlfn.XMATCH(Base!F192,Ratings!$A$2:$A$40),_xlfn.XMATCH(YEAR(Base!K192),Ratings!$B$1:$M$1))</f>
        <v>BB</v>
      </c>
      <c r="AG192">
        <f t="shared" si="42"/>
        <v>0</v>
      </c>
      <c r="AH192">
        <f>IFERROR(IFERROR(IFERROR(INDEX('EMBI+'!$B:$B,MATCH(Base!$K192,'EMBI+'!$A:$A,0)),INDEX('EMBI+'!$B:$B,MATCH(Base!$K192+1,'EMBI+'!$A:$A,0))),INDEX('EMBI+'!$B:$B,MATCH(Base!$K192+2,'EMBI+'!$A:$A,0))),INDEX('EMBI+'!$B:$B,MATCH(Base!$K192+3,'EMBI+'!$A:$A,0)))/100</f>
        <v>2.2599999999999998</v>
      </c>
      <c r="AL192" s="43"/>
      <c r="AM192" s="28"/>
      <c r="AN192" s="28"/>
    </row>
    <row r="193" spans="1:40" x14ac:dyDescent="0.35">
      <c r="A193">
        <f t="shared" si="43"/>
        <v>191</v>
      </c>
      <c r="B193">
        <f>IF(G193="Bonds",COUNTIF($G$3:G193,"Bonds"),0)</f>
        <v>0</v>
      </c>
      <c r="C193" t="str">
        <f t="shared" si="54"/>
        <v>Hypera4063041726</v>
      </c>
      <c r="D193">
        <f t="shared" si="55"/>
        <v>19</v>
      </c>
      <c r="E193" s="43" t="s">
        <v>262</v>
      </c>
      <c r="F193" s="43" t="s">
        <v>263</v>
      </c>
      <c r="G193" s="43" t="s">
        <v>25</v>
      </c>
      <c r="H193">
        <f t="shared" si="45"/>
        <v>0</v>
      </c>
      <c r="I193" s="43" t="s">
        <v>264</v>
      </c>
      <c r="J193" s="34">
        <f t="shared" si="57"/>
        <v>1</v>
      </c>
      <c r="K193" s="28">
        <v>40630</v>
      </c>
      <c r="L193" s="28">
        <v>41726</v>
      </c>
      <c r="M193" s="60">
        <f t="shared" si="46"/>
        <v>3.0027397260273974</v>
      </c>
      <c r="N193" s="4">
        <f t="shared" si="47"/>
        <v>0</v>
      </c>
      <c r="O193" s="43" t="s">
        <v>44</v>
      </c>
      <c r="P193" t="str">
        <f t="shared" si="50"/>
        <v>0</v>
      </c>
      <c r="Q193" s="44">
        <v>200</v>
      </c>
      <c r="R193" s="43">
        <v>1000000</v>
      </c>
      <c r="S193" s="34" t="str">
        <f>IF($V193="USD",INDEX('Dólar Spot'!$B:$B,MATCH(Base!$K193,'Dólar Spot'!$A:$A,0)),"")</f>
        <v/>
      </c>
      <c r="T193" s="4">
        <f t="shared" ref="T193:T204" si="66">Q193*R193</f>
        <v>200000000</v>
      </c>
      <c r="U193" s="8">
        <f t="shared" si="51"/>
        <v>2</v>
      </c>
      <c r="V193" s="43" t="s">
        <v>41</v>
      </c>
      <c r="W193" s="45">
        <v>111</v>
      </c>
      <c r="X193" s="46"/>
      <c r="Y193" s="9">
        <f>IF(AND(V193="DI",$W193=100),$X193/100,
IF(AND(V193="DI",$W193&lt;&gt;100,$X193=""),INDEX('Debs %CDI'!$Q:$Q,MATCH(Base!$C193,'Debs %CDI'!$A:$A,0)),
IF($V193="USD",INDEX(Bonds!$AF:$AF,MATCH(Base!$C193,Bonds!$B:$B,0)),
IF($V193="IPCA",INDEX('Debs IPCA'!$Z:$Z,MATCH(Base!$C193,'Debs IPCA'!$A:$A,0))))))</f>
        <v>1.4115161866876289E-2</v>
      </c>
      <c r="Z193" s="43">
        <v>252</v>
      </c>
      <c r="AA193" s="43" t="s">
        <v>30</v>
      </c>
      <c r="AB193" s="43" t="s">
        <v>32</v>
      </c>
      <c r="AC193">
        <f t="shared" si="48"/>
        <v>0</v>
      </c>
      <c r="AD193" s="43" t="s">
        <v>31</v>
      </c>
      <c r="AE193">
        <f t="shared" si="49"/>
        <v>1</v>
      </c>
      <c r="AF193" s="34" t="str" cm="1">
        <f t="array" ref="AF193">INDEX(Ratings!$B$2:$M$40,_xlfn.XMATCH(Base!F193,Ratings!$A$2:$A$40),_xlfn.XMATCH(YEAR(Base!K193),Ratings!$B$1:$M$1))</f>
        <v>BB-</v>
      </c>
      <c r="AG193">
        <f t="shared" si="42"/>
        <v>0</v>
      </c>
      <c r="AH193">
        <f>IFERROR(IFERROR(IFERROR(INDEX('EMBI+'!$B:$B,MATCH(Base!$K193,'EMBI+'!$A:$A,0)),INDEX('EMBI+'!$B:$B,MATCH(Base!$K193+1,'EMBI+'!$A:$A,0))),INDEX('EMBI+'!$B:$B,MATCH(Base!$K193+2,'EMBI+'!$A:$A,0))),INDEX('EMBI+'!$B:$B,MATCH(Base!$K193+3,'EMBI+'!$A:$A,0)))/100</f>
        <v>1.7</v>
      </c>
      <c r="AL193" s="43"/>
      <c r="AM193" s="28"/>
      <c r="AN193" s="28"/>
    </row>
    <row r="194" spans="1:40" x14ac:dyDescent="0.35">
      <c r="A194">
        <f t="shared" si="43"/>
        <v>192</v>
      </c>
      <c r="B194">
        <f>IF(G194="Bonds",COUNTIF($G$3:G194,"Bonds"),0)</f>
        <v>0</v>
      </c>
      <c r="C194" t="str">
        <f t="shared" si="54"/>
        <v>Hypera4148843314</v>
      </c>
      <c r="D194">
        <f t="shared" si="55"/>
        <v>19</v>
      </c>
      <c r="E194" s="43" t="s">
        <v>262</v>
      </c>
      <c r="F194" s="43" t="s">
        <v>263</v>
      </c>
      <c r="G194" s="43" t="s">
        <v>25</v>
      </c>
      <c r="H194">
        <f t="shared" si="45"/>
        <v>0</v>
      </c>
      <c r="I194" s="43" t="s">
        <v>265</v>
      </c>
      <c r="J194" s="34">
        <f t="shared" si="57"/>
        <v>2</v>
      </c>
      <c r="K194" s="28">
        <v>41488</v>
      </c>
      <c r="L194" s="28">
        <v>43314</v>
      </c>
      <c r="M194" s="60">
        <f t="shared" si="46"/>
        <v>5.0027397260273974</v>
      </c>
      <c r="N194" s="4">
        <f t="shared" si="47"/>
        <v>1</v>
      </c>
      <c r="O194" s="43" t="s">
        <v>58</v>
      </c>
      <c r="P194" t="str">
        <f t="shared" si="50"/>
        <v>1</v>
      </c>
      <c r="Q194" s="44">
        <v>40000</v>
      </c>
      <c r="R194" s="43">
        <v>10000</v>
      </c>
      <c r="S194" s="34" t="str">
        <f>IF($V194="USD",INDEX('Dólar Spot'!$B:$B,MATCH(Base!$K194,'Dólar Spot'!$A:$A,0)),"")</f>
        <v/>
      </c>
      <c r="T194" s="4">
        <f t="shared" si="66"/>
        <v>400000000</v>
      </c>
      <c r="U194" s="8">
        <f t="shared" si="51"/>
        <v>4</v>
      </c>
      <c r="V194" s="43" t="s">
        <v>41</v>
      </c>
      <c r="W194" s="45">
        <v>109.95</v>
      </c>
      <c r="X194" s="46"/>
      <c r="Y194" s="9">
        <f>IF(AND(V194="DI",$W194=100),$X194/100,
IF(AND(V194="DI",$W194&lt;&gt;100,$X194=""),INDEX('Debs %CDI'!$Q:$Q,MATCH(Base!$C194,'Debs %CDI'!$A:$A,0)),
IF($V194="USD",INDEX(Bonds!$AF:$AF,MATCH(Base!$C194,Bonds!$B:$B,0)),
IF($V194="IPCA",INDEX('Debs IPCA'!$Z:$Z,MATCH(Base!$C194,'Debs IPCA'!$A:$A,0))))))</f>
        <v>1.0989691938876599E-2</v>
      </c>
      <c r="Z194" s="43">
        <v>252</v>
      </c>
      <c r="AA194" s="43" t="s">
        <v>30</v>
      </c>
      <c r="AB194" s="43" t="s">
        <v>32</v>
      </c>
      <c r="AC194">
        <f t="shared" si="48"/>
        <v>0</v>
      </c>
      <c r="AD194" s="43" t="s">
        <v>31</v>
      </c>
      <c r="AE194">
        <f t="shared" si="49"/>
        <v>1</v>
      </c>
      <c r="AF194" s="34" t="str" cm="1">
        <f t="array" ref="AF194">INDEX(Ratings!$B$2:$M$40,_xlfn.XMATCH(Base!F194,Ratings!$A$2:$A$40),_xlfn.XMATCH(YEAR(Base!K194),Ratings!$B$1:$M$1))</f>
        <v>BB-</v>
      </c>
      <c r="AG194">
        <f t="shared" si="42"/>
        <v>0</v>
      </c>
      <c r="AH194">
        <f>IFERROR(IFERROR(IFERROR(INDEX('EMBI+'!$B:$B,MATCH(Base!$K194,'EMBI+'!$A:$A,0)),INDEX('EMBI+'!$B:$B,MATCH(Base!$K194+1,'EMBI+'!$A:$A,0))),INDEX('EMBI+'!$B:$B,MATCH(Base!$K194+2,'EMBI+'!$A:$A,0))),INDEX('EMBI+'!$B:$B,MATCH(Base!$K194+3,'EMBI+'!$A:$A,0)))/100</f>
        <v>2.36</v>
      </c>
      <c r="AL194" s="43"/>
      <c r="AM194" s="28"/>
      <c r="AN194" s="28"/>
    </row>
    <row r="195" spans="1:40" x14ac:dyDescent="0.35">
      <c r="A195">
        <f t="shared" si="43"/>
        <v>193</v>
      </c>
      <c r="B195">
        <f>IF(G195="Bonds",COUNTIF($G$3:G195,"Bonds"),0)</f>
        <v>0</v>
      </c>
      <c r="C195" t="str">
        <f t="shared" si="54"/>
        <v>Hypera4160242940</v>
      </c>
      <c r="D195">
        <f t="shared" si="55"/>
        <v>19</v>
      </c>
      <c r="E195" s="43" t="s">
        <v>262</v>
      </c>
      <c r="F195" s="43" t="s">
        <v>263</v>
      </c>
      <c r="G195" s="43" t="s">
        <v>25</v>
      </c>
      <c r="H195">
        <f t="shared" si="45"/>
        <v>0</v>
      </c>
      <c r="I195" s="43" t="s">
        <v>266</v>
      </c>
      <c r="J195" s="34">
        <f t="shared" si="57"/>
        <v>3</v>
      </c>
      <c r="K195" s="28">
        <v>41602</v>
      </c>
      <c r="L195" s="28">
        <v>42940</v>
      </c>
      <c r="M195" s="60">
        <f t="shared" si="46"/>
        <v>3.6657534246575341</v>
      </c>
      <c r="N195" s="4">
        <f t="shared" si="47"/>
        <v>0</v>
      </c>
      <c r="O195" s="43" t="s">
        <v>44</v>
      </c>
      <c r="P195" t="str">
        <f t="shared" si="50"/>
        <v>0</v>
      </c>
      <c r="Q195" s="44">
        <v>200</v>
      </c>
      <c r="R195" s="43">
        <v>1000000</v>
      </c>
      <c r="S195" s="34" t="str">
        <f>IF($V195="USD",INDEX('Dólar Spot'!$B:$B,MATCH(Base!$K195,'Dólar Spot'!$A:$A,0)),"")</f>
        <v/>
      </c>
      <c r="T195" s="4">
        <f t="shared" si="66"/>
        <v>200000000</v>
      </c>
      <c r="U195" s="8">
        <f t="shared" si="51"/>
        <v>2</v>
      </c>
      <c r="V195" s="43" t="s">
        <v>41</v>
      </c>
      <c r="W195" s="45">
        <v>110.75</v>
      </c>
      <c r="X195" s="46"/>
      <c r="Y195" s="9">
        <f>IF(AND(V195="DI",$W195=100),$X195/100,
IF(AND(V195="DI",$W195&lt;&gt;100,$X195=""),INDEX('Debs %CDI'!$Q:$Q,MATCH(Base!$C195,'Debs %CDI'!$A:$A,0)),
IF($V195="USD",INDEX(Bonds!$AF:$AF,MATCH(Base!$C195,Bonds!$B:$B,0)),
IF($V195="IPCA",INDEX('Debs IPCA'!$Z:$Z,MATCH(Base!$C195,'Debs IPCA'!$A:$A,0))))))</f>
        <v>1.3258711060067339E-2</v>
      </c>
      <c r="Z195" s="43">
        <v>252</v>
      </c>
      <c r="AA195" s="43" t="s">
        <v>30</v>
      </c>
      <c r="AB195" s="43" t="s">
        <v>32</v>
      </c>
      <c r="AC195">
        <f t="shared" si="48"/>
        <v>0</v>
      </c>
      <c r="AD195" s="43" t="s">
        <v>31</v>
      </c>
      <c r="AE195">
        <f t="shared" si="49"/>
        <v>1</v>
      </c>
      <c r="AF195" s="34" t="str" cm="1">
        <f t="array" ref="AF195">INDEX(Ratings!$B$2:$M$40,_xlfn.XMATCH(Base!F195,Ratings!$A$2:$A$40),_xlfn.XMATCH(YEAR(Base!K195),Ratings!$B$1:$M$1))</f>
        <v>BB-</v>
      </c>
      <c r="AG195">
        <f t="shared" si="42"/>
        <v>0</v>
      </c>
      <c r="AH195">
        <f>IFERROR(IFERROR(IFERROR(INDEX('EMBI+'!$B:$B,MATCH(Base!$K195,'EMBI+'!$A:$A,0)),INDEX('EMBI+'!$B:$B,MATCH(Base!$K195+1,'EMBI+'!$A:$A,0))),INDEX('EMBI+'!$B:$B,MATCH(Base!$K195+2,'EMBI+'!$A:$A,0))),INDEX('EMBI+'!$B:$B,MATCH(Base!$K195+3,'EMBI+'!$A:$A,0)))/100</f>
        <v>2.42</v>
      </c>
      <c r="AL195" s="43"/>
      <c r="AM195" s="28"/>
      <c r="AN195" s="28"/>
    </row>
    <row r="196" spans="1:40" x14ac:dyDescent="0.35">
      <c r="A196">
        <f t="shared" si="43"/>
        <v>194</v>
      </c>
      <c r="B196">
        <f>IF(G196="Bonds",COUNTIF($G$3:G196,"Bonds"),0)</f>
        <v>0</v>
      </c>
      <c r="C196" t="str">
        <f t="shared" si="54"/>
        <v>Hypera4173943565</v>
      </c>
      <c r="D196">
        <f t="shared" si="55"/>
        <v>19</v>
      </c>
      <c r="E196" s="43" t="s">
        <v>262</v>
      </c>
      <c r="F196" s="43" t="s">
        <v>263</v>
      </c>
      <c r="G196" s="43" t="s">
        <v>25</v>
      </c>
      <c r="H196">
        <f t="shared" si="45"/>
        <v>0</v>
      </c>
      <c r="I196" s="43" t="s">
        <v>267</v>
      </c>
      <c r="J196" s="34">
        <f t="shared" si="57"/>
        <v>4</v>
      </c>
      <c r="K196" s="28">
        <v>41739</v>
      </c>
      <c r="L196" s="28">
        <v>43565</v>
      </c>
      <c r="M196" s="60">
        <f t="shared" si="46"/>
        <v>5.0027397260273974</v>
      </c>
      <c r="N196" s="4">
        <f t="shared" si="47"/>
        <v>1</v>
      </c>
      <c r="O196" s="43" t="s">
        <v>44</v>
      </c>
      <c r="P196" t="str">
        <f t="shared" si="50"/>
        <v>0</v>
      </c>
      <c r="Q196" s="44">
        <v>400</v>
      </c>
      <c r="R196" s="43">
        <v>1000000</v>
      </c>
      <c r="S196" s="34" t="str">
        <f>IF($V196="USD",INDEX('Dólar Spot'!$B:$B,MATCH(Base!$K196,'Dólar Spot'!$A:$A,0)),"")</f>
        <v/>
      </c>
      <c r="T196" s="4">
        <f t="shared" si="66"/>
        <v>400000000</v>
      </c>
      <c r="U196" s="8">
        <f t="shared" si="51"/>
        <v>4</v>
      </c>
      <c r="V196" s="43" t="s">
        <v>41</v>
      </c>
      <c r="W196" s="45">
        <v>110</v>
      </c>
      <c r="X196" s="46"/>
      <c r="Y196" s="9">
        <f>IF(AND(V196="DI",$W196=100),$X196/100,
IF(AND(V196="DI",$W196&lt;&gt;100,$X196=""),INDEX('Debs %CDI'!$Q:$Q,MATCH(Base!$C196,'Debs %CDI'!$A:$A,0)),
IF($V196="USD",INDEX(Bonds!$AF:$AF,MATCH(Base!$C196,Bonds!$B:$B,0)),
IF($V196="IPCA",INDEX('Debs IPCA'!$Z:$Z,MATCH(Base!$C196,'Debs IPCA'!$A:$A,0))))))</f>
        <v>1.2548325769659373E-2</v>
      </c>
      <c r="Z196" s="43">
        <v>252</v>
      </c>
      <c r="AA196" s="43" t="s">
        <v>30</v>
      </c>
      <c r="AB196" s="43" t="s">
        <v>32</v>
      </c>
      <c r="AC196">
        <f t="shared" si="48"/>
        <v>0</v>
      </c>
      <c r="AD196" s="43" t="s">
        <v>31</v>
      </c>
      <c r="AE196">
        <f t="shared" si="49"/>
        <v>1</v>
      </c>
      <c r="AF196" s="34" t="str" cm="1">
        <f t="array" ref="AF196">INDEX(Ratings!$B$2:$M$40,_xlfn.XMATCH(Base!F196,Ratings!$A$2:$A$40),_xlfn.XMATCH(YEAR(Base!K196),Ratings!$B$1:$M$1))</f>
        <v>BB</v>
      </c>
      <c r="AG196">
        <f t="shared" ref="AG196:AG259" si="67">IF(AND(AF196&lt;&gt;"BBB-",AF196&lt;&gt;"BBB",AF196&lt;&gt;"BBB+"),0,1)</f>
        <v>0</v>
      </c>
      <c r="AH196">
        <f>IFERROR(IFERROR(IFERROR(INDEX('EMBI+'!$B:$B,MATCH(Base!$K196,'EMBI+'!$A:$A,0)),INDEX('EMBI+'!$B:$B,MATCH(Base!$K196+1,'EMBI+'!$A:$A,0))),INDEX('EMBI+'!$B:$B,MATCH(Base!$K196+2,'EMBI+'!$A:$A,0))),INDEX('EMBI+'!$B:$B,MATCH(Base!$K196+3,'EMBI+'!$A:$A,0)))/100</f>
        <v>2.2000000000000002</v>
      </c>
      <c r="AL196" s="43"/>
      <c r="AM196" s="28"/>
      <c r="AN196" s="28"/>
    </row>
    <row r="197" spans="1:40" x14ac:dyDescent="0.35">
      <c r="A197">
        <f t="shared" si="43"/>
        <v>195</v>
      </c>
      <c r="B197">
        <f>IF(G197="Bonds",COUNTIF($G$3:G197,"Bonds"),0)</f>
        <v>0</v>
      </c>
      <c r="C197" t="str">
        <f t="shared" si="54"/>
        <v>Hypera4379745989</v>
      </c>
      <c r="D197">
        <f t="shared" si="55"/>
        <v>19</v>
      </c>
      <c r="E197" s="43" t="s">
        <v>262</v>
      </c>
      <c r="F197" s="43" t="s">
        <v>263</v>
      </c>
      <c r="G197" s="43" t="s">
        <v>25</v>
      </c>
      <c r="H197">
        <f t="shared" si="45"/>
        <v>0</v>
      </c>
      <c r="I197" s="43" t="s">
        <v>268</v>
      </c>
      <c r="J197" s="34">
        <f t="shared" si="57"/>
        <v>5</v>
      </c>
      <c r="K197" s="28">
        <v>43797</v>
      </c>
      <c r="L197" s="28">
        <v>45989</v>
      </c>
      <c r="M197" s="60">
        <f t="shared" si="46"/>
        <v>6.0054794520547947</v>
      </c>
      <c r="N197" s="4">
        <f t="shared" si="47"/>
        <v>1</v>
      </c>
      <c r="O197" s="43" t="s">
        <v>44</v>
      </c>
      <c r="P197" t="str">
        <f t="shared" si="50"/>
        <v>0</v>
      </c>
      <c r="Q197" s="44">
        <v>80000</v>
      </c>
      <c r="R197" s="43">
        <v>10000</v>
      </c>
      <c r="S197" s="34" t="str">
        <f>IF($V197="USD",INDEX('Dólar Spot'!$B:$B,MATCH(Base!$K197,'Dólar Spot'!$A:$A,0)),"")</f>
        <v/>
      </c>
      <c r="T197" s="4">
        <f t="shared" si="66"/>
        <v>800000000</v>
      </c>
      <c r="U197" s="8">
        <f t="shared" si="51"/>
        <v>8</v>
      </c>
      <c r="V197" s="43" t="s">
        <v>41</v>
      </c>
      <c r="W197" s="45">
        <v>100</v>
      </c>
      <c r="X197" s="46">
        <v>1.25</v>
      </c>
      <c r="Y197" s="9">
        <f>IF(AND(V197="DI",$W197=100),$X197/100,
IF(AND(V197="DI",$W197&lt;&gt;100,$X197=""),INDEX('Debs %CDI'!$Q:$Q,MATCH(Base!$C197,'Debs %CDI'!$A:$A,0)),
IF($V197="USD",INDEX(Bonds!$AF:$AF,MATCH(Base!$C197,Bonds!$B:$B,0)),
IF($V197="IPCA",INDEX('Debs IPCA'!$Z:$Z,MATCH(Base!$C197,'Debs IPCA'!$A:$A,0))))))</f>
        <v>1.2500000000000001E-2</v>
      </c>
      <c r="Z197" s="43">
        <v>252</v>
      </c>
      <c r="AA197" s="43" t="s">
        <v>30</v>
      </c>
      <c r="AB197" s="43" t="s">
        <v>32</v>
      </c>
      <c r="AC197">
        <f t="shared" si="48"/>
        <v>0</v>
      </c>
      <c r="AD197" s="43" t="s">
        <v>31</v>
      </c>
      <c r="AE197">
        <f t="shared" si="49"/>
        <v>1</v>
      </c>
      <c r="AF197" s="34" t="str" cm="1">
        <f t="array" ref="AF197">INDEX(Ratings!$B$2:$M$40,_xlfn.XMATCH(Base!F197,Ratings!$A$2:$A$40),_xlfn.XMATCH(YEAR(Base!K197),Ratings!$B$1:$M$1))</f>
        <v>BB+</v>
      </c>
      <c r="AG197">
        <f t="shared" si="67"/>
        <v>0</v>
      </c>
      <c r="AH197">
        <f>IFERROR(IFERROR(IFERROR(INDEX('EMBI+'!$B:$B,MATCH(Base!$K197,'EMBI+'!$A:$A,0)),INDEX('EMBI+'!$B:$B,MATCH(Base!$K197+1,'EMBI+'!$A:$A,0))),INDEX('EMBI+'!$B:$B,MATCH(Base!$K197+2,'EMBI+'!$A:$A,0))),INDEX('EMBI+'!$B:$B,MATCH(Base!$K197+3,'EMBI+'!$A:$A,0)))/100</f>
        <v>2.44</v>
      </c>
      <c r="AL197" s="43"/>
      <c r="AM197" s="28"/>
      <c r="AN197" s="28"/>
    </row>
    <row r="198" spans="1:40" x14ac:dyDescent="0.35">
      <c r="A198">
        <f t="shared" si="43"/>
        <v>196</v>
      </c>
      <c r="B198">
        <f>IF(G198="Bonds",COUNTIF($G$3:G198,"Bonds"),0)</f>
        <v>0</v>
      </c>
      <c r="C198" t="str">
        <f t="shared" si="54"/>
        <v>Hypera4392446115</v>
      </c>
      <c r="D198">
        <f t="shared" si="55"/>
        <v>19</v>
      </c>
      <c r="E198" s="43" t="s">
        <v>262</v>
      </c>
      <c r="F198" s="43" t="s">
        <v>263</v>
      </c>
      <c r="G198" s="43" t="s">
        <v>25</v>
      </c>
      <c r="H198">
        <f t="shared" si="45"/>
        <v>0</v>
      </c>
      <c r="I198" s="43" t="s">
        <v>269</v>
      </c>
      <c r="J198" s="34">
        <f t="shared" si="57"/>
        <v>6</v>
      </c>
      <c r="K198" s="28">
        <v>43924</v>
      </c>
      <c r="L198" s="28">
        <v>46115</v>
      </c>
      <c r="M198" s="60">
        <f t="shared" si="46"/>
        <v>6.0027397260273974</v>
      </c>
      <c r="N198" s="4">
        <f t="shared" si="47"/>
        <v>1</v>
      </c>
      <c r="O198" s="43" t="s">
        <v>44</v>
      </c>
      <c r="P198" t="str">
        <f t="shared" si="50"/>
        <v>0</v>
      </c>
      <c r="Q198" s="44">
        <v>248500</v>
      </c>
      <c r="R198" s="43">
        <v>10000</v>
      </c>
      <c r="S198" s="34" t="str">
        <f>IF($V198="USD",INDEX('Dólar Spot'!$B:$B,MATCH(Base!$K198,'Dólar Spot'!$A:$A,0)),"")</f>
        <v/>
      </c>
      <c r="T198" s="4">
        <f t="shared" si="66"/>
        <v>2485000000</v>
      </c>
      <c r="U198" s="8">
        <f t="shared" si="51"/>
        <v>24.85</v>
      </c>
      <c r="V198" s="43" t="s">
        <v>41</v>
      </c>
      <c r="W198" s="45">
        <v>100</v>
      </c>
      <c r="X198" s="46">
        <v>1.5</v>
      </c>
      <c r="Y198" s="9">
        <f>IF(AND(V198="DI",$W198=100),$X198/100,
IF(AND(V198="DI",$W198&lt;&gt;100,$X198=""),INDEX('Debs %CDI'!$Q:$Q,MATCH(Base!$C198,'Debs %CDI'!$A:$A,0)),
IF($V198="USD",INDEX(Bonds!$AF:$AF,MATCH(Base!$C198,Bonds!$B:$B,0)),
IF($V198="IPCA",INDEX('Debs IPCA'!$Z:$Z,MATCH(Base!$C198,'Debs IPCA'!$A:$A,0))))))</f>
        <v>1.4999999999999999E-2</v>
      </c>
      <c r="Z198" s="43">
        <v>252</v>
      </c>
      <c r="AA198" s="43" t="s">
        <v>30</v>
      </c>
      <c r="AB198" s="43" t="s">
        <v>32</v>
      </c>
      <c r="AC198">
        <f t="shared" si="48"/>
        <v>0</v>
      </c>
      <c r="AD198" s="43" t="s">
        <v>31</v>
      </c>
      <c r="AE198">
        <f t="shared" si="49"/>
        <v>1</v>
      </c>
      <c r="AF198" s="34" t="str" cm="1">
        <f t="array" ref="AF198">INDEX(Ratings!$B$2:$M$40,_xlfn.XMATCH(Base!F198,Ratings!$A$2:$A$40),_xlfn.XMATCH(YEAR(Base!K198),Ratings!$B$1:$M$1))</f>
        <v>BB+</v>
      </c>
      <c r="AG198">
        <f t="shared" si="67"/>
        <v>0</v>
      </c>
      <c r="AH198">
        <f>IFERROR(IFERROR(IFERROR(INDEX('EMBI+'!$B:$B,MATCH(Base!$K198,'EMBI+'!$A:$A,0)),INDEX('EMBI+'!$B:$B,MATCH(Base!$K198+1,'EMBI+'!$A:$A,0))),INDEX('EMBI+'!$B:$B,MATCH(Base!$K198+2,'EMBI+'!$A:$A,0))),INDEX('EMBI+'!$B:$B,MATCH(Base!$K198+3,'EMBI+'!$A:$A,0)))/100</f>
        <v>4.45</v>
      </c>
      <c r="AL198" s="43"/>
      <c r="AM198" s="28"/>
      <c r="AN198" s="28"/>
    </row>
    <row r="199" spans="1:40" x14ac:dyDescent="0.35">
      <c r="A199">
        <f t="shared" si="43"/>
        <v>197</v>
      </c>
      <c r="B199">
        <f>IF(G199="Bonds",COUNTIF($G$3:G199,"Bonds"),0)</f>
        <v>0</v>
      </c>
      <c r="C199" t="str">
        <f t="shared" si="54"/>
        <v>Hypera4063041757</v>
      </c>
      <c r="D199">
        <f t="shared" si="55"/>
        <v>19</v>
      </c>
      <c r="E199" s="43" t="s">
        <v>262</v>
      </c>
      <c r="F199" s="43" t="s">
        <v>263</v>
      </c>
      <c r="G199" s="43" t="s">
        <v>25</v>
      </c>
      <c r="H199">
        <f t="shared" si="45"/>
        <v>0</v>
      </c>
      <c r="I199" s="43" t="s">
        <v>270</v>
      </c>
      <c r="J199" s="34">
        <f t="shared" si="57"/>
        <v>7</v>
      </c>
      <c r="K199" s="28">
        <v>40630</v>
      </c>
      <c r="L199" s="28">
        <v>41757</v>
      </c>
      <c r="M199" s="60">
        <f t="shared" si="46"/>
        <v>3.0876712328767124</v>
      </c>
      <c r="N199" s="4">
        <f t="shared" si="47"/>
        <v>0</v>
      </c>
      <c r="O199" s="43" t="s">
        <v>44</v>
      </c>
      <c r="P199" t="str">
        <f t="shared" si="50"/>
        <v>0</v>
      </c>
      <c r="Q199" s="44">
        <v>200</v>
      </c>
      <c r="R199" s="43">
        <v>1000000</v>
      </c>
      <c r="S199" s="34" t="str">
        <f>IF($V199="USD",INDEX('Dólar Spot'!$B:$B,MATCH(Base!$K199,'Dólar Spot'!$A:$A,0)),"")</f>
        <v/>
      </c>
      <c r="T199" s="4">
        <f t="shared" si="66"/>
        <v>200000000</v>
      </c>
      <c r="U199" s="8">
        <f t="shared" si="51"/>
        <v>2</v>
      </c>
      <c r="V199" s="43" t="s">
        <v>41</v>
      </c>
      <c r="W199" s="45">
        <v>111</v>
      </c>
      <c r="X199" s="46"/>
      <c r="Y199" s="9">
        <f>IF(AND(V199="DI",$W199=100),$X199/100,
IF(AND(V199="DI",$W199&lt;&gt;100,$X199=""),INDEX('Debs %CDI'!$Q:$Q,MATCH(Base!$C199,'Debs %CDI'!$A:$A,0)),
IF($V199="USD",INDEX(Bonds!$AF:$AF,MATCH(Base!$C199,Bonds!$B:$B,0)),
IF($V199="IPCA",INDEX('Debs IPCA'!$Z:$Z,MATCH(Base!$C199,'Debs IPCA'!$A:$A,0))))))</f>
        <v>1.41124262469337E-2</v>
      </c>
      <c r="Z199" s="43">
        <v>252</v>
      </c>
      <c r="AA199" s="43" t="s">
        <v>30</v>
      </c>
      <c r="AB199" s="43" t="s">
        <v>32</v>
      </c>
      <c r="AC199">
        <f t="shared" si="48"/>
        <v>0</v>
      </c>
      <c r="AD199" s="43" t="s">
        <v>31</v>
      </c>
      <c r="AE199">
        <f t="shared" si="49"/>
        <v>1</v>
      </c>
      <c r="AF199" s="34" t="str" cm="1">
        <f t="array" ref="AF199">INDEX(Ratings!$B$2:$M$40,_xlfn.XMATCH(Base!F199,Ratings!$A$2:$A$40),_xlfn.XMATCH(YEAR(Base!K199),Ratings!$B$1:$M$1))</f>
        <v>BB-</v>
      </c>
      <c r="AG199">
        <f t="shared" si="67"/>
        <v>0</v>
      </c>
      <c r="AH199">
        <f>IFERROR(IFERROR(IFERROR(INDEX('EMBI+'!$B:$B,MATCH(Base!$K199,'EMBI+'!$A:$A,0)),INDEX('EMBI+'!$B:$B,MATCH(Base!$K199+1,'EMBI+'!$A:$A,0))),INDEX('EMBI+'!$B:$B,MATCH(Base!$K199+2,'EMBI+'!$A:$A,0))),INDEX('EMBI+'!$B:$B,MATCH(Base!$K199+3,'EMBI+'!$A:$A,0)))/100</f>
        <v>1.7</v>
      </c>
      <c r="AL199" s="43"/>
      <c r="AM199" s="28"/>
      <c r="AN199" s="28"/>
    </row>
    <row r="200" spans="1:40" x14ac:dyDescent="0.35">
      <c r="A200">
        <f t="shared" ref="A200:A263" si="68">+A199+1</f>
        <v>198</v>
      </c>
      <c r="B200">
        <f>IF(G200="Bonds",COUNTIF($G$3:G200,"Bonds"),0)</f>
        <v>0</v>
      </c>
      <c r="C200" t="str">
        <f t="shared" si="54"/>
        <v>Hypera4407545901</v>
      </c>
      <c r="D200">
        <f t="shared" si="55"/>
        <v>19</v>
      </c>
      <c r="E200" s="43" t="s">
        <v>262</v>
      </c>
      <c r="F200" s="43" t="s">
        <v>263</v>
      </c>
      <c r="G200" s="43" t="s">
        <v>25</v>
      </c>
      <c r="H200">
        <f t="shared" si="45"/>
        <v>0</v>
      </c>
      <c r="I200" s="43" t="s">
        <v>271</v>
      </c>
      <c r="J200" s="34">
        <f t="shared" si="57"/>
        <v>8</v>
      </c>
      <c r="K200" s="28">
        <v>44075</v>
      </c>
      <c r="L200" s="28">
        <v>45901</v>
      </c>
      <c r="M200" s="60">
        <f t="shared" si="46"/>
        <v>5.0027397260273974</v>
      </c>
      <c r="N200" s="4">
        <f t="shared" si="47"/>
        <v>1</v>
      </c>
      <c r="O200" s="43" t="s">
        <v>44</v>
      </c>
      <c r="P200" t="str">
        <f t="shared" si="50"/>
        <v>0</v>
      </c>
      <c r="Q200" s="44">
        <v>23500</v>
      </c>
      <c r="R200" s="43">
        <v>10000</v>
      </c>
      <c r="S200" s="34" t="str">
        <f>IF($V200="USD",INDEX('Dólar Spot'!$B:$B,MATCH(Base!$K200,'Dólar Spot'!$A:$A,0)),"")</f>
        <v/>
      </c>
      <c r="T200" s="4">
        <f t="shared" si="66"/>
        <v>235000000</v>
      </c>
      <c r="U200" s="8">
        <f t="shared" si="51"/>
        <v>2.35</v>
      </c>
      <c r="V200" s="43" t="s">
        <v>41</v>
      </c>
      <c r="W200" s="45">
        <v>100</v>
      </c>
      <c r="X200" s="46">
        <v>1.75</v>
      </c>
      <c r="Y200" s="9">
        <f>IF(AND(V200="DI",$W200=100),$X200/100,
IF(AND(V200="DI",$W200&lt;&gt;100,$X200=""),INDEX('Debs %CDI'!$Q:$Q,MATCH(Base!$C200,'Debs %CDI'!$A:$A,0)),
IF($V200="USD",INDEX(Bonds!$AF:$AF,MATCH(Base!$C200,Bonds!$B:$B,0)),
IF($V200="IPCA",INDEX('Debs IPCA'!$Z:$Z,MATCH(Base!$C200,'Debs IPCA'!$A:$A,0))))))</f>
        <v>1.7500000000000002E-2</v>
      </c>
      <c r="Z200" s="43">
        <v>252</v>
      </c>
      <c r="AA200" s="43" t="s">
        <v>30</v>
      </c>
      <c r="AB200" s="43" t="s">
        <v>32</v>
      </c>
      <c r="AC200">
        <f t="shared" si="48"/>
        <v>0</v>
      </c>
      <c r="AD200" s="43" t="s">
        <v>31</v>
      </c>
      <c r="AE200">
        <f t="shared" si="49"/>
        <v>1</v>
      </c>
      <c r="AF200" s="34" t="str" cm="1">
        <f t="array" ref="AF200">INDEX(Ratings!$B$2:$M$40,_xlfn.XMATCH(Base!F200,Ratings!$A$2:$A$40),_xlfn.XMATCH(YEAR(Base!K200),Ratings!$B$1:$M$1))</f>
        <v>BB+</v>
      </c>
      <c r="AG200">
        <f t="shared" si="67"/>
        <v>0</v>
      </c>
      <c r="AH200">
        <f>IFERROR(IFERROR(IFERROR(INDEX('EMBI+'!$B:$B,MATCH(Base!$K200,'EMBI+'!$A:$A,0)),INDEX('EMBI+'!$B:$B,MATCH(Base!$K200+1,'EMBI+'!$A:$A,0))),INDEX('EMBI+'!$B:$B,MATCH(Base!$K200+2,'EMBI+'!$A:$A,0))),INDEX('EMBI+'!$B:$B,MATCH(Base!$K200+3,'EMBI+'!$A:$A,0)))/100</f>
        <v>3.14</v>
      </c>
      <c r="AL200" s="43"/>
      <c r="AM200" s="28"/>
      <c r="AN200" s="28"/>
    </row>
    <row r="201" spans="1:40" x14ac:dyDescent="0.35">
      <c r="A201">
        <f t="shared" si="68"/>
        <v>199</v>
      </c>
      <c r="B201">
        <f>IF(G201="Bonds",COUNTIF($G$3:G201,"Bonds"),0)</f>
        <v>0</v>
      </c>
      <c r="C201" t="str">
        <f t="shared" si="54"/>
        <v>Hypera4444846274</v>
      </c>
      <c r="D201">
        <f t="shared" si="55"/>
        <v>19</v>
      </c>
      <c r="E201" s="43" t="s">
        <v>262</v>
      </c>
      <c r="F201" s="43" t="s">
        <v>263</v>
      </c>
      <c r="G201" s="43" t="s">
        <v>25</v>
      </c>
      <c r="H201">
        <f t="shared" si="45"/>
        <v>0</v>
      </c>
      <c r="I201" s="43" t="s">
        <v>272</v>
      </c>
      <c r="J201" s="34">
        <f t="shared" si="57"/>
        <v>9</v>
      </c>
      <c r="K201" s="28">
        <v>44448</v>
      </c>
      <c r="L201" s="28">
        <v>46274</v>
      </c>
      <c r="M201" s="60">
        <f t="shared" si="46"/>
        <v>5.0027397260273974</v>
      </c>
      <c r="N201" s="4">
        <f t="shared" si="47"/>
        <v>1</v>
      </c>
      <c r="O201" s="43" t="s">
        <v>44</v>
      </c>
      <c r="P201" t="str">
        <f t="shared" si="50"/>
        <v>0</v>
      </c>
      <c r="Q201" s="44">
        <v>1000000</v>
      </c>
      <c r="R201" s="43">
        <v>1000</v>
      </c>
      <c r="S201" s="34" t="str">
        <f>IF($V201="USD",INDEX('Dólar Spot'!$B:$B,MATCH(Base!$K201,'Dólar Spot'!$A:$A,0)),"")</f>
        <v/>
      </c>
      <c r="T201" s="4">
        <f t="shared" si="66"/>
        <v>1000000000</v>
      </c>
      <c r="U201" s="8">
        <f t="shared" si="51"/>
        <v>10</v>
      </c>
      <c r="V201" s="43" t="s">
        <v>41</v>
      </c>
      <c r="W201" s="45">
        <v>100</v>
      </c>
      <c r="X201" s="46">
        <v>1.45</v>
      </c>
      <c r="Y201" s="9">
        <f>IF(AND(V201="DI",$W201=100),$X201/100,
IF(AND(V201="DI",$W201&lt;&gt;100,$X201=""),INDEX('Debs %CDI'!$Q:$Q,MATCH(Base!$C201,'Debs %CDI'!$A:$A,0)),
IF($V201="USD",INDEX(Bonds!$AF:$AF,MATCH(Base!$C201,Bonds!$B:$B,0)),
IF($V201="IPCA",INDEX('Debs IPCA'!$Z:$Z,MATCH(Base!$C201,'Debs IPCA'!$A:$A,0))))))</f>
        <v>1.4499999999999999E-2</v>
      </c>
      <c r="Z201" s="43">
        <v>252</v>
      </c>
      <c r="AA201" s="43" t="s">
        <v>30</v>
      </c>
      <c r="AB201" s="43" t="s">
        <v>32</v>
      </c>
      <c r="AC201">
        <f t="shared" si="48"/>
        <v>0</v>
      </c>
      <c r="AD201" s="43" t="s">
        <v>31</v>
      </c>
      <c r="AE201">
        <f t="shared" si="49"/>
        <v>1</v>
      </c>
      <c r="AF201" s="34" t="str" cm="1">
        <f t="array" ref="AF201">INDEX(Ratings!$B$2:$M$40,_xlfn.XMATCH(Base!F201,Ratings!$A$2:$A$40),_xlfn.XMATCH(YEAR(Base!K201),Ratings!$B$1:$M$1))</f>
        <v>BB+</v>
      </c>
      <c r="AG201">
        <f t="shared" si="67"/>
        <v>0</v>
      </c>
      <c r="AH201">
        <f>IFERROR(IFERROR(IFERROR(INDEX('EMBI+'!$B:$B,MATCH(Base!$K201,'EMBI+'!$A:$A,0)),INDEX('EMBI+'!$B:$B,MATCH(Base!$K201+1,'EMBI+'!$A:$A,0))),INDEX('EMBI+'!$B:$B,MATCH(Base!$K201+2,'EMBI+'!$A:$A,0))),INDEX('EMBI+'!$B:$B,MATCH(Base!$K201+3,'EMBI+'!$A:$A,0)))/100</f>
        <v>3.17</v>
      </c>
      <c r="AL201" s="43"/>
      <c r="AM201" s="28"/>
      <c r="AN201" s="28"/>
    </row>
    <row r="202" spans="1:40" x14ac:dyDescent="0.35">
      <c r="A202">
        <f t="shared" si="68"/>
        <v>200</v>
      </c>
      <c r="B202">
        <f>IF(G202="Bonds",COUNTIF($G$3:G202,"Bonds"),0)</f>
        <v>0</v>
      </c>
      <c r="C202" t="str">
        <f t="shared" si="54"/>
        <v>Hypera4407545901</v>
      </c>
      <c r="D202">
        <f t="shared" si="55"/>
        <v>19</v>
      </c>
      <c r="E202" s="43" t="s">
        <v>262</v>
      </c>
      <c r="F202" s="43" t="s">
        <v>263</v>
      </c>
      <c r="G202" s="43" t="s">
        <v>25</v>
      </c>
      <c r="H202">
        <f t="shared" si="45"/>
        <v>0</v>
      </c>
      <c r="I202" s="43" t="s">
        <v>273</v>
      </c>
      <c r="J202" s="34">
        <f t="shared" si="57"/>
        <v>10</v>
      </c>
      <c r="K202" s="28">
        <v>44075</v>
      </c>
      <c r="L202" s="28">
        <v>45901</v>
      </c>
      <c r="M202" s="60">
        <f t="shared" si="46"/>
        <v>5.0027397260273974</v>
      </c>
      <c r="N202" s="4">
        <f t="shared" si="47"/>
        <v>1</v>
      </c>
      <c r="O202" s="43" t="s">
        <v>44</v>
      </c>
      <c r="P202" t="str">
        <f t="shared" si="50"/>
        <v>0</v>
      </c>
      <c r="Q202" s="44">
        <v>50000</v>
      </c>
      <c r="R202" s="43">
        <v>10000</v>
      </c>
      <c r="S202" s="34" t="str">
        <f>IF($V202="USD",INDEX('Dólar Spot'!$B:$B,MATCH(Base!$K202,'Dólar Spot'!$A:$A,0)),"")</f>
        <v/>
      </c>
      <c r="T202" s="4">
        <f t="shared" si="66"/>
        <v>500000000</v>
      </c>
      <c r="U202" s="8">
        <f t="shared" si="51"/>
        <v>5</v>
      </c>
      <c r="V202" s="43" t="s">
        <v>41</v>
      </c>
      <c r="W202" s="45">
        <v>100</v>
      </c>
      <c r="X202" s="46">
        <v>1.75</v>
      </c>
      <c r="Y202" s="9">
        <f>IF(AND(V202="DI",$W202=100),$X202/100,
IF(AND(V202="DI",$W202&lt;&gt;100,$X202=""),INDEX('Debs %CDI'!$Q:$Q,MATCH(Base!$C202,'Debs %CDI'!$A:$A,0)),
IF($V202="USD",INDEX(Bonds!$AF:$AF,MATCH(Base!$C202,Bonds!$B:$B,0)),
IF($V202="IPCA",INDEX('Debs IPCA'!$Z:$Z,MATCH(Base!$C202,'Debs IPCA'!$A:$A,0))))))</f>
        <v>1.7500000000000002E-2</v>
      </c>
      <c r="Z202" s="43">
        <v>252</v>
      </c>
      <c r="AA202" s="43" t="s">
        <v>30</v>
      </c>
      <c r="AB202" s="43" t="s">
        <v>32</v>
      </c>
      <c r="AC202">
        <f t="shared" si="48"/>
        <v>0</v>
      </c>
      <c r="AD202" s="43" t="s">
        <v>31</v>
      </c>
      <c r="AE202">
        <f t="shared" si="49"/>
        <v>1</v>
      </c>
      <c r="AF202" s="34" t="str" cm="1">
        <f t="array" ref="AF202">INDEX(Ratings!$B$2:$M$40,_xlfn.XMATCH(Base!F202,Ratings!$A$2:$A$40),_xlfn.XMATCH(YEAR(Base!K202),Ratings!$B$1:$M$1))</f>
        <v>BB+</v>
      </c>
      <c r="AG202">
        <f t="shared" si="67"/>
        <v>0</v>
      </c>
      <c r="AH202">
        <f>IFERROR(IFERROR(IFERROR(INDEX('EMBI+'!$B:$B,MATCH(Base!$K202,'EMBI+'!$A:$A,0)),INDEX('EMBI+'!$B:$B,MATCH(Base!$K202+1,'EMBI+'!$A:$A,0))),INDEX('EMBI+'!$B:$B,MATCH(Base!$K202+2,'EMBI+'!$A:$A,0))),INDEX('EMBI+'!$B:$B,MATCH(Base!$K202+3,'EMBI+'!$A:$A,0)))/100</f>
        <v>3.14</v>
      </c>
      <c r="AL202" s="43"/>
      <c r="AM202" s="28"/>
      <c r="AN202" s="28"/>
    </row>
    <row r="203" spans="1:40" x14ac:dyDescent="0.35">
      <c r="A203">
        <f t="shared" si="68"/>
        <v>201</v>
      </c>
      <c r="B203">
        <f>IF(G203="Bonds",COUNTIF($G$3:G203,"Bonds"),0)</f>
        <v>0</v>
      </c>
      <c r="C203" t="str">
        <f t="shared" si="54"/>
        <v>Hypera4459646422</v>
      </c>
      <c r="D203">
        <f t="shared" si="55"/>
        <v>19</v>
      </c>
      <c r="E203" s="43" t="s">
        <v>262</v>
      </c>
      <c r="F203" s="43" t="s">
        <v>263</v>
      </c>
      <c r="G203" s="43" t="s">
        <v>25</v>
      </c>
      <c r="H203">
        <f t="shared" si="45"/>
        <v>0</v>
      </c>
      <c r="I203" s="43" t="s">
        <v>844</v>
      </c>
      <c r="J203" s="34">
        <f t="shared" si="57"/>
        <v>11</v>
      </c>
      <c r="K203" s="28">
        <v>44596</v>
      </c>
      <c r="L203" s="28">
        <v>46422</v>
      </c>
      <c r="M203" s="60">
        <f t="shared" si="46"/>
        <v>5.0027397260273974</v>
      </c>
      <c r="N203" s="4">
        <f t="shared" si="47"/>
        <v>1</v>
      </c>
      <c r="O203" s="43" t="s">
        <v>44</v>
      </c>
      <c r="P203" t="str">
        <f t="shared" si="50"/>
        <v>0</v>
      </c>
      <c r="Q203" s="44">
        <v>500000</v>
      </c>
      <c r="R203" s="43">
        <v>1000</v>
      </c>
      <c r="S203" s="34" t="str">
        <f>IF($V203="USD",INDEX('Dólar Spot'!$B:$B,MATCH(Base!$K203,'Dólar Spot'!$A:$A,0)),"")</f>
        <v/>
      </c>
      <c r="T203" s="4">
        <f t="shared" si="66"/>
        <v>500000000</v>
      </c>
      <c r="U203" s="8">
        <f t="shared" si="51"/>
        <v>5</v>
      </c>
      <c r="V203" s="43" t="s">
        <v>41</v>
      </c>
      <c r="W203" s="45">
        <v>100</v>
      </c>
      <c r="X203" s="46">
        <v>1.5</v>
      </c>
      <c r="Y203" s="9">
        <f>IF(AND(V203="DI",$W203=100),$X203/100,
IF(AND(V203="DI",$W203&lt;&gt;100,$X203=""),INDEX('Debs %CDI'!$Q:$Q,MATCH(Base!$C203,'Debs %CDI'!$A:$A,0)),
IF($V203="USD",INDEX(Bonds!$AF:$AF,MATCH(Base!$C203,Bonds!$B:$B,0)),
IF($V203="IPCA",INDEX('Debs IPCA'!$Z:$Z,MATCH(Base!$C203,'Debs IPCA'!$A:$A,0))))))</f>
        <v>1.4999999999999999E-2</v>
      </c>
      <c r="Z203" s="43">
        <v>252</v>
      </c>
      <c r="AA203" s="43" t="s">
        <v>30</v>
      </c>
      <c r="AB203" s="43" t="s">
        <v>32</v>
      </c>
      <c r="AC203">
        <f t="shared" si="48"/>
        <v>0</v>
      </c>
      <c r="AD203" s="43" t="s">
        <v>31</v>
      </c>
      <c r="AE203">
        <f t="shared" si="49"/>
        <v>1</v>
      </c>
      <c r="AF203" s="34" t="str" cm="1">
        <f t="array" ref="AF203">INDEX(Ratings!$B$2:$M$40,_xlfn.XMATCH(Base!F203,Ratings!$A$2:$A$40),_xlfn.XMATCH(YEAR(Base!K203),Ratings!$B$1:$M$1))</f>
        <v>BB+</v>
      </c>
      <c r="AG203">
        <f t="shared" si="67"/>
        <v>0</v>
      </c>
      <c r="AH203">
        <f>IFERROR(IFERROR(IFERROR(INDEX('EMBI+'!$B:$B,MATCH(Base!$K203,'EMBI+'!$A:$A,0)),INDEX('EMBI+'!$B:$B,MATCH(Base!$K203+1,'EMBI+'!$A:$A,0))),INDEX('EMBI+'!$B:$B,MATCH(Base!$K203+2,'EMBI+'!$A:$A,0))),INDEX('EMBI+'!$B:$B,MATCH(Base!$K203+3,'EMBI+'!$A:$A,0)))/100</f>
        <v>3.26</v>
      </c>
      <c r="AL203" s="43"/>
      <c r="AM203" s="28"/>
      <c r="AN203" s="28"/>
    </row>
    <row r="204" spans="1:40" x14ac:dyDescent="0.35">
      <c r="A204">
        <f t="shared" si="68"/>
        <v>202</v>
      </c>
      <c r="B204">
        <f>IF(G204="Bonds",COUNTIF($G$3:G204,"Bonds"),0)</f>
        <v>0</v>
      </c>
      <c r="C204" t="str">
        <f t="shared" si="54"/>
        <v>Hypera4490946735</v>
      </c>
      <c r="D204">
        <f t="shared" si="55"/>
        <v>19</v>
      </c>
      <c r="E204" s="43" t="s">
        <v>262</v>
      </c>
      <c r="F204" s="43" t="s">
        <v>263</v>
      </c>
      <c r="G204" s="43" t="s">
        <v>25</v>
      </c>
      <c r="H204">
        <f t="shared" si="45"/>
        <v>0</v>
      </c>
      <c r="I204" s="43" t="s">
        <v>845</v>
      </c>
      <c r="J204" s="34">
        <f t="shared" si="57"/>
        <v>12</v>
      </c>
      <c r="K204" s="28">
        <v>44909</v>
      </c>
      <c r="L204" s="28">
        <v>46735</v>
      </c>
      <c r="M204" s="60">
        <f t="shared" si="46"/>
        <v>5.0027397260273974</v>
      </c>
      <c r="N204" s="4">
        <f t="shared" si="47"/>
        <v>1</v>
      </c>
      <c r="O204" s="43" t="s">
        <v>44</v>
      </c>
      <c r="P204" t="str">
        <f t="shared" si="50"/>
        <v>0</v>
      </c>
      <c r="Q204" s="44">
        <v>750000</v>
      </c>
      <c r="R204" s="43">
        <v>1000</v>
      </c>
      <c r="S204" s="34" t="str">
        <f>IF($V204="USD",INDEX('Dólar Spot'!$B:$B,MATCH(Base!$K204,'Dólar Spot'!$A:$A,0)),"")</f>
        <v/>
      </c>
      <c r="T204" s="4">
        <f t="shared" si="66"/>
        <v>750000000</v>
      </c>
      <c r="U204" s="8">
        <f t="shared" si="51"/>
        <v>7.5</v>
      </c>
      <c r="V204" s="43" t="s">
        <v>41</v>
      </c>
      <c r="W204" s="45">
        <v>100</v>
      </c>
      <c r="X204" s="46">
        <v>1.35</v>
      </c>
      <c r="Y204" s="9">
        <f>IF(AND(V204="DI",$W204=100),$X204/100,
IF(AND(V204="DI",$W204&lt;&gt;100,$X204=""),INDEX('Debs %CDI'!$Q:$Q,MATCH(Base!$C204,'Debs %CDI'!$A:$A,0)),
IF($V204="USD",INDEX(Bonds!$AF:$AF,MATCH(Base!$C204,Bonds!$B:$B,0)),
IF($V204="IPCA",INDEX('Debs IPCA'!$Z:$Z,MATCH(Base!$C204,'Debs IPCA'!$A:$A,0))))))</f>
        <v>1.3500000000000002E-2</v>
      </c>
      <c r="Z204" s="43">
        <v>252</v>
      </c>
      <c r="AA204" s="43" t="s">
        <v>30</v>
      </c>
      <c r="AB204" s="43" t="s">
        <v>32</v>
      </c>
      <c r="AC204">
        <f t="shared" si="48"/>
        <v>0</v>
      </c>
      <c r="AD204" s="43" t="s">
        <v>31</v>
      </c>
      <c r="AE204">
        <f t="shared" si="49"/>
        <v>1</v>
      </c>
      <c r="AF204" s="34" t="str" cm="1">
        <f t="array" ref="AF204">INDEX(Ratings!$B$2:$M$40,_xlfn.XMATCH(Base!F204,Ratings!$A$2:$A$40),_xlfn.XMATCH(YEAR(Base!K204),Ratings!$B$1:$M$1))</f>
        <v>BB+</v>
      </c>
      <c r="AG204">
        <f t="shared" si="67"/>
        <v>0</v>
      </c>
      <c r="AH204">
        <f>IFERROR(IFERROR(IFERROR(INDEX('EMBI+'!$B:$B,MATCH(Base!$K204,'EMBI+'!$A:$A,0)),INDEX('EMBI+'!$B:$B,MATCH(Base!$K204+1,'EMBI+'!$A:$A,0))),INDEX('EMBI+'!$B:$B,MATCH(Base!$K204+2,'EMBI+'!$A:$A,0))),INDEX('EMBI+'!$B:$B,MATCH(Base!$K204+3,'EMBI+'!$A:$A,0)))/100</f>
        <v>2.6</v>
      </c>
      <c r="AL204" s="43"/>
      <c r="AM204" s="28"/>
      <c r="AN204" s="28"/>
    </row>
    <row r="205" spans="1:40" x14ac:dyDescent="0.35">
      <c r="A205">
        <f t="shared" si="68"/>
        <v>203</v>
      </c>
      <c r="B205">
        <f>IF(G205="Bonds",COUNTIF($G$3:G205,"Bonds"),0)</f>
        <v>67</v>
      </c>
      <c r="C205" t="str">
        <f t="shared" si="54"/>
        <v>Hypera4065320/04/2021</v>
      </c>
      <c r="D205">
        <f t="shared" si="55"/>
        <v>19</v>
      </c>
      <c r="E205" s="43" t="s">
        <v>274</v>
      </c>
      <c r="F205" s="43" t="s">
        <v>263</v>
      </c>
      <c r="G205" s="43" t="s">
        <v>34</v>
      </c>
      <c r="H205">
        <f t="shared" si="45"/>
        <v>1</v>
      </c>
      <c r="I205" s="43"/>
      <c r="J205" s="34">
        <f t="shared" si="57"/>
        <v>13</v>
      </c>
      <c r="K205" s="28">
        <v>40653</v>
      </c>
      <c r="L205" s="28" t="s">
        <v>275</v>
      </c>
      <c r="M205" s="60">
        <f t="shared" si="46"/>
        <v>10.008219178082191</v>
      </c>
      <c r="N205" s="4">
        <f t="shared" si="47"/>
        <v>1</v>
      </c>
      <c r="O205" s="43" t="s">
        <v>29</v>
      </c>
      <c r="P205" t="str">
        <f t="shared" si="50"/>
        <v>0</v>
      </c>
      <c r="Q205" s="43"/>
      <c r="R205" s="43"/>
      <c r="S205" s="34">
        <f>IF($V205="USD",INDEX('Dólar Spot'!$B:$B,MATCH(Base!$K205,'Dólar Spot'!$A:$A,0)),"")</f>
        <v>1.5713999999999999</v>
      </c>
      <c r="T205" s="44">
        <v>750000000</v>
      </c>
      <c r="U205" s="8">
        <f t="shared" si="51"/>
        <v>11.785500000000001</v>
      </c>
      <c r="V205" s="43" t="s">
        <v>651</v>
      </c>
      <c r="W205" s="45" t="s">
        <v>29</v>
      </c>
      <c r="X205" s="53">
        <v>6.5</v>
      </c>
      <c r="Y205" s="9">
        <f>IF(AND(V205="DI",$W205=100),$X205/100,
IF(AND(V205="DI",$W205&lt;&gt;100,$X205=""),INDEX('Debs %CDI'!$Q:$Q,MATCH(Base!$C205,'Debs %CDI'!$A:$A,0)),
IF($V205="USD",INDEX(Bonds!$AF:$AF,MATCH(Base!$C205,Bonds!$B:$B,0)),
IF($V205="IPCA",INDEX('Debs IPCA'!$Z:$Z,MATCH(Base!$C205,'Debs IPCA'!$A:$A,0))))))</f>
        <v>1.1553595392548743E-2</v>
      </c>
      <c r="Z205" s="43">
        <v>360</v>
      </c>
      <c r="AA205" s="43" t="s">
        <v>37</v>
      </c>
      <c r="AB205" s="43" t="s">
        <v>32</v>
      </c>
      <c r="AC205">
        <f t="shared" si="48"/>
        <v>0</v>
      </c>
      <c r="AD205" s="43" t="s">
        <v>31</v>
      </c>
      <c r="AE205">
        <f t="shared" si="49"/>
        <v>1</v>
      </c>
      <c r="AF205" s="34" t="str" cm="1">
        <f t="array" ref="AF205">INDEX(Ratings!$B$2:$M$40,_xlfn.XMATCH(Base!F205,Ratings!$A$2:$A$40),_xlfn.XMATCH(YEAR(Base!K205),Ratings!$B$1:$M$1))</f>
        <v>BB-</v>
      </c>
      <c r="AG205">
        <f t="shared" si="67"/>
        <v>0</v>
      </c>
      <c r="AH205">
        <f>IFERROR(IFERROR(IFERROR(INDEX('EMBI+'!$B:$B,MATCH(Base!$K205,'EMBI+'!$A:$A,0)),INDEX('EMBI+'!$B:$B,MATCH(Base!$K205+1,'EMBI+'!$A:$A,0))),INDEX('EMBI+'!$B:$B,MATCH(Base!$K205+2,'EMBI+'!$A:$A,0))),INDEX('EMBI+'!$B:$B,MATCH(Base!$K205+3,'EMBI+'!$A:$A,0)))/100</f>
        <v>1.76</v>
      </c>
      <c r="AL205" s="43"/>
      <c r="AM205" s="28"/>
      <c r="AN205" s="28"/>
    </row>
    <row r="206" spans="1:40" x14ac:dyDescent="0.35">
      <c r="A206">
        <f t="shared" si="68"/>
        <v>204</v>
      </c>
      <c r="B206">
        <f>IF(G206="Bonds",COUNTIF($G$3:G206,"Bonds"),0)</f>
        <v>0</v>
      </c>
      <c r="C206" t="str">
        <f t="shared" si="54"/>
        <v>InterCement4101844670</v>
      </c>
      <c r="D206">
        <f t="shared" si="55"/>
        <v>20</v>
      </c>
      <c r="E206" s="43" t="s">
        <v>276</v>
      </c>
      <c r="F206" s="43" t="s">
        <v>277</v>
      </c>
      <c r="G206" s="43" t="s">
        <v>25</v>
      </c>
      <c r="H206">
        <f t="shared" si="45"/>
        <v>0</v>
      </c>
      <c r="I206" s="43" t="s">
        <v>278</v>
      </c>
      <c r="J206" s="34">
        <f t="shared" si="57"/>
        <v>1</v>
      </c>
      <c r="K206" s="28">
        <v>41018</v>
      </c>
      <c r="L206" s="28">
        <v>44670</v>
      </c>
      <c r="M206" s="60">
        <f t="shared" si="46"/>
        <v>10.005479452054795</v>
      </c>
      <c r="N206" s="4">
        <f t="shared" si="47"/>
        <v>1</v>
      </c>
      <c r="O206" s="43" t="s">
        <v>44</v>
      </c>
      <c r="P206" t="str">
        <f t="shared" si="50"/>
        <v>0</v>
      </c>
      <c r="Q206" s="44">
        <v>100000</v>
      </c>
      <c r="R206" s="43">
        <v>10000</v>
      </c>
      <c r="S206" s="34" t="str">
        <f>IF($V206="USD",INDEX('Dólar Spot'!$B:$B,MATCH(Base!$K206,'Dólar Spot'!$A:$A,0)),"")</f>
        <v/>
      </c>
      <c r="T206" s="4">
        <f t="shared" ref="T206:T235" si="69">Q206*R206</f>
        <v>1000000000</v>
      </c>
      <c r="U206" s="8">
        <f t="shared" si="51"/>
        <v>10</v>
      </c>
      <c r="V206" s="43" t="s">
        <v>41</v>
      </c>
      <c r="W206" s="45">
        <v>115</v>
      </c>
      <c r="X206" s="46"/>
      <c r="Y206" s="9">
        <f>IF(AND(V206="DI",$W206=100),$X206/100,
IF(AND(V206="DI",$W206&lt;&gt;100,$X206=""),INDEX('Debs %CDI'!$Q:$Q,MATCH(Base!$C206,'Debs %CDI'!$A:$A,0)),
IF($V206="USD",INDEX(Bonds!$AF:$AF,MATCH(Base!$C206,Bonds!$B:$B,0)),
IF($V206="IPCA",INDEX('Debs IPCA'!$Z:$Z,MATCH(Base!$C206,'Debs IPCA'!$A:$A,0))))))</f>
        <v>1.6247324630025539E-2</v>
      </c>
      <c r="Z206" s="43">
        <v>252</v>
      </c>
      <c r="AA206" s="43" t="s">
        <v>30</v>
      </c>
      <c r="AB206" s="43" t="s">
        <v>32</v>
      </c>
      <c r="AC206">
        <f t="shared" si="48"/>
        <v>0</v>
      </c>
      <c r="AD206" s="43" t="s">
        <v>31</v>
      </c>
      <c r="AE206">
        <f t="shared" si="49"/>
        <v>1</v>
      </c>
      <c r="AF206" s="34" t="str" cm="1">
        <f t="array" ref="AF206">INDEX(Ratings!$B$2:$M$40,_xlfn.XMATCH(Base!F206,Ratings!$A$2:$A$40),_xlfn.XMATCH(YEAR(Base!K206),Ratings!$B$1:$M$1))</f>
        <v>NR</v>
      </c>
      <c r="AG206">
        <f t="shared" si="67"/>
        <v>0</v>
      </c>
      <c r="AH206">
        <f>IFERROR(IFERROR(IFERROR(INDEX('EMBI+'!$B:$B,MATCH(Base!$K206,'EMBI+'!$A:$A,0)),INDEX('EMBI+'!$B:$B,MATCH(Base!$K206+1,'EMBI+'!$A:$A,0))),INDEX('EMBI+'!$B:$B,MATCH(Base!$K206+2,'EMBI+'!$A:$A,0))),INDEX('EMBI+'!$B:$B,MATCH(Base!$K206+3,'EMBI+'!$A:$A,0)))/100</f>
        <v>1.81</v>
      </c>
      <c r="AL206" s="43"/>
      <c r="AM206" s="28"/>
      <c r="AN206" s="28"/>
    </row>
    <row r="207" spans="1:40" x14ac:dyDescent="0.35">
      <c r="A207">
        <f t="shared" si="68"/>
        <v>205</v>
      </c>
      <c r="B207">
        <f>IF(G207="Bonds",COUNTIF($G$3:G207,"Bonds"),0)</f>
        <v>0</v>
      </c>
      <c r="C207" t="str">
        <f t="shared" si="54"/>
        <v>InterCement4399046546</v>
      </c>
      <c r="D207">
        <f t="shared" si="55"/>
        <v>20</v>
      </c>
      <c r="E207" s="43" t="s">
        <v>276</v>
      </c>
      <c r="F207" s="43" t="s">
        <v>277</v>
      </c>
      <c r="G207" s="43" t="s">
        <v>25</v>
      </c>
      <c r="H207">
        <f t="shared" si="45"/>
        <v>0</v>
      </c>
      <c r="I207" s="43" t="s">
        <v>279</v>
      </c>
      <c r="J207" s="34">
        <f t="shared" si="57"/>
        <v>2</v>
      </c>
      <c r="K207" s="28">
        <v>43990</v>
      </c>
      <c r="L207" s="28">
        <v>46546</v>
      </c>
      <c r="M207" s="60">
        <f t="shared" si="46"/>
        <v>7.0027397260273974</v>
      </c>
      <c r="N207" s="4">
        <f t="shared" si="47"/>
        <v>1</v>
      </c>
      <c r="O207" s="43" t="s">
        <v>44</v>
      </c>
      <c r="P207" t="str">
        <f t="shared" si="50"/>
        <v>0</v>
      </c>
      <c r="Q207" s="44">
        <v>175719</v>
      </c>
      <c r="R207" s="43">
        <v>1000</v>
      </c>
      <c r="S207" s="34" t="str">
        <f>IF($V207="USD",INDEX('Dólar Spot'!$B:$B,MATCH(Base!$K207,'Dólar Spot'!$A:$A,0)),"")</f>
        <v/>
      </c>
      <c r="T207" s="4">
        <f t="shared" si="69"/>
        <v>175719000</v>
      </c>
      <c r="U207" s="8">
        <f t="shared" si="51"/>
        <v>1.75719</v>
      </c>
      <c r="V207" s="43" t="s">
        <v>41</v>
      </c>
      <c r="W207" s="45">
        <v>100</v>
      </c>
      <c r="X207" s="46">
        <v>3.75</v>
      </c>
      <c r="Y207" s="9">
        <f>IF(AND(V207="DI",$W207=100),$X207/100,
IF(AND(V207="DI",$W207&lt;&gt;100,$X207=""),INDEX('Debs %CDI'!$Q:$Q,MATCH(Base!$C207,'Debs %CDI'!$A:$A,0)),
IF($V207="USD",INDEX(Bonds!$AF:$AF,MATCH(Base!$C207,Bonds!$B:$B,0)),
IF($V207="IPCA",INDEX('Debs IPCA'!$Z:$Z,MATCH(Base!$C207,'Debs IPCA'!$A:$A,0))))))</f>
        <v>3.7499999999999999E-2</v>
      </c>
      <c r="Z207" s="43">
        <v>252</v>
      </c>
      <c r="AA207" s="43" t="s">
        <v>30</v>
      </c>
      <c r="AB207" s="43" t="s">
        <v>32</v>
      </c>
      <c r="AC207">
        <f t="shared" si="48"/>
        <v>0</v>
      </c>
      <c r="AD207" s="43" t="s">
        <v>31</v>
      </c>
      <c r="AE207">
        <f t="shared" si="49"/>
        <v>1</v>
      </c>
      <c r="AF207" s="34" t="str" cm="1">
        <f t="array" ref="AF207">INDEX(Ratings!$B$2:$M$40,_xlfn.XMATCH(Base!F207,Ratings!$A$2:$A$40),_xlfn.XMATCH(YEAR(Base!K207),Ratings!$B$1:$M$1))</f>
        <v>C</v>
      </c>
      <c r="AG207">
        <f t="shared" si="67"/>
        <v>0</v>
      </c>
      <c r="AH207">
        <f>IFERROR(IFERROR(IFERROR(INDEX('EMBI+'!$B:$B,MATCH(Base!$K207,'EMBI+'!$A:$A,0)),INDEX('EMBI+'!$B:$B,MATCH(Base!$K207+1,'EMBI+'!$A:$A,0))),INDEX('EMBI+'!$B:$B,MATCH(Base!$K207+2,'EMBI+'!$A:$A,0))),INDEX('EMBI+'!$B:$B,MATCH(Base!$K207+3,'EMBI+'!$A:$A,0)))/100</f>
        <v>3.32</v>
      </c>
      <c r="AL207" s="43"/>
      <c r="AM207" s="28"/>
      <c r="AN207" s="28"/>
    </row>
    <row r="208" spans="1:40" x14ac:dyDescent="0.35">
      <c r="A208">
        <f t="shared" si="68"/>
        <v>206</v>
      </c>
      <c r="B208">
        <f>IF(G208="Bonds",COUNTIF($G$3:G208,"Bonds"),0)</f>
        <v>0</v>
      </c>
      <c r="C208" t="str">
        <f t="shared" si="54"/>
        <v>InterCement4101844670</v>
      </c>
      <c r="D208">
        <f t="shared" si="55"/>
        <v>20</v>
      </c>
      <c r="E208" s="43" t="s">
        <v>276</v>
      </c>
      <c r="F208" s="43" t="s">
        <v>277</v>
      </c>
      <c r="G208" s="43" t="s">
        <v>25</v>
      </c>
      <c r="H208">
        <f t="shared" si="45"/>
        <v>0</v>
      </c>
      <c r="I208" s="43" t="s">
        <v>280</v>
      </c>
      <c r="J208" s="34">
        <f t="shared" si="57"/>
        <v>3</v>
      </c>
      <c r="K208" s="28">
        <v>41018</v>
      </c>
      <c r="L208" s="28">
        <v>44670</v>
      </c>
      <c r="M208" s="60">
        <f t="shared" si="46"/>
        <v>10.005479452054795</v>
      </c>
      <c r="N208" s="4">
        <f t="shared" si="47"/>
        <v>1</v>
      </c>
      <c r="O208" s="43" t="s">
        <v>44</v>
      </c>
      <c r="P208" t="str">
        <f t="shared" si="50"/>
        <v>0</v>
      </c>
      <c r="Q208" s="44">
        <v>50000</v>
      </c>
      <c r="R208" s="43">
        <v>10000</v>
      </c>
      <c r="S208" s="34" t="str">
        <f>IF($V208="USD",INDEX('Dólar Spot'!$B:$B,MATCH(Base!$K208,'Dólar Spot'!$A:$A,0)),"")</f>
        <v/>
      </c>
      <c r="T208" s="4">
        <f t="shared" si="69"/>
        <v>500000000</v>
      </c>
      <c r="U208" s="8">
        <f t="shared" si="51"/>
        <v>5</v>
      </c>
      <c r="V208" s="43" t="s">
        <v>41</v>
      </c>
      <c r="W208" s="45">
        <v>115</v>
      </c>
      <c r="X208" s="46"/>
      <c r="Y208" s="9">
        <f>IF(AND(V208="DI",$W208=100),$X208/100,
IF(AND(V208="DI",$W208&lt;&gt;100,$X208=""),INDEX('Debs %CDI'!$Q:$Q,MATCH(Base!$C208,'Debs %CDI'!$A:$A,0)),
IF($V208="USD",INDEX(Bonds!$AF:$AF,MATCH(Base!$C208,Bonds!$B:$B,0)),
IF($V208="IPCA",INDEX('Debs IPCA'!$Z:$Z,MATCH(Base!$C208,'Debs IPCA'!$A:$A,0))))))</f>
        <v>1.6247324630025539E-2</v>
      </c>
      <c r="Z208" s="43">
        <v>252</v>
      </c>
      <c r="AA208" s="43" t="s">
        <v>30</v>
      </c>
      <c r="AB208" s="43" t="s">
        <v>32</v>
      </c>
      <c r="AC208">
        <f t="shared" si="48"/>
        <v>0</v>
      </c>
      <c r="AD208" s="43" t="s">
        <v>31</v>
      </c>
      <c r="AE208">
        <f t="shared" si="49"/>
        <v>1</v>
      </c>
      <c r="AF208" s="34" t="str" cm="1">
        <f t="array" ref="AF208">INDEX(Ratings!$B$2:$M$40,_xlfn.XMATCH(Base!F208,Ratings!$A$2:$A$40),_xlfn.XMATCH(YEAR(Base!K208),Ratings!$B$1:$M$1))</f>
        <v>NR</v>
      </c>
      <c r="AG208">
        <f t="shared" si="67"/>
        <v>0</v>
      </c>
      <c r="AH208">
        <f>IFERROR(IFERROR(IFERROR(INDEX('EMBI+'!$B:$B,MATCH(Base!$K208,'EMBI+'!$A:$A,0)),INDEX('EMBI+'!$B:$B,MATCH(Base!$K208+1,'EMBI+'!$A:$A,0))),INDEX('EMBI+'!$B:$B,MATCH(Base!$K208+2,'EMBI+'!$A:$A,0))),INDEX('EMBI+'!$B:$B,MATCH(Base!$K208+3,'EMBI+'!$A:$A,0)))/100</f>
        <v>1.81</v>
      </c>
      <c r="AL208" s="43"/>
      <c r="AM208" s="28"/>
      <c r="AN208" s="28"/>
    </row>
    <row r="209" spans="1:40" x14ac:dyDescent="0.35">
      <c r="A209">
        <f t="shared" si="68"/>
        <v>207</v>
      </c>
      <c r="B209">
        <f>IF(G209="Bonds",COUNTIF($G$3:G209,"Bonds"),0)</f>
        <v>0</v>
      </c>
      <c r="C209" t="str">
        <f t="shared" si="54"/>
        <v>InterCement4399046546</v>
      </c>
      <c r="D209">
        <f t="shared" si="55"/>
        <v>20</v>
      </c>
      <c r="E209" s="43" t="s">
        <v>276</v>
      </c>
      <c r="F209" s="43" t="s">
        <v>277</v>
      </c>
      <c r="G209" s="43" t="s">
        <v>25</v>
      </c>
      <c r="H209">
        <f t="shared" si="45"/>
        <v>0</v>
      </c>
      <c r="I209" s="43" t="s">
        <v>281</v>
      </c>
      <c r="J209" s="34">
        <f t="shared" si="57"/>
        <v>4</v>
      </c>
      <c r="K209" s="28">
        <v>43990</v>
      </c>
      <c r="L209" s="28">
        <v>46546</v>
      </c>
      <c r="M209" s="60">
        <f t="shared" si="46"/>
        <v>7.0027397260273974</v>
      </c>
      <c r="N209" s="4">
        <f t="shared" si="47"/>
        <v>1</v>
      </c>
      <c r="O209" s="43" t="s">
        <v>44</v>
      </c>
      <c r="P209" t="str">
        <f t="shared" si="50"/>
        <v>0</v>
      </c>
      <c r="Q209" s="44">
        <v>175719</v>
      </c>
      <c r="R209" s="43">
        <v>1000</v>
      </c>
      <c r="S209" s="34" t="str">
        <f>IF($V209="USD",INDEX('Dólar Spot'!$B:$B,MATCH(Base!$K209,'Dólar Spot'!$A:$A,0)),"")</f>
        <v/>
      </c>
      <c r="T209" s="4">
        <f t="shared" si="69"/>
        <v>175719000</v>
      </c>
      <c r="U209" s="8">
        <f t="shared" si="51"/>
        <v>1.75719</v>
      </c>
      <c r="V209" s="43" t="s">
        <v>41</v>
      </c>
      <c r="W209" s="45">
        <v>100</v>
      </c>
      <c r="X209" s="46">
        <v>3.75</v>
      </c>
      <c r="Y209" s="9">
        <f>IF(AND(V209="DI",$W209=100),$X209/100,
IF(AND(V209="DI",$W209&lt;&gt;100,$X209=""),INDEX('Debs %CDI'!$Q:$Q,MATCH(Base!$C209,'Debs %CDI'!$A:$A,0)),
IF($V209="USD",INDEX(Bonds!$AF:$AF,MATCH(Base!$C209,Bonds!$B:$B,0)),
IF($V209="IPCA",INDEX('Debs IPCA'!$Z:$Z,MATCH(Base!$C209,'Debs IPCA'!$A:$A,0))))))</f>
        <v>3.7499999999999999E-2</v>
      </c>
      <c r="Z209" s="43">
        <v>252</v>
      </c>
      <c r="AA209" s="43" t="s">
        <v>30</v>
      </c>
      <c r="AB209" s="43" t="s">
        <v>32</v>
      </c>
      <c r="AC209">
        <f t="shared" si="48"/>
        <v>0</v>
      </c>
      <c r="AD209" s="43" t="s">
        <v>31</v>
      </c>
      <c r="AE209">
        <f t="shared" si="49"/>
        <v>1</v>
      </c>
      <c r="AF209" s="34" t="str" cm="1">
        <f t="array" ref="AF209">INDEX(Ratings!$B$2:$M$40,_xlfn.XMATCH(Base!F209,Ratings!$A$2:$A$40),_xlfn.XMATCH(YEAR(Base!K209),Ratings!$B$1:$M$1))</f>
        <v>C</v>
      </c>
      <c r="AG209">
        <f t="shared" si="67"/>
        <v>0</v>
      </c>
      <c r="AH209">
        <f>IFERROR(IFERROR(IFERROR(INDEX('EMBI+'!$B:$B,MATCH(Base!$K209,'EMBI+'!$A:$A,0)),INDEX('EMBI+'!$B:$B,MATCH(Base!$K209+1,'EMBI+'!$A:$A,0))),INDEX('EMBI+'!$B:$B,MATCH(Base!$K209+2,'EMBI+'!$A:$A,0))),INDEX('EMBI+'!$B:$B,MATCH(Base!$K209+3,'EMBI+'!$A:$A,0)))/100</f>
        <v>3.32</v>
      </c>
      <c r="AL209" s="43"/>
      <c r="AM209" s="28"/>
      <c r="AN209" s="28"/>
    </row>
    <row r="210" spans="1:40" x14ac:dyDescent="0.35">
      <c r="A210">
        <f t="shared" si="68"/>
        <v>208</v>
      </c>
      <c r="B210">
        <f>IF(G210="Bonds",COUNTIF($G$3:G210,"Bonds"),0)</f>
        <v>0</v>
      </c>
      <c r="C210" t="str">
        <f t="shared" si="54"/>
        <v>InterCement4399046546</v>
      </c>
      <c r="D210">
        <f t="shared" si="55"/>
        <v>20</v>
      </c>
      <c r="E210" s="43" t="s">
        <v>276</v>
      </c>
      <c r="F210" s="43" t="s">
        <v>277</v>
      </c>
      <c r="G210" s="43" t="s">
        <v>25</v>
      </c>
      <c r="H210">
        <f t="shared" ref="H210:H275" si="70">IF(G210="Bonds",1,0)</f>
        <v>0</v>
      </c>
      <c r="I210" s="43" t="s">
        <v>282</v>
      </c>
      <c r="J210" s="34">
        <f t="shared" si="57"/>
        <v>5</v>
      </c>
      <c r="K210" s="28">
        <v>43990</v>
      </c>
      <c r="L210" s="28">
        <v>46546</v>
      </c>
      <c r="M210" s="60">
        <f t="shared" ref="M210:M275" si="71">(L210-K210)/365</f>
        <v>7.0027397260273974</v>
      </c>
      <c r="N210" s="4">
        <f t="shared" ref="N210:N275" si="72">IF(M210&gt;5,1,0)</f>
        <v>1</v>
      </c>
      <c r="O210" s="43" t="s">
        <v>44</v>
      </c>
      <c r="P210" t="str">
        <f t="shared" si="50"/>
        <v>0</v>
      </c>
      <c r="Q210" s="44">
        <v>175719</v>
      </c>
      <c r="R210" s="43">
        <v>1000</v>
      </c>
      <c r="S210" s="34" t="str">
        <f>IF($V210="USD",INDEX('Dólar Spot'!$B:$B,MATCH(Base!$K210,'Dólar Spot'!$A:$A,0)),"")</f>
        <v/>
      </c>
      <c r="T210" s="4">
        <f t="shared" si="69"/>
        <v>175719000</v>
      </c>
      <c r="U210" s="8">
        <f t="shared" si="51"/>
        <v>1.75719</v>
      </c>
      <c r="V210" s="43" t="s">
        <v>41</v>
      </c>
      <c r="W210" s="45">
        <v>100</v>
      </c>
      <c r="X210" s="46">
        <v>3.75</v>
      </c>
      <c r="Y210" s="9">
        <f>IF(AND(V210="DI",$W210=100),$X210/100,
IF(AND(V210="DI",$W210&lt;&gt;100,$X210=""),INDEX('Debs %CDI'!$Q:$Q,MATCH(Base!$C210,'Debs %CDI'!$A:$A,0)),
IF($V210="USD",INDEX(Bonds!$AF:$AF,MATCH(Base!$C210,Bonds!$B:$B,0)),
IF($V210="IPCA",INDEX('Debs IPCA'!$Z:$Z,MATCH(Base!$C210,'Debs IPCA'!$A:$A,0))))))</f>
        <v>3.7499999999999999E-2</v>
      </c>
      <c r="Z210" s="43">
        <v>252</v>
      </c>
      <c r="AA210" s="43" t="s">
        <v>30</v>
      </c>
      <c r="AB210" s="43" t="s">
        <v>32</v>
      </c>
      <c r="AC210">
        <f t="shared" ref="AC210:AC275" si="73">IF(AB210="S",1,0)</f>
        <v>0</v>
      </c>
      <c r="AD210" s="43" t="s">
        <v>31</v>
      </c>
      <c r="AE210">
        <f t="shared" ref="AE210:AE275" si="74">IF(OR(AD210="N",AD210="AT MATURITY"),0,1)</f>
        <v>1</v>
      </c>
      <c r="AF210" s="34" t="str" cm="1">
        <f t="array" ref="AF210">INDEX(Ratings!$B$2:$M$40,_xlfn.XMATCH(Base!F210,Ratings!$A$2:$A$40),_xlfn.XMATCH(YEAR(Base!K210),Ratings!$B$1:$M$1))</f>
        <v>C</v>
      </c>
      <c r="AG210">
        <f t="shared" si="67"/>
        <v>0</v>
      </c>
      <c r="AH210">
        <f>IFERROR(IFERROR(IFERROR(INDEX('EMBI+'!$B:$B,MATCH(Base!$K210,'EMBI+'!$A:$A,0)),INDEX('EMBI+'!$B:$B,MATCH(Base!$K210+1,'EMBI+'!$A:$A,0))),INDEX('EMBI+'!$B:$B,MATCH(Base!$K210+2,'EMBI+'!$A:$A,0))),INDEX('EMBI+'!$B:$B,MATCH(Base!$K210+3,'EMBI+'!$A:$A,0)))/100</f>
        <v>3.32</v>
      </c>
      <c r="AL210" s="43"/>
      <c r="AM210" s="28"/>
      <c r="AN210" s="28"/>
    </row>
    <row r="211" spans="1:40" x14ac:dyDescent="0.35">
      <c r="A211">
        <f t="shared" si="68"/>
        <v>209</v>
      </c>
      <c r="B211">
        <f>IF(G211="Bonds",COUNTIF($G$3:G211,"Bonds"),0)</f>
        <v>0</v>
      </c>
      <c r="C211" t="str">
        <f t="shared" si="54"/>
        <v>InterCement4399046546</v>
      </c>
      <c r="D211">
        <f t="shared" si="55"/>
        <v>20</v>
      </c>
      <c r="E211" s="43" t="s">
        <v>276</v>
      </c>
      <c r="F211" s="43" t="s">
        <v>277</v>
      </c>
      <c r="G211" s="43" t="s">
        <v>25</v>
      </c>
      <c r="H211">
        <f t="shared" si="70"/>
        <v>0</v>
      </c>
      <c r="I211" s="43" t="s">
        <v>283</v>
      </c>
      <c r="J211" s="34">
        <f t="shared" si="57"/>
        <v>6</v>
      </c>
      <c r="K211" s="28">
        <v>43990</v>
      </c>
      <c r="L211" s="28">
        <v>46546</v>
      </c>
      <c r="M211" s="60">
        <f t="shared" si="71"/>
        <v>7.0027397260273974</v>
      </c>
      <c r="N211" s="4">
        <f t="shared" si="72"/>
        <v>1</v>
      </c>
      <c r="O211" s="43" t="s">
        <v>44</v>
      </c>
      <c r="P211" t="str">
        <f t="shared" ref="P211:P276" si="75">IF(OR(O211="Real",O211="Flutuante",O211="SR SECURED"),"1","0")</f>
        <v>0</v>
      </c>
      <c r="Q211" s="44">
        <v>168668</v>
      </c>
      <c r="R211" s="43">
        <v>1000</v>
      </c>
      <c r="S211" s="34" t="str">
        <f>IF($V211="USD",INDEX('Dólar Spot'!$B:$B,MATCH(Base!$K211,'Dólar Spot'!$A:$A,0)),"")</f>
        <v/>
      </c>
      <c r="T211" s="4">
        <f t="shared" si="69"/>
        <v>168668000</v>
      </c>
      <c r="U211" s="8">
        <f t="shared" ref="U211:U276" si="76">IF(V211="USD",T211*S211/100000000,Q211*R211/100000000)</f>
        <v>1.68668</v>
      </c>
      <c r="V211" s="43" t="s">
        <v>41</v>
      </c>
      <c r="W211" s="45">
        <v>100</v>
      </c>
      <c r="X211" s="46">
        <v>3.75</v>
      </c>
      <c r="Y211" s="9">
        <f>IF(AND(V211="DI",$W211=100),$X211/100,
IF(AND(V211="DI",$W211&lt;&gt;100,$X211=""),INDEX('Debs %CDI'!$Q:$Q,MATCH(Base!$C211,'Debs %CDI'!$A:$A,0)),
IF($V211="USD",INDEX(Bonds!$AF:$AF,MATCH(Base!$C211,Bonds!$B:$B,0)),
IF($V211="IPCA",INDEX('Debs IPCA'!$Z:$Z,MATCH(Base!$C211,'Debs IPCA'!$A:$A,0))))))</f>
        <v>3.7499999999999999E-2</v>
      </c>
      <c r="Z211" s="43">
        <v>252</v>
      </c>
      <c r="AA211" s="43" t="s">
        <v>30</v>
      </c>
      <c r="AB211" s="43" t="s">
        <v>32</v>
      </c>
      <c r="AC211">
        <f t="shared" si="73"/>
        <v>0</v>
      </c>
      <c r="AD211" s="43" t="s">
        <v>31</v>
      </c>
      <c r="AE211">
        <f t="shared" si="74"/>
        <v>1</v>
      </c>
      <c r="AF211" s="34" t="str" cm="1">
        <f t="array" ref="AF211">INDEX(Ratings!$B$2:$M$40,_xlfn.XMATCH(Base!F211,Ratings!$A$2:$A$40),_xlfn.XMATCH(YEAR(Base!K211),Ratings!$B$1:$M$1))</f>
        <v>C</v>
      </c>
      <c r="AG211">
        <f t="shared" si="67"/>
        <v>0</v>
      </c>
      <c r="AH211">
        <f>IFERROR(IFERROR(IFERROR(INDEX('EMBI+'!$B:$B,MATCH(Base!$K211,'EMBI+'!$A:$A,0)),INDEX('EMBI+'!$B:$B,MATCH(Base!$K211+1,'EMBI+'!$A:$A,0))),INDEX('EMBI+'!$B:$B,MATCH(Base!$K211+2,'EMBI+'!$A:$A,0))),INDEX('EMBI+'!$B:$B,MATCH(Base!$K211+3,'EMBI+'!$A:$A,0)))/100</f>
        <v>3.32</v>
      </c>
      <c r="AL211" s="43"/>
      <c r="AM211" s="28"/>
      <c r="AN211" s="28"/>
    </row>
    <row r="212" spans="1:40" x14ac:dyDescent="0.35">
      <c r="A212">
        <f t="shared" si="68"/>
        <v>210</v>
      </c>
      <c r="B212">
        <f>IF(G212="Bonds",COUNTIF($G$3:G212,"Bonds"),0)</f>
        <v>0</v>
      </c>
      <c r="C212" t="str">
        <f t="shared" ref="C212:C275" si="77">F212&amp;K212&amp;L212</f>
        <v>InterCement4399046546</v>
      </c>
      <c r="D212">
        <f t="shared" ref="D212:D275" si="78">IF(F212&lt;&gt;F211,D211+1,D211)</f>
        <v>20</v>
      </c>
      <c r="E212" s="43" t="s">
        <v>276</v>
      </c>
      <c r="F212" s="43" t="s">
        <v>277</v>
      </c>
      <c r="G212" s="43" t="s">
        <v>25</v>
      </c>
      <c r="H212">
        <f t="shared" si="70"/>
        <v>0</v>
      </c>
      <c r="I212" s="43" t="s">
        <v>284</v>
      </c>
      <c r="J212" s="34">
        <f t="shared" ref="J212:J275" si="79">IF(F212=F211,J211+1,1)</f>
        <v>7</v>
      </c>
      <c r="K212" s="28">
        <v>43990</v>
      </c>
      <c r="L212" s="28">
        <v>46546</v>
      </c>
      <c r="M212" s="60">
        <f t="shared" si="71"/>
        <v>7.0027397260273974</v>
      </c>
      <c r="N212" s="4">
        <f t="shared" si="72"/>
        <v>1</v>
      </c>
      <c r="O212" s="43" t="s">
        <v>44</v>
      </c>
      <c r="P212" t="str">
        <f t="shared" si="75"/>
        <v>0</v>
      </c>
      <c r="Q212" s="44">
        <v>168667</v>
      </c>
      <c r="R212" s="43">
        <v>1000</v>
      </c>
      <c r="S212" s="34" t="str">
        <f>IF($V212="USD",INDEX('Dólar Spot'!$B:$B,MATCH(Base!$K212,'Dólar Spot'!$A:$A,0)),"")</f>
        <v/>
      </c>
      <c r="T212" s="4">
        <f t="shared" si="69"/>
        <v>168667000</v>
      </c>
      <c r="U212" s="8">
        <f t="shared" si="76"/>
        <v>1.6866699999999999</v>
      </c>
      <c r="V212" s="43" t="s">
        <v>41</v>
      </c>
      <c r="W212" s="45">
        <v>100</v>
      </c>
      <c r="X212" s="46">
        <v>3.75</v>
      </c>
      <c r="Y212" s="9">
        <f>IF(AND(V212="DI",$W212=100),$X212/100,
IF(AND(V212="DI",$W212&lt;&gt;100,$X212=""),INDEX('Debs %CDI'!$Q:$Q,MATCH(Base!$C212,'Debs %CDI'!$A:$A,0)),
IF($V212="USD",INDEX(Bonds!$AF:$AF,MATCH(Base!$C212,Bonds!$B:$B,0)),
IF($V212="IPCA",INDEX('Debs IPCA'!$Z:$Z,MATCH(Base!$C212,'Debs IPCA'!$A:$A,0))))))</f>
        <v>3.7499999999999999E-2</v>
      </c>
      <c r="Z212" s="43">
        <v>252</v>
      </c>
      <c r="AA212" s="43" t="s">
        <v>30</v>
      </c>
      <c r="AB212" s="43" t="s">
        <v>32</v>
      </c>
      <c r="AC212">
        <f t="shared" si="73"/>
        <v>0</v>
      </c>
      <c r="AD212" s="43" t="s">
        <v>31</v>
      </c>
      <c r="AE212">
        <f t="shared" si="74"/>
        <v>1</v>
      </c>
      <c r="AF212" s="34" t="str" cm="1">
        <f t="array" ref="AF212">INDEX(Ratings!$B$2:$M$40,_xlfn.XMATCH(Base!F212,Ratings!$A$2:$A$40),_xlfn.XMATCH(YEAR(Base!K212),Ratings!$B$1:$M$1))</f>
        <v>C</v>
      </c>
      <c r="AG212">
        <f t="shared" si="67"/>
        <v>0</v>
      </c>
      <c r="AH212">
        <f>IFERROR(IFERROR(IFERROR(INDEX('EMBI+'!$B:$B,MATCH(Base!$K212,'EMBI+'!$A:$A,0)),INDEX('EMBI+'!$B:$B,MATCH(Base!$K212+1,'EMBI+'!$A:$A,0))),INDEX('EMBI+'!$B:$B,MATCH(Base!$K212+2,'EMBI+'!$A:$A,0))),INDEX('EMBI+'!$B:$B,MATCH(Base!$K212+3,'EMBI+'!$A:$A,0)))/100</f>
        <v>3.32</v>
      </c>
      <c r="AL212" s="43"/>
      <c r="AM212" s="28"/>
      <c r="AN212" s="28"/>
    </row>
    <row r="213" spans="1:40" x14ac:dyDescent="0.35">
      <c r="A213">
        <f t="shared" si="68"/>
        <v>211</v>
      </c>
      <c r="B213">
        <f>IF(G213="Bonds",COUNTIF($G$3:G213,"Bonds"),0)</f>
        <v>0</v>
      </c>
      <c r="C213" t="str">
        <f t="shared" si="77"/>
        <v>InterCement4399046546</v>
      </c>
      <c r="D213">
        <f t="shared" si="78"/>
        <v>20</v>
      </c>
      <c r="E213" s="43" t="s">
        <v>276</v>
      </c>
      <c r="F213" s="43" t="s">
        <v>277</v>
      </c>
      <c r="G213" s="43" t="s">
        <v>25</v>
      </c>
      <c r="H213">
        <f t="shared" si="70"/>
        <v>0</v>
      </c>
      <c r="I213" s="43" t="s">
        <v>285</v>
      </c>
      <c r="J213" s="34">
        <f t="shared" si="79"/>
        <v>8</v>
      </c>
      <c r="K213" s="28">
        <v>43990</v>
      </c>
      <c r="L213" s="28">
        <v>46546</v>
      </c>
      <c r="M213" s="60">
        <f t="shared" si="71"/>
        <v>7.0027397260273974</v>
      </c>
      <c r="N213" s="4">
        <f t="shared" si="72"/>
        <v>1</v>
      </c>
      <c r="O213" s="43" t="s">
        <v>44</v>
      </c>
      <c r="P213" t="str">
        <f t="shared" si="75"/>
        <v>0</v>
      </c>
      <c r="Q213" s="44">
        <v>168667</v>
      </c>
      <c r="R213" s="43">
        <v>1000</v>
      </c>
      <c r="S213" s="34" t="str">
        <f>IF($V213="USD",INDEX('Dólar Spot'!$B:$B,MATCH(Base!$K213,'Dólar Spot'!$A:$A,0)),"")</f>
        <v/>
      </c>
      <c r="T213" s="4">
        <f t="shared" si="69"/>
        <v>168667000</v>
      </c>
      <c r="U213" s="8">
        <f t="shared" si="76"/>
        <v>1.6866699999999999</v>
      </c>
      <c r="V213" s="43" t="s">
        <v>41</v>
      </c>
      <c r="W213" s="45">
        <v>100</v>
      </c>
      <c r="X213" s="46">
        <v>3.75</v>
      </c>
      <c r="Y213" s="9">
        <f>IF(AND(V213="DI",$W213=100),$X213/100,
IF(AND(V213="DI",$W213&lt;&gt;100,$X213=""),INDEX('Debs %CDI'!$Q:$Q,MATCH(Base!$C213,'Debs %CDI'!$A:$A,0)),
IF($V213="USD",INDEX(Bonds!$AF:$AF,MATCH(Base!$C213,Bonds!$B:$B,0)),
IF($V213="IPCA",INDEX('Debs IPCA'!$Z:$Z,MATCH(Base!$C213,'Debs IPCA'!$A:$A,0))))))</f>
        <v>3.7499999999999999E-2</v>
      </c>
      <c r="Z213" s="43">
        <v>252</v>
      </c>
      <c r="AA213" s="43" t="s">
        <v>30</v>
      </c>
      <c r="AB213" s="43" t="s">
        <v>32</v>
      </c>
      <c r="AC213">
        <f t="shared" si="73"/>
        <v>0</v>
      </c>
      <c r="AD213" s="43" t="s">
        <v>31</v>
      </c>
      <c r="AE213">
        <f t="shared" si="74"/>
        <v>1</v>
      </c>
      <c r="AF213" s="34" t="str" cm="1">
        <f t="array" ref="AF213">INDEX(Ratings!$B$2:$M$40,_xlfn.XMATCH(Base!F213,Ratings!$A$2:$A$40),_xlfn.XMATCH(YEAR(Base!K213),Ratings!$B$1:$M$1))</f>
        <v>C</v>
      </c>
      <c r="AG213">
        <f t="shared" si="67"/>
        <v>0</v>
      </c>
      <c r="AH213">
        <f>IFERROR(IFERROR(IFERROR(INDEX('EMBI+'!$B:$B,MATCH(Base!$K213,'EMBI+'!$A:$A,0)),INDEX('EMBI+'!$B:$B,MATCH(Base!$K213+1,'EMBI+'!$A:$A,0))),INDEX('EMBI+'!$B:$B,MATCH(Base!$K213+2,'EMBI+'!$A:$A,0))),INDEX('EMBI+'!$B:$B,MATCH(Base!$K213+3,'EMBI+'!$A:$A,0)))/100</f>
        <v>3.32</v>
      </c>
      <c r="AL213" s="43"/>
      <c r="AM213" s="28"/>
      <c r="AN213" s="28"/>
    </row>
    <row r="214" spans="1:40" x14ac:dyDescent="0.35">
      <c r="A214">
        <f t="shared" si="68"/>
        <v>212</v>
      </c>
      <c r="B214">
        <f>IF(G214="Bonds",COUNTIF($G$3:G214,"Bonds"),0)</f>
        <v>0</v>
      </c>
      <c r="C214" t="str">
        <f t="shared" si="77"/>
        <v>InterCement4399046546</v>
      </c>
      <c r="D214">
        <f t="shared" si="78"/>
        <v>20</v>
      </c>
      <c r="E214" s="43" t="s">
        <v>276</v>
      </c>
      <c r="F214" s="43" t="s">
        <v>277</v>
      </c>
      <c r="G214" s="43" t="s">
        <v>25</v>
      </c>
      <c r="H214">
        <f t="shared" si="70"/>
        <v>0</v>
      </c>
      <c r="I214" s="43" t="s">
        <v>286</v>
      </c>
      <c r="J214" s="34">
        <f t="shared" si="79"/>
        <v>9</v>
      </c>
      <c r="K214" s="28">
        <v>43990</v>
      </c>
      <c r="L214" s="28">
        <v>46546</v>
      </c>
      <c r="M214" s="60">
        <f t="shared" si="71"/>
        <v>7.0027397260273974</v>
      </c>
      <c r="N214" s="4">
        <f t="shared" si="72"/>
        <v>1</v>
      </c>
      <c r="O214" s="43" t="s">
        <v>44</v>
      </c>
      <c r="P214" t="str">
        <f t="shared" si="75"/>
        <v>0</v>
      </c>
      <c r="Q214" s="44">
        <v>222334</v>
      </c>
      <c r="R214" s="43">
        <v>1000</v>
      </c>
      <c r="S214" s="34" t="str">
        <f>IF($V214="USD",INDEX('Dólar Spot'!$B:$B,MATCH(Base!$K214,'Dólar Spot'!$A:$A,0)),"")</f>
        <v/>
      </c>
      <c r="T214" s="4">
        <f t="shared" si="69"/>
        <v>222334000</v>
      </c>
      <c r="U214" s="8">
        <f t="shared" si="76"/>
        <v>2.2233399999999999</v>
      </c>
      <c r="V214" s="43" t="s">
        <v>41</v>
      </c>
      <c r="W214" s="45">
        <v>100</v>
      </c>
      <c r="X214" s="46">
        <v>3.75</v>
      </c>
      <c r="Y214" s="9">
        <f>IF(AND(V214="DI",$W214=100),$X214/100,
IF(AND(V214="DI",$W214&lt;&gt;100,$X214=""),INDEX('Debs %CDI'!$Q:$Q,MATCH(Base!$C214,'Debs %CDI'!$A:$A,0)),
IF($V214="USD",INDEX(Bonds!$AF:$AF,MATCH(Base!$C214,Bonds!$B:$B,0)),
IF($V214="IPCA",INDEX('Debs IPCA'!$Z:$Z,MATCH(Base!$C214,'Debs IPCA'!$A:$A,0))))))</f>
        <v>3.7499999999999999E-2</v>
      </c>
      <c r="Z214" s="43">
        <v>252</v>
      </c>
      <c r="AA214" s="43" t="s">
        <v>30</v>
      </c>
      <c r="AB214" s="43" t="s">
        <v>32</v>
      </c>
      <c r="AC214">
        <f t="shared" si="73"/>
        <v>0</v>
      </c>
      <c r="AD214" s="43" t="s">
        <v>31</v>
      </c>
      <c r="AE214">
        <f t="shared" si="74"/>
        <v>1</v>
      </c>
      <c r="AF214" s="34" t="str" cm="1">
        <f t="array" ref="AF214">INDEX(Ratings!$B$2:$M$40,_xlfn.XMATCH(Base!F214,Ratings!$A$2:$A$40),_xlfn.XMATCH(YEAR(Base!K214),Ratings!$B$1:$M$1))</f>
        <v>C</v>
      </c>
      <c r="AG214">
        <f t="shared" si="67"/>
        <v>0</v>
      </c>
      <c r="AH214">
        <f>IFERROR(IFERROR(IFERROR(INDEX('EMBI+'!$B:$B,MATCH(Base!$K214,'EMBI+'!$A:$A,0)),INDEX('EMBI+'!$B:$B,MATCH(Base!$K214+1,'EMBI+'!$A:$A,0))),INDEX('EMBI+'!$B:$B,MATCH(Base!$K214+2,'EMBI+'!$A:$A,0))),INDEX('EMBI+'!$B:$B,MATCH(Base!$K214+3,'EMBI+'!$A:$A,0)))/100</f>
        <v>3.32</v>
      </c>
      <c r="AL214" s="43"/>
      <c r="AM214" s="28"/>
      <c r="AN214" s="28"/>
    </row>
    <row r="215" spans="1:40" x14ac:dyDescent="0.35">
      <c r="A215">
        <f t="shared" si="68"/>
        <v>213</v>
      </c>
      <c r="B215">
        <f>IF(G215="Bonds",COUNTIF($G$3:G215,"Bonds"),0)</f>
        <v>0</v>
      </c>
      <c r="C215" t="str">
        <f t="shared" si="77"/>
        <v>InterCement4399046546</v>
      </c>
      <c r="D215">
        <f t="shared" si="78"/>
        <v>20</v>
      </c>
      <c r="E215" s="43" t="s">
        <v>276</v>
      </c>
      <c r="F215" s="43" t="s">
        <v>277</v>
      </c>
      <c r="G215" s="43" t="s">
        <v>25</v>
      </c>
      <c r="H215">
        <f t="shared" si="70"/>
        <v>0</v>
      </c>
      <c r="I215" s="43" t="s">
        <v>287</v>
      </c>
      <c r="J215" s="34">
        <f t="shared" si="79"/>
        <v>10</v>
      </c>
      <c r="K215" s="28">
        <v>43990</v>
      </c>
      <c r="L215" s="28">
        <v>46546</v>
      </c>
      <c r="M215" s="60">
        <f t="shared" si="71"/>
        <v>7.0027397260273974</v>
      </c>
      <c r="N215" s="4">
        <f t="shared" si="72"/>
        <v>1</v>
      </c>
      <c r="O215" s="43" t="s">
        <v>44</v>
      </c>
      <c r="P215" t="str">
        <f t="shared" si="75"/>
        <v>0</v>
      </c>
      <c r="Q215" s="44">
        <v>222334</v>
      </c>
      <c r="R215" s="43">
        <v>1000</v>
      </c>
      <c r="S215" s="34" t="str">
        <f>IF($V215="USD",INDEX('Dólar Spot'!$B:$B,MATCH(Base!$K215,'Dólar Spot'!$A:$A,0)),"")</f>
        <v/>
      </c>
      <c r="T215" s="4">
        <f t="shared" si="69"/>
        <v>222334000</v>
      </c>
      <c r="U215" s="8">
        <f t="shared" si="76"/>
        <v>2.2233399999999999</v>
      </c>
      <c r="V215" s="43" t="s">
        <v>41</v>
      </c>
      <c r="W215" s="45">
        <v>100</v>
      </c>
      <c r="X215" s="46">
        <v>3.75</v>
      </c>
      <c r="Y215" s="9">
        <f>IF(AND(V215="DI",$W215=100),$X215/100,
IF(AND(V215="DI",$W215&lt;&gt;100,$X215=""),INDEX('Debs %CDI'!$Q:$Q,MATCH(Base!$C215,'Debs %CDI'!$A:$A,0)),
IF($V215="USD",INDEX(Bonds!$AF:$AF,MATCH(Base!$C215,Bonds!$B:$B,0)),
IF($V215="IPCA",INDEX('Debs IPCA'!$Z:$Z,MATCH(Base!$C215,'Debs IPCA'!$A:$A,0))))))</f>
        <v>3.7499999999999999E-2</v>
      </c>
      <c r="Z215" s="43">
        <v>252</v>
      </c>
      <c r="AA215" s="43" t="s">
        <v>30</v>
      </c>
      <c r="AB215" s="43" t="s">
        <v>32</v>
      </c>
      <c r="AC215">
        <f t="shared" si="73"/>
        <v>0</v>
      </c>
      <c r="AD215" s="43" t="s">
        <v>31</v>
      </c>
      <c r="AE215">
        <f t="shared" si="74"/>
        <v>1</v>
      </c>
      <c r="AF215" s="34" t="str" cm="1">
        <f t="array" ref="AF215">INDEX(Ratings!$B$2:$M$40,_xlfn.XMATCH(Base!F215,Ratings!$A$2:$A$40),_xlfn.XMATCH(YEAR(Base!K215),Ratings!$B$1:$M$1))</f>
        <v>C</v>
      </c>
      <c r="AG215">
        <f t="shared" si="67"/>
        <v>0</v>
      </c>
      <c r="AH215">
        <f>IFERROR(IFERROR(IFERROR(INDEX('EMBI+'!$B:$B,MATCH(Base!$K215,'EMBI+'!$A:$A,0)),INDEX('EMBI+'!$B:$B,MATCH(Base!$K215+1,'EMBI+'!$A:$A,0))),INDEX('EMBI+'!$B:$B,MATCH(Base!$K215+2,'EMBI+'!$A:$A,0))),INDEX('EMBI+'!$B:$B,MATCH(Base!$K215+3,'EMBI+'!$A:$A,0)))/100</f>
        <v>3.32</v>
      </c>
      <c r="AL215" s="43"/>
      <c r="AM215" s="28"/>
      <c r="AN215" s="28"/>
    </row>
    <row r="216" spans="1:40" x14ac:dyDescent="0.35">
      <c r="A216">
        <f t="shared" si="68"/>
        <v>214</v>
      </c>
      <c r="B216">
        <f>IF(G216="Bonds",COUNTIF($G$3:G216,"Bonds"),0)</f>
        <v>0</v>
      </c>
      <c r="C216" t="str">
        <f t="shared" si="77"/>
        <v>InterCement4399046546</v>
      </c>
      <c r="D216">
        <f t="shared" si="78"/>
        <v>20</v>
      </c>
      <c r="E216" s="43" t="s">
        <v>276</v>
      </c>
      <c r="F216" s="43" t="s">
        <v>277</v>
      </c>
      <c r="G216" s="43" t="s">
        <v>25</v>
      </c>
      <c r="H216">
        <f t="shared" si="70"/>
        <v>0</v>
      </c>
      <c r="I216" s="43" t="s">
        <v>288</v>
      </c>
      <c r="J216" s="34">
        <f t="shared" si="79"/>
        <v>11</v>
      </c>
      <c r="K216" s="28">
        <v>43990</v>
      </c>
      <c r="L216" s="28">
        <v>46546</v>
      </c>
      <c r="M216" s="60">
        <f t="shared" si="71"/>
        <v>7.0027397260273974</v>
      </c>
      <c r="N216" s="4">
        <f t="shared" si="72"/>
        <v>1</v>
      </c>
      <c r="O216" s="43" t="s">
        <v>44</v>
      </c>
      <c r="P216" t="str">
        <f t="shared" si="75"/>
        <v>0</v>
      </c>
      <c r="Q216" s="44">
        <v>222334</v>
      </c>
      <c r="R216" s="43">
        <v>1000</v>
      </c>
      <c r="S216" s="34" t="str">
        <f>IF($V216="USD",INDEX('Dólar Spot'!$B:$B,MATCH(Base!$K216,'Dólar Spot'!$A:$A,0)),"")</f>
        <v/>
      </c>
      <c r="T216" s="4">
        <f t="shared" si="69"/>
        <v>222334000</v>
      </c>
      <c r="U216" s="8">
        <f t="shared" si="76"/>
        <v>2.2233399999999999</v>
      </c>
      <c r="V216" s="43" t="s">
        <v>41</v>
      </c>
      <c r="W216" s="45">
        <v>100</v>
      </c>
      <c r="X216" s="46">
        <v>3.75</v>
      </c>
      <c r="Y216" s="9">
        <f>IF(AND(V216="DI",$W216=100),$X216/100,
IF(AND(V216="DI",$W216&lt;&gt;100,$X216=""),INDEX('Debs %CDI'!$Q:$Q,MATCH(Base!$C216,'Debs %CDI'!$A:$A,0)),
IF($V216="USD",INDEX(Bonds!$AF:$AF,MATCH(Base!$C216,Bonds!$B:$B,0)),
IF($V216="IPCA",INDEX('Debs IPCA'!$Z:$Z,MATCH(Base!$C216,'Debs IPCA'!$A:$A,0))))))</f>
        <v>3.7499999999999999E-2</v>
      </c>
      <c r="Z216" s="43">
        <v>252</v>
      </c>
      <c r="AA216" s="43" t="s">
        <v>30</v>
      </c>
      <c r="AB216" s="43" t="s">
        <v>32</v>
      </c>
      <c r="AC216">
        <f t="shared" si="73"/>
        <v>0</v>
      </c>
      <c r="AD216" s="43" t="s">
        <v>31</v>
      </c>
      <c r="AE216">
        <f t="shared" si="74"/>
        <v>1</v>
      </c>
      <c r="AF216" s="34" t="str" cm="1">
        <f t="array" ref="AF216">INDEX(Ratings!$B$2:$M$40,_xlfn.XMATCH(Base!F216,Ratings!$A$2:$A$40),_xlfn.XMATCH(YEAR(Base!K216),Ratings!$B$1:$M$1))</f>
        <v>C</v>
      </c>
      <c r="AG216">
        <f t="shared" si="67"/>
        <v>0</v>
      </c>
      <c r="AH216">
        <f>IFERROR(IFERROR(IFERROR(INDEX('EMBI+'!$B:$B,MATCH(Base!$K216,'EMBI+'!$A:$A,0)),INDEX('EMBI+'!$B:$B,MATCH(Base!$K216+1,'EMBI+'!$A:$A,0))),INDEX('EMBI+'!$B:$B,MATCH(Base!$K216+2,'EMBI+'!$A:$A,0))),INDEX('EMBI+'!$B:$B,MATCH(Base!$K216+3,'EMBI+'!$A:$A,0)))/100</f>
        <v>3.32</v>
      </c>
      <c r="AL216" s="43"/>
      <c r="AM216" s="28"/>
      <c r="AN216" s="28"/>
    </row>
    <row r="217" spans="1:40" x14ac:dyDescent="0.35">
      <c r="A217">
        <f t="shared" si="68"/>
        <v>215</v>
      </c>
      <c r="B217">
        <f>IF(G217="Bonds",COUNTIF($G$3:G217,"Bonds"),0)</f>
        <v>0</v>
      </c>
      <c r="C217" t="str">
        <f t="shared" si="77"/>
        <v>InterCement4446346546</v>
      </c>
      <c r="D217">
        <f t="shared" si="78"/>
        <v>20</v>
      </c>
      <c r="E217" s="43" t="s">
        <v>276</v>
      </c>
      <c r="F217" s="43" t="s">
        <v>277</v>
      </c>
      <c r="G217" s="43" t="s">
        <v>25</v>
      </c>
      <c r="H217">
        <f t="shared" si="70"/>
        <v>0</v>
      </c>
      <c r="I217" s="43" t="s">
        <v>289</v>
      </c>
      <c r="J217" s="34">
        <f t="shared" si="79"/>
        <v>12</v>
      </c>
      <c r="K217" s="28">
        <v>44463</v>
      </c>
      <c r="L217" s="28">
        <v>46546</v>
      </c>
      <c r="M217" s="60">
        <f t="shared" si="71"/>
        <v>5.7068493150684931</v>
      </c>
      <c r="N217" s="4">
        <f t="shared" si="72"/>
        <v>1</v>
      </c>
      <c r="O217" s="43" t="s">
        <v>44</v>
      </c>
      <c r="P217" t="str">
        <f t="shared" si="75"/>
        <v>0</v>
      </c>
      <c r="Q217" s="44">
        <v>103355</v>
      </c>
      <c r="R217" s="43">
        <v>1000</v>
      </c>
      <c r="S217" s="34" t="str">
        <f>IF($V217="USD",INDEX('Dólar Spot'!$B:$B,MATCH(Base!$K217,'Dólar Spot'!$A:$A,0)),"")</f>
        <v/>
      </c>
      <c r="T217" s="4">
        <f t="shared" si="69"/>
        <v>103355000</v>
      </c>
      <c r="U217" s="8">
        <f t="shared" si="76"/>
        <v>1.03355</v>
      </c>
      <c r="V217" s="43" t="s">
        <v>41</v>
      </c>
      <c r="W217" s="45">
        <v>100</v>
      </c>
      <c r="X217" s="46">
        <v>3.75</v>
      </c>
      <c r="Y217" s="9">
        <f>IF(AND(V217="DI",$W217=100),$X217/100,
IF(AND(V217="DI",$W217&lt;&gt;100,$X217=""),INDEX('Debs %CDI'!$Q:$Q,MATCH(Base!$C217,'Debs %CDI'!$A:$A,0)),
IF($V217="USD",INDEX(Bonds!$AF:$AF,MATCH(Base!$C217,Bonds!$B:$B,0)),
IF($V217="IPCA",INDEX('Debs IPCA'!$Z:$Z,MATCH(Base!$C217,'Debs IPCA'!$A:$A,0))))))</f>
        <v>3.7499999999999999E-2</v>
      </c>
      <c r="Z217" s="43">
        <v>252</v>
      </c>
      <c r="AA217" s="43" t="s">
        <v>30</v>
      </c>
      <c r="AB217" s="43" t="s">
        <v>32</v>
      </c>
      <c r="AC217">
        <f t="shared" si="73"/>
        <v>0</v>
      </c>
      <c r="AD217" s="43" t="s">
        <v>31</v>
      </c>
      <c r="AE217">
        <f t="shared" si="74"/>
        <v>1</v>
      </c>
      <c r="AF217" s="34" t="str" cm="1">
        <f t="array" ref="AF217">INDEX(Ratings!$B$2:$M$40,_xlfn.XMATCH(Base!F217,Ratings!$A$2:$A$40),_xlfn.XMATCH(YEAR(Base!K217),Ratings!$B$1:$M$1))</f>
        <v>CCC</v>
      </c>
      <c r="AG217">
        <f t="shared" si="67"/>
        <v>0</v>
      </c>
      <c r="AH217">
        <f>IFERROR(IFERROR(IFERROR(INDEX('EMBI+'!$B:$B,MATCH(Base!$K217,'EMBI+'!$A:$A,0)),INDEX('EMBI+'!$B:$B,MATCH(Base!$K217+1,'EMBI+'!$A:$A,0))),INDEX('EMBI+'!$B:$B,MATCH(Base!$K217+2,'EMBI+'!$A:$A,0))),INDEX('EMBI+'!$B:$B,MATCH(Base!$K217+3,'EMBI+'!$A:$A,0)))/100</f>
        <v>3.2</v>
      </c>
      <c r="AL217" s="43"/>
      <c r="AM217" s="28"/>
      <c r="AN217" s="28"/>
    </row>
    <row r="218" spans="1:40" x14ac:dyDescent="0.35">
      <c r="A218">
        <f t="shared" si="68"/>
        <v>216</v>
      </c>
      <c r="B218">
        <f>IF(G218="Bonds",COUNTIF($G$3:G218,"Bonds"),0)</f>
        <v>0</v>
      </c>
      <c r="C218" t="str">
        <f t="shared" si="77"/>
        <v>InterCement4446346546</v>
      </c>
      <c r="D218">
        <f t="shared" si="78"/>
        <v>20</v>
      </c>
      <c r="E218" s="43" t="s">
        <v>276</v>
      </c>
      <c r="F218" s="43" t="s">
        <v>277</v>
      </c>
      <c r="G218" s="43" t="s">
        <v>25</v>
      </c>
      <c r="H218">
        <f t="shared" si="70"/>
        <v>0</v>
      </c>
      <c r="I218" s="43" t="s">
        <v>290</v>
      </c>
      <c r="J218" s="34">
        <f t="shared" si="79"/>
        <v>13</v>
      </c>
      <c r="K218" s="28">
        <v>44463</v>
      </c>
      <c r="L218" s="28">
        <v>46546</v>
      </c>
      <c r="M218" s="60">
        <f t="shared" si="71"/>
        <v>5.7068493150684931</v>
      </c>
      <c r="N218" s="4">
        <f t="shared" si="72"/>
        <v>1</v>
      </c>
      <c r="O218" s="43" t="s">
        <v>44</v>
      </c>
      <c r="P218" t="str">
        <f t="shared" si="75"/>
        <v>0</v>
      </c>
      <c r="Q218" s="44">
        <v>103354</v>
      </c>
      <c r="R218" s="43">
        <v>1000</v>
      </c>
      <c r="S218" s="34" t="str">
        <f>IF($V218="USD",INDEX('Dólar Spot'!$B:$B,MATCH(Base!$K218,'Dólar Spot'!$A:$A,0)),"")</f>
        <v/>
      </c>
      <c r="T218" s="4">
        <f t="shared" si="69"/>
        <v>103354000</v>
      </c>
      <c r="U218" s="8">
        <f t="shared" si="76"/>
        <v>1.0335399999999999</v>
      </c>
      <c r="V218" s="43" t="s">
        <v>41</v>
      </c>
      <c r="W218" s="45">
        <v>100</v>
      </c>
      <c r="X218" s="46">
        <v>3.75</v>
      </c>
      <c r="Y218" s="9">
        <f>IF(AND(V218="DI",$W218=100),$X218/100,
IF(AND(V218="DI",$W218&lt;&gt;100,$X218=""),INDEX('Debs %CDI'!$Q:$Q,MATCH(Base!$C218,'Debs %CDI'!$A:$A,0)),
IF($V218="USD",INDEX(Bonds!$AF:$AF,MATCH(Base!$C218,Bonds!$B:$B,0)),
IF($V218="IPCA",INDEX('Debs IPCA'!$Z:$Z,MATCH(Base!$C218,'Debs IPCA'!$A:$A,0))))))</f>
        <v>3.7499999999999999E-2</v>
      </c>
      <c r="Z218" s="43">
        <v>252</v>
      </c>
      <c r="AA218" s="43" t="s">
        <v>30</v>
      </c>
      <c r="AB218" s="43" t="s">
        <v>32</v>
      </c>
      <c r="AC218">
        <f t="shared" si="73"/>
        <v>0</v>
      </c>
      <c r="AD218" s="43" t="s">
        <v>31</v>
      </c>
      <c r="AE218">
        <f t="shared" si="74"/>
        <v>1</v>
      </c>
      <c r="AF218" s="34" t="str" cm="1">
        <f t="array" ref="AF218">INDEX(Ratings!$B$2:$M$40,_xlfn.XMATCH(Base!F218,Ratings!$A$2:$A$40),_xlfn.XMATCH(YEAR(Base!K218),Ratings!$B$1:$M$1))</f>
        <v>CCC</v>
      </c>
      <c r="AG218">
        <f t="shared" si="67"/>
        <v>0</v>
      </c>
      <c r="AH218">
        <f>IFERROR(IFERROR(IFERROR(INDEX('EMBI+'!$B:$B,MATCH(Base!$K218,'EMBI+'!$A:$A,0)),INDEX('EMBI+'!$B:$B,MATCH(Base!$K218+1,'EMBI+'!$A:$A,0))),INDEX('EMBI+'!$B:$B,MATCH(Base!$K218+2,'EMBI+'!$A:$A,0))),INDEX('EMBI+'!$B:$B,MATCH(Base!$K218+3,'EMBI+'!$A:$A,0)))/100</f>
        <v>3.2</v>
      </c>
      <c r="AL218" s="43"/>
      <c r="AM218" s="28"/>
      <c r="AN218" s="28"/>
    </row>
    <row r="219" spans="1:40" x14ac:dyDescent="0.35">
      <c r="A219">
        <f t="shared" si="68"/>
        <v>217</v>
      </c>
      <c r="B219">
        <f>IF(G219="Bonds",COUNTIF($G$3:G219,"Bonds"),0)</f>
        <v>0</v>
      </c>
      <c r="C219" t="str">
        <f t="shared" si="77"/>
        <v>InterCement4446346546</v>
      </c>
      <c r="D219">
        <f t="shared" si="78"/>
        <v>20</v>
      </c>
      <c r="E219" s="43" t="s">
        <v>276</v>
      </c>
      <c r="F219" s="43" t="s">
        <v>277</v>
      </c>
      <c r="G219" s="43" t="s">
        <v>25</v>
      </c>
      <c r="H219">
        <f t="shared" si="70"/>
        <v>0</v>
      </c>
      <c r="I219" s="43" t="s">
        <v>291</v>
      </c>
      <c r="J219" s="34">
        <f t="shared" si="79"/>
        <v>14</v>
      </c>
      <c r="K219" s="28">
        <v>44463</v>
      </c>
      <c r="L219" s="28">
        <v>46546</v>
      </c>
      <c r="M219" s="60">
        <f t="shared" si="71"/>
        <v>5.7068493150684931</v>
      </c>
      <c r="N219" s="4">
        <f t="shared" si="72"/>
        <v>1</v>
      </c>
      <c r="O219" s="43" t="s">
        <v>44</v>
      </c>
      <c r="P219" t="str">
        <f t="shared" si="75"/>
        <v>0</v>
      </c>
      <c r="Q219" s="44">
        <v>103354</v>
      </c>
      <c r="R219" s="43">
        <v>1000</v>
      </c>
      <c r="S219" s="34" t="str">
        <f>IF($V219="USD",INDEX('Dólar Spot'!$B:$B,MATCH(Base!$K219,'Dólar Spot'!$A:$A,0)),"")</f>
        <v/>
      </c>
      <c r="T219" s="4">
        <f t="shared" si="69"/>
        <v>103354000</v>
      </c>
      <c r="U219" s="8">
        <f t="shared" si="76"/>
        <v>1.0335399999999999</v>
      </c>
      <c r="V219" s="43" t="s">
        <v>41</v>
      </c>
      <c r="W219" s="45">
        <v>100</v>
      </c>
      <c r="X219" s="46">
        <v>3.75</v>
      </c>
      <c r="Y219" s="9">
        <f>IF(AND(V219="DI",$W219=100),$X219/100,
IF(AND(V219="DI",$W219&lt;&gt;100,$X219=""),INDEX('Debs %CDI'!$Q:$Q,MATCH(Base!$C219,'Debs %CDI'!$A:$A,0)),
IF($V219="USD",INDEX(Bonds!$AF:$AF,MATCH(Base!$C219,Bonds!$B:$B,0)),
IF($V219="IPCA",INDEX('Debs IPCA'!$Z:$Z,MATCH(Base!$C219,'Debs IPCA'!$A:$A,0))))))</f>
        <v>3.7499999999999999E-2</v>
      </c>
      <c r="Z219" s="43">
        <v>252</v>
      </c>
      <c r="AA219" s="43" t="s">
        <v>30</v>
      </c>
      <c r="AB219" s="43" t="s">
        <v>32</v>
      </c>
      <c r="AC219">
        <f t="shared" si="73"/>
        <v>0</v>
      </c>
      <c r="AD219" s="43" t="s">
        <v>31</v>
      </c>
      <c r="AE219">
        <f t="shared" si="74"/>
        <v>1</v>
      </c>
      <c r="AF219" s="34" t="str" cm="1">
        <f t="array" ref="AF219">INDEX(Ratings!$B$2:$M$40,_xlfn.XMATCH(Base!F219,Ratings!$A$2:$A$40),_xlfn.XMATCH(YEAR(Base!K219),Ratings!$B$1:$M$1))</f>
        <v>CCC</v>
      </c>
      <c r="AG219">
        <f t="shared" si="67"/>
        <v>0</v>
      </c>
      <c r="AH219">
        <f>IFERROR(IFERROR(IFERROR(INDEX('EMBI+'!$B:$B,MATCH(Base!$K219,'EMBI+'!$A:$A,0)),INDEX('EMBI+'!$B:$B,MATCH(Base!$K219+1,'EMBI+'!$A:$A,0))),INDEX('EMBI+'!$B:$B,MATCH(Base!$K219+2,'EMBI+'!$A:$A,0))),INDEX('EMBI+'!$B:$B,MATCH(Base!$K219+3,'EMBI+'!$A:$A,0)))/100</f>
        <v>3.2</v>
      </c>
      <c r="AL219" s="43"/>
      <c r="AM219" s="28"/>
      <c r="AN219" s="28"/>
    </row>
    <row r="220" spans="1:40" x14ac:dyDescent="0.35">
      <c r="A220">
        <f t="shared" si="68"/>
        <v>218</v>
      </c>
      <c r="B220">
        <f>IF(G220="Bonds",COUNTIF($G$3:G220,"Bonds"),0)</f>
        <v>0</v>
      </c>
      <c r="C220" t="str">
        <f t="shared" si="77"/>
        <v>InterCement4446346546</v>
      </c>
      <c r="D220">
        <f t="shared" si="78"/>
        <v>20</v>
      </c>
      <c r="E220" s="43" t="s">
        <v>276</v>
      </c>
      <c r="F220" s="43" t="s">
        <v>277</v>
      </c>
      <c r="G220" s="43" t="s">
        <v>25</v>
      </c>
      <c r="H220">
        <f t="shared" si="70"/>
        <v>0</v>
      </c>
      <c r="I220" s="43" t="s">
        <v>292</v>
      </c>
      <c r="J220" s="34">
        <f t="shared" si="79"/>
        <v>15</v>
      </c>
      <c r="K220" s="28">
        <v>44463</v>
      </c>
      <c r="L220" s="28">
        <v>46546</v>
      </c>
      <c r="M220" s="60">
        <f t="shared" si="71"/>
        <v>5.7068493150684931</v>
      </c>
      <c r="N220" s="4">
        <f t="shared" si="72"/>
        <v>1</v>
      </c>
      <c r="O220" s="43" t="s">
        <v>44</v>
      </c>
      <c r="P220" t="str">
        <f t="shared" si="75"/>
        <v>0</v>
      </c>
      <c r="Q220" s="44">
        <v>99207</v>
      </c>
      <c r="R220" s="43">
        <v>1000</v>
      </c>
      <c r="S220" s="34" t="str">
        <f>IF($V220="USD",INDEX('Dólar Spot'!$B:$B,MATCH(Base!$K220,'Dólar Spot'!$A:$A,0)),"")</f>
        <v/>
      </c>
      <c r="T220" s="4">
        <f t="shared" si="69"/>
        <v>99207000</v>
      </c>
      <c r="U220" s="8">
        <f t="shared" si="76"/>
        <v>0.99207000000000001</v>
      </c>
      <c r="V220" s="43" t="s">
        <v>41</v>
      </c>
      <c r="W220" s="45">
        <v>100</v>
      </c>
      <c r="X220" s="46">
        <v>3.75</v>
      </c>
      <c r="Y220" s="9">
        <f>IF(AND(V220="DI",$W220=100),$X220/100,
IF(AND(V220="DI",$W220&lt;&gt;100,$X220=""),INDEX('Debs %CDI'!$Q:$Q,MATCH(Base!$C220,'Debs %CDI'!$A:$A,0)),
IF($V220="USD",INDEX(Bonds!$AF:$AF,MATCH(Base!$C220,Bonds!$B:$B,0)),
IF($V220="IPCA",INDEX('Debs IPCA'!$Z:$Z,MATCH(Base!$C220,'Debs IPCA'!$A:$A,0))))))</f>
        <v>3.7499999999999999E-2</v>
      </c>
      <c r="Z220" s="43">
        <v>252</v>
      </c>
      <c r="AA220" s="43" t="s">
        <v>30</v>
      </c>
      <c r="AB220" s="43" t="s">
        <v>32</v>
      </c>
      <c r="AC220">
        <f t="shared" si="73"/>
        <v>0</v>
      </c>
      <c r="AD220" s="43" t="s">
        <v>31</v>
      </c>
      <c r="AE220">
        <f t="shared" si="74"/>
        <v>1</v>
      </c>
      <c r="AF220" s="34" t="str" cm="1">
        <f t="array" ref="AF220">INDEX(Ratings!$B$2:$M$40,_xlfn.XMATCH(Base!F220,Ratings!$A$2:$A$40),_xlfn.XMATCH(YEAR(Base!K220),Ratings!$B$1:$M$1))</f>
        <v>CCC</v>
      </c>
      <c r="AG220">
        <f t="shared" si="67"/>
        <v>0</v>
      </c>
      <c r="AH220">
        <f>IFERROR(IFERROR(IFERROR(INDEX('EMBI+'!$B:$B,MATCH(Base!$K220,'EMBI+'!$A:$A,0)),INDEX('EMBI+'!$B:$B,MATCH(Base!$K220+1,'EMBI+'!$A:$A,0))),INDEX('EMBI+'!$B:$B,MATCH(Base!$K220+2,'EMBI+'!$A:$A,0))),INDEX('EMBI+'!$B:$B,MATCH(Base!$K220+3,'EMBI+'!$A:$A,0)))/100</f>
        <v>3.2</v>
      </c>
      <c r="AL220" s="43"/>
      <c r="AM220" s="28"/>
      <c r="AN220" s="28"/>
    </row>
    <row r="221" spans="1:40" x14ac:dyDescent="0.35">
      <c r="A221">
        <f t="shared" si="68"/>
        <v>219</v>
      </c>
      <c r="B221">
        <f>IF(G221="Bonds",COUNTIF($G$3:G221,"Bonds"),0)</f>
        <v>0</v>
      </c>
      <c r="C221" t="str">
        <f t="shared" si="77"/>
        <v>InterCement4446346546</v>
      </c>
      <c r="D221">
        <f t="shared" si="78"/>
        <v>20</v>
      </c>
      <c r="E221" s="43" t="s">
        <v>276</v>
      </c>
      <c r="F221" s="43" t="s">
        <v>277</v>
      </c>
      <c r="G221" s="43" t="s">
        <v>25</v>
      </c>
      <c r="H221">
        <f t="shared" si="70"/>
        <v>0</v>
      </c>
      <c r="I221" s="43" t="s">
        <v>293</v>
      </c>
      <c r="J221" s="34">
        <f t="shared" si="79"/>
        <v>16</v>
      </c>
      <c r="K221" s="28">
        <v>44463</v>
      </c>
      <c r="L221" s="28">
        <v>46546</v>
      </c>
      <c r="M221" s="60">
        <f t="shared" si="71"/>
        <v>5.7068493150684931</v>
      </c>
      <c r="N221" s="4">
        <f t="shared" si="72"/>
        <v>1</v>
      </c>
      <c r="O221" s="43" t="s">
        <v>44</v>
      </c>
      <c r="P221" t="str">
        <f t="shared" si="75"/>
        <v>0</v>
      </c>
      <c r="Q221" s="44">
        <v>99207</v>
      </c>
      <c r="R221" s="43">
        <v>1000</v>
      </c>
      <c r="S221" s="34" t="str">
        <f>IF($V221="USD",INDEX('Dólar Spot'!$B:$B,MATCH(Base!$K221,'Dólar Spot'!$A:$A,0)),"")</f>
        <v/>
      </c>
      <c r="T221" s="4">
        <f t="shared" si="69"/>
        <v>99207000</v>
      </c>
      <c r="U221" s="8">
        <f t="shared" si="76"/>
        <v>0.99207000000000001</v>
      </c>
      <c r="V221" s="43" t="s">
        <v>41</v>
      </c>
      <c r="W221" s="45">
        <v>100</v>
      </c>
      <c r="X221" s="46">
        <v>3.75</v>
      </c>
      <c r="Y221" s="9">
        <f>IF(AND(V221="DI",$W221=100),$X221/100,
IF(AND(V221="DI",$W221&lt;&gt;100,$X221=""),INDEX('Debs %CDI'!$Q:$Q,MATCH(Base!$C221,'Debs %CDI'!$A:$A,0)),
IF($V221="USD",INDEX(Bonds!$AF:$AF,MATCH(Base!$C221,Bonds!$B:$B,0)),
IF($V221="IPCA",INDEX('Debs IPCA'!$Z:$Z,MATCH(Base!$C221,'Debs IPCA'!$A:$A,0))))))</f>
        <v>3.7499999999999999E-2</v>
      </c>
      <c r="Z221" s="43">
        <v>252</v>
      </c>
      <c r="AA221" s="43" t="s">
        <v>30</v>
      </c>
      <c r="AB221" s="43" t="s">
        <v>32</v>
      </c>
      <c r="AC221">
        <f t="shared" si="73"/>
        <v>0</v>
      </c>
      <c r="AD221" s="43" t="s">
        <v>31</v>
      </c>
      <c r="AE221">
        <f t="shared" si="74"/>
        <v>1</v>
      </c>
      <c r="AF221" s="34" t="str" cm="1">
        <f t="array" ref="AF221">INDEX(Ratings!$B$2:$M$40,_xlfn.XMATCH(Base!F221,Ratings!$A$2:$A$40),_xlfn.XMATCH(YEAR(Base!K221),Ratings!$B$1:$M$1))</f>
        <v>CCC</v>
      </c>
      <c r="AG221">
        <f t="shared" si="67"/>
        <v>0</v>
      </c>
      <c r="AH221">
        <f>IFERROR(IFERROR(IFERROR(INDEX('EMBI+'!$B:$B,MATCH(Base!$K221,'EMBI+'!$A:$A,0)),INDEX('EMBI+'!$B:$B,MATCH(Base!$K221+1,'EMBI+'!$A:$A,0))),INDEX('EMBI+'!$B:$B,MATCH(Base!$K221+2,'EMBI+'!$A:$A,0))),INDEX('EMBI+'!$B:$B,MATCH(Base!$K221+3,'EMBI+'!$A:$A,0)))/100</f>
        <v>3.2</v>
      </c>
      <c r="AL221" s="43"/>
      <c r="AM221" s="28"/>
      <c r="AN221" s="28"/>
    </row>
    <row r="222" spans="1:40" x14ac:dyDescent="0.35">
      <c r="A222">
        <f t="shared" si="68"/>
        <v>220</v>
      </c>
      <c r="B222">
        <f>IF(G222="Bonds",COUNTIF($G$3:G222,"Bonds"),0)</f>
        <v>0</v>
      </c>
      <c r="C222" t="str">
        <f t="shared" si="77"/>
        <v>InterCement4446346546</v>
      </c>
      <c r="D222">
        <f t="shared" si="78"/>
        <v>20</v>
      </c>
      <c r="E222" s="43" t="s">
        <v>276</v>
      </c>
      <c r="F222" s="43" t="s">
        <v>277</v>
      </c>
      <c r="G222" s="43" t="s">
        <v>25</v>
      </c>
      <c r="H222">
        <f t="shared" si="70"/>
        <v>0</v>
      </c>
      <c r="I222" s="43" t="s">
        <v>294</v>
      </c>
      <c r="J222" s="34">
        <f t="shared" si="79"/>
        <v>17</v>
      </c>
      <c r="K222" s="28">
        <v>44463</v>
      </c>
      <c r="L222" s="28">
        <v>46546</v>
      </c>
      <c r="M222" s="60">
        <f t="shared" si="71"/>
        <v>5.7068493150684931</v>
      </c>
      <c r="N222" s="4">
        <f t="shared" si="72"/>
        <v>1</v>
      </c>
      <c r="O222" s="43" t="s">
        <v>44</v>
      </c>
      <c r="P222" t="str">
        <f t="shared" si="75"/>
        <v>0</v>
      </c>
      <c r="Q222" s="44">
        <v>99206</v>
      </c>
      <c r="R222" s="43">
        <v>1000</v>
      </c>
      <c r="S222" s="34" t="str">
        <f>IF($V222="USD",INDEX('Dólar Spot'!$B:$B,MATCH(Base!$K222,'Dólar Spot'!$A:$A,0)),"")</f>
        <v/>
      </c>
      <c r="T222" s="4">
        <f t="shared" si="69"/>
        <v>99206000</v>
      </c>
      <c r="U222" s="8">
        <f t="shared" si="76"/>
        <v>0.99206000000000005</v>
      </c>
      <c r="V222" s="43" t="s">
        <v>41</v>
      </c>
      <c r="W222" s="45">
        <v>100</v>
      </c>
      <c r="X222" s="46">
        <v>3.75</v>
      </c>
      <c r="Y222" s="9">
        <f>IF(AND(V222="DI",$W222=100),$X222/100,
IF(AND(V222="DI",$W222&lt;&gt;100,$X222=""),INDEX('Debs %CDI'!$Q:$Q,MATCH(Base!$C222,'Debs %CDI'!$A:$A,0)),
IF($V222="USD",INDEX(Bonds!$AF:$AF,MATCH(Base!$C222,Bonds!$B:$B,0)),
IF($V222="IPCA",INDEX('Debs IPCA'!$Z:$Z,MATCH(Base!$C222,'Debs IPCA'!$A:$A,0))))))</f>
        <v>3.7499999999999999E-2</v>
      </c>
      <c r="Z222" s="43">
        <v>252</v>
      </c>
      <c r="AA222" s="43" t="s">
        <v>30</v>
      </c>
      <c r="AB222" s="43" t="s">
        <v>32</v>
      </c>
      <c r="AC222">
        <f t="shared" si="73"/>
        <v>0</v>
      </c>
      <c r="AD222" s="43" t="s">
        <v>31</v>
      </c>
      <c r="AE222">
        <f t="shared" si="74"/>
        <v>1</v>
      </c>
      <c r="AF222" s="34" t="str" cm="1">
        <f t="array" ref="AF222">INDEX(Ratings!$B$2:$M$40,_xlfn.XMATCH(Base!F222,Ratings!$A$2:$A$40),_xlfn.XMATCH(YEAR(Base!K222),Ratings!$B$1:$M$1))</f>
        <v>CCC</v>
      </c>
      <c r="AG222">
        <f t="shared" si="67"/>
        <v>0</v>
      </c>
      <c r="AH222">
        <f>IFERROR(IFERROR(IFERROR(INDEX('EMBI+'!$B:$B,MATCH(Base!$K222,'EMBI+'!$A:$A,0)),INDEX('EMBI+'!$B:$B,MATCH(Base!$K222+1,'EMBI+'!$A:$A,0))),INDEX('EMBI+'!$B:$B,MATCH(Base!$K222+2,'EMBI+'!$A:$A,0))),INDEX('EMBI+'!$B:$B,MATCH(Base!$K222+3,'EMBI+'!$A:$A,0)))/100</f>
        <v>3.2</v>
      </c>
      <c r="AL222" s="43"/>
      <c r="AM222" s="28"/>
      <c r="AN222" s="28"/>
    </row>
    <row r="223" spans="1:40" x14ac:dyDescent="0.35">
      <c r="A223">
        <f t="shared" si="68"/>
        <v>221</v>
      </c>
      <c r="B223">
        <f>IF(G223="Bonds",COUNTIF($G$3:G223,"Bonds"),0)</f>
        <v>0</v>
      </c>
      <c r="C223" t="str">
        <f t="shared" si="77"/>
        <v>InterCement4446346546</v>
      </c>
      <c r="D223">
        <f t="shared" si="78"/>
        <v>20</v>
      </c>
      <c r="E223" s="43" t="s">
        <v>276</v>
      </c>
      <c r="F223" s="43" t="s">
        <v>277</v>
      </c>
      <c r="G223" s="43" t="s">
        <v>25</v>
      </c>
      <c r="H223">
        <f t="shared" si="70"/>
        <v>0</v>
      </c>
      <c r="I223" s="43" t="s">
        <v>295</v>
      </c>
      <c r="J223" s="34">
        <f t="shared" si="79"/>
        <v>18</v>
      </c>
      <c r="K223" s="28">
        <v>44463</v>
      </c>
      <c r="L223" s="28">
        <v>46546</v>
      </c>
      <c r="M223" s="60">
        <f t="shared" si="71"/>
        <v>5.7068493150684931</v>
      </c>
      <c r="N223" s="4">
        <f t="shared" si="72"/>
        <v>1</v>
      </c>
      <c r="O223" s="43" t="s">
        <v>44</v>
      </c>
      <c r="P223" t="str">
        <f t="shared" si="75"/>
        <v>0</v>
      </c>
      <c r="Q223" s="44">
        <v>130773</v>
      </c>
      <c r="R223" s="43">
        <v>1000</v>
      </c>
      <c r="S223" s="34" t="str">
        <f>IF($V223="USD",INDEX('Dólar Spot'!$B:$B,MATCH(Base!$K223,'Dólar Spot'!$A:$A,0)),"")</f>
        <v/>
      </c>
      <c r="T223" s="4">
        <f t="shared" si="69"/>
        <v>130773000</v>
      </c>
      <c r="U223" s="8">
        <f t="shared" si="76"/>
        <v>1.3077300000000001</v>
      </c>
      <c r="V223" s="43" t="s">
        <v>41</v>
      </c>
      <c r="W223" s="45">
        <v>100</v>
      </c>
      <c r="X223" s="46">
        <v>3.75</v>
      </c>
      <c r="Y223" s="9">
        <f>IF(AND(V223="DI",$W223=100),$X223/100,
IF(AND(V223="DI",$W223&lt;&gt;100,$X223=""),INDEX('Debs %CDI'!$Q:$Q,MATCH(Base!$C223,'Debs %CDI'!$A:$A,0)),
IF($V223="USD",INDEX(Bonds!$AF:$AF,MATCH(Base!$C223,Bonds!$B:$B,0)),
IF($V223="IPCA",INDEX('Debs IPCA'!$Z:$Z,MATCH(Base!$C223,'Debs IPCA'!$A:$A,0))))))</f>
        <v>3.7499999999999999E-2</v>
      </c>
      <c r="Z223" s="43">
        <v>252</v>
      </c>
      <c r="AA223" s="43" t="s">
        <v>30</v>
      </c>
      <c r="AB223" s="43" t="s">
        <v>32</v>
      </c>
      <c r="AC223">
        <f t="shared" si="73"/>
        <v>0</v>
      </c>
      <c r="AD223" s="43" t="s">
        <v>31</v>
      </c>
      <c r="AE223">
        <f t="shared" si="74"/>
        <v>1</v>
      </c>
      <c r="AF223" s="34" t="str" cm="1">
        <f t="array" ref="AF223">INDEX(Ratings!$B$2:$M$40,_xlfn.XMATCH(Base!F223,Ratings!$A$2:$A$40),_xlfn.XMATCH(YEAR(Base!K223),Ratings!$B$1:$M$1))</f>
        <v>CCC</v>
      </c>
      <c r="AG223">
        <f t="shared" si="67"/>
        <v>0</v>
      </c>
      <c r="AH223">
        <f>IFERROR(IFERROR(IFERROR(INDEX('EMBI+'!$B:$B,MATCH(Base!$K223,'EMBI+'!$A:$A,0)),INDEX('EMBI+'!$B:$B,MATCH(Base!$K223+1,'EMBI+'!$A:$A,0))),INDEX('EMBI+'!$B:$B,MATCH(Base!$K223+2,'EMBI+'!$A:$A,0))),INDEX('EMBI+'!$B:$B,MATCH(Base!$K223+3,'EMBI+'!$A:$A,0)))/100</f>
        <v>3.2</v>
      </c>
      <c r="AL223" s="43"/>
      <c r="AM223" s="28"/>
      <c r="AN223" s="28"/>
    </row>
    <row r="224" spans="1:40" x14ac:dyDescent="0.35">
      <c r="A224">
        <f t="shared" si="68"/>
        <v>222</v>
      </c>
      <c r="B224">
        <f>IF(G224="Bonds",COUNTIF($G$3:G224,"Bonds"),0)</f>
        <v>0</v>
      </c>
      <c r="C224" t="str">
        <f t="shared" si="77"/>
        <v>InterCement4446346546</v>
      </c>
      <c r="D224">
        <f t="shared" si="78"/>
        <v>20</v>
      </c>
      <c r="E224" s="43" t="s">
        <v>276</v>
      </c>
      <c r="F224" s="43" t="s">
        <v>277</v>
      </c>
      <c r="G224" s="43" t="s">
        <v>25</v>
      </c>
      <c r="H224">
        <f t="shared" si="70"/>
        <v>0</v>
      </c>
      <c r="I224" s="43" t="s">
        <v>296</v>
      </c>
      <c r="J224" s="34">
        <f t="shared" si="79"/>
        <v>19</v>
      </c>
      <c r="K224" s="28">
        <v>44463</v>
      </c>
      <c r="L224" s="28">
        <v>46546</v>
      </c>
      <c r="M224" s="60">
        <f t="shared" si="71"/>
        <v>5.7068493150684931</v>
      </c>
      <c r="N224" s="4">
        <f t="shared" si="72"/>
        <v>1</v>
      </c>
      <c r="O224" s="43" t="s">
        <v>44</v>
      </c>
      <c r="P224" t="str">
        <f t="shared" si="75"/>
        <v>0</v>
      </c>
      <c r="Q224" s="44">
        <v>130772</v>
      </c>
      <c r="R224" s="43">
        <v>1000</v>
      </c>
      <c r="S224" s="34" t="str">
        <f>IF($V224="USD",INDEX('Dólar Spot'!$B:$B,MATCH(Base!$K224,'Dólar Spot'!$A:$A,0)),"")</f>
        <v/>
      </c>
      <c r="T224" s="4">
        <f t="shared" si="69"/>
        <v>130772000</v>
      </c>
      <c r="U224" s="8">
        <f t="shared" si="76"/>
        <v>1.30772</v>
      </c>
      <c r="V224" s="43" t="s">
        <v>41</v>
      </c>
      <c r="W224" s="45">
        <v>100</v>
      </c>
      <c r="X224" s="46">
        <v>3.75</v>
      </c>
      <c r="Y224" s="9">
        <f>IF(AND(V224="DI",$W224=100),$X224/100,
IF(AND(V224="DI",$W224&lt;&gt;100,$X224=""),INDEX('Debs %CDI'!$Q:$Q,MATCH(Base!$C224,'Debs %CDI'!$A:$A,0)),
IF($V224="USD",INDEX(Bonds!$AF:$AF,MATCH(Base!$C224,Bonds!$B:$B,0)),
IF($V224="IPCA",INDEX('Debs IPCA'!$Z:$Z,MATCH(Base!$C224,'Debs IPCA'!$A:$A,0))))))</f>
        <v>3.7499999999999999E-2</v>
      </c>
      <c r="Z224" s="43">
        <v>252</v>
      </c>
      <c r="AA224" s="43" t="s">
        <v>30</v>
      </c>
      <c r="AB224" s="43" t="s">
        <v>32</v>
      </c>
      <c r="AC224">
        <f t="shared" si="73"/>
        <v>0</v>
      </c>
      <c r="AD224" s="43" t="s">
        <v>31</v>
      </c>
      <c r="AE224">
        <f t="shared" si="74"/>
        <v>1</v>
      </c>
      <c r="AF224" s="34" t="str" cm="1">
        <f t="array" ref="AF224">INDEX(Ratings!$B$2:$M$40,_xlfn.XMATCH(Base!F224,Ratings!$A$2:$A$40),_xlfn.XMATCH(YEAR(Base!K224),Ratings!$B$1:$M$1))</f>
        <v>CCC</v>
      </c>
      <c r="AG224">
        <f t="shared" si="67"/>
        <v>0</v>
      </c>
      <c r="AH224">
        <f>IFERROR(IFERROR(IFERROR(INDEX('EMBI+'!$B:$B,MATCH(Base!$K224,'EMBI+'!$A:$A,0)),INDEX('EMBI+'!$B:$B,MATCH(Base!$K224+1,'EMBI+'!$A:$A,0))),INDEX('EMBI+'!$B:$B,MATCH(Base!$K224+2,'EMBI+'!$A:$A,0))),INDEX('EMBI+'!$B:$B,MATCH(Base!$K224+3,'EMBI+'!$A:$A,0)))/100</f>
        <v>3.2</v>
      </c>
      <c r="AL224" s="43"/>
      <c r="AM224" s="28"/>
      <c r="AN224" s="28"/>
    </row>
    <row r="225" spans="1:40" x14ac:dyDescent="0.35">
      <c r="A225">
        <f t="shared" si="68"/>
        <v>223</v>
      </c>
      <c r="B225">
        <f>IF(G225="Bonds",COUNTIF($G$3:G225,"Bonds"),0)</f>
        <v>0</v>
      </c>
      <c r="C225" t="str">
        <f t="shared" si="77"/>
        <v>InterCement4446346546</v>
      </c>
      <c r="D225">
        <f t="shared" si="78"/>
        <v>20</v>
      </c>
      <c r="E225" s="43" t="s">
        <v>276</v>
      </c>
      <c r="F225" s="43" t="s">
        <v>277</v>
      </c>
      <c r="G225" s="43" t="s">
        <v>25</v>
      </c>
      <c r="H225">
        <f t="shared" si="70"/>
        <v>0</v>
      </c>
      <c r="I225" s="43" t="s">
        <v>297</v>
      </c>
      <c r="J225" s="34">
        <f t="shared" si="79"/>
        <v>20</v>
      </c>
      <c r="K225" s="28">
        <v>44463</v>
      </c>
      <c r="L225" s="28">
        <v>46546</v>
      </c>
      <c r="M225" s="60">
        <f t="shared" si="71"/>
        <v>5.7068493150684931</v>
      </c>
      <c r="N225" s="4">
        <f t="shared" si="72"/>
        <v>1</v>
      </c>
      <c r="O225" s="43" t="s">
        <v>44</v>
      </c>
      <c r="P225" t="str">
        <f t="shared" si="75"/>
        <v>0</v>
      </c>
      <c r="Q225" s="44">
        <v>130772</v>
      </c>
      <c r="R225" s="43">
        <v>1000</v>
      </c>
      <c r="S225" s="34" t="str">
        <f>IF($V225="USD",INDEX('Dólar Spot'!$B:$B,MATCH(Base!$K225,'Dólar Spot'!$A:$A,0)),"")</f>
        <v/>
      </c>
      <c r="T225" s="4">
        <f t="shared" si="69"/>
        <v>130772000</v>
      </c>
      <c r="U225" s="8">
        <f t="shared" si="76"/>
        <v>1.30772</v>
      </c>
      <c r="V225" s="43" t="s">
        <v>41</v>
      </c>
      <c r="W225" s="45">
        <v>100</v>
      </c>
      <c r="X225" s="46">
        <v>3.75</v>
      </c>
      <c r="Y225" s="9">
        <f>IF(AND(V225="DI",$W225=100),$X225/100,
IF(AND(V225="DI",$W225&lt;&gt;100,$X225=""),INDEX('Debs %CDI'!$Q:$Q,MATCH(Base!$C225,'Debs %CDI'!$A:$A,0)),
IF($V225="USD",INDEX(Bonds!$AF:$AF,MATCH(Base!$C225,Bonds!$B:$B,0)),
IF($V225="IPCA",INDEX('Debs IPCA'!$Z:$Z,MATCH(Base!$C225,'Debs IPCA'!$A:$A,0))))))</f>
        <v>3.7499999999999999E-2</v>
      </c>
      <c r="Z225" s="43">
        <v>252</v>
      </c>
      <c r="AA225" s="43" t="s">
        <v>30</v>
      </c>
      <c r="AB225" s="43" t="s">
        <v>32</v>
      </c>
      <c r="AC225">
        <f t="shared" si="73"/>
        <v>0</v>
      </c>
      <c r="AD225" s="43" t="s">
        <v>31</v>
      </c>
      <c r="AE225">
        <f t="shared" si="74"/>
        <v>1</v>
      </c>
      <c r="AF225" s="34" t="str" cm="1">
        <f t="array" ref="AF225">INDEX(Ratings!$B$2:$M$40,_xlfn.XMATCH(Base!F225,Ratings!$A$2:$A$40),_xlfn.XMATCH(YEAR(Base!K225),Ratings!$B$1:$M$1))</f>
        <v>CCC</v>
      </c>
      <c r="AG225">
        <f t="shared" si="67"/>
        <v>0</v>
      </c>
      <c r="AH225">
        <f>IFERROR(IFERROR(IFERROR(INDEX('EMBI+'!$B:$B,MATCH(Base!$K225,'EMBI+'!$A:$A,0)),INDEX('EMBI+'!$B:$B,MATCH(Base!$K225+1,'EMBI+'!$A:$A,0))),INDEX('EMBI+'!$B:$B,MATCH(Base!$K225+2,'EMBI+'!$A:$A,0))),INDEX('EMBI+'!$B:$B,MATCH(Base!$K225+3,'EMBI+'!$A:$A,0)))/100</f>
        <v>3.2</v>
      </c>
      <c r="AL225" s="43"/>
      <c r="AM225" s="28"/>
      <c r="AN225" s="28"/>
    </row>
    <row r="226" spans="1:40" x14ac:dyDescent="0.35">
      <c r="A226">
        <f t="shared" si="68"/>
        <v>224</v>
      </c>
      <c r="B226">
        <f>IF(G226="Bonds",COUNTIF($G$3:G226,"Bonds"),0)</f>
        <v>0</v>
      </c>
      <c r="C226" t="str">
        <f t="shared" si="77"/>
        <v>InterCement4126444794</v>
      </c>
      <c r="D226">
        <f t="shared" si="78"/>
        <v>20</v>
      </c>
      <c r="E226" s="43" t="s">
        <v>276</v>
      </c>
      <c r="F226" s="43" t="s">
        <v>277</v>
      </c>
      <c r="G226" s="43" t="s">
        <v>25</v>
      </c>
      <c r="H226">
        <f t="shared" si="70"/>
        <v>0</v>
      </c>
      <c r="I226" s="43" t="s">
        <v>298</v>
      </c>
      <c r="J226" s="34">
        <f t="shared" si="79"/>
        <v>21</v>
      </c>
      <c r="K226" s="28">
        <v>41264</v>
      </c>
      <c r="L226" s="28">
        <v>44794</v>
      </c>
      <c r="M226" s="60">
        <f t="shared" si="71"/>
        <v>9.6712328767123292</v>
      </c>
      <c r="N226" s="4">
        <f t="shared" si="72"/>
        <v>1</v>
      </c>
      <c r="O226" s="43" t="s">
        <v>44</v>
      </c>
      <c r="P226" t="str">
        <f t="shared" si="75"/>
        <v>0</v>
      </c>
      <c r="Q226" s="44">
        <v>1200</v>
      </c>
      <c r="R226" s="43">
        <v>1000000</v>
      </c>
      <c r="S226" s="34" t="str">
        <f>IF($V226="USD",INDEX('Dólar Spot'!$B:$B,MATCH(Base!$K226,'Dólar Spot'!$A:$A,0)),"")</f>
        <v/>
      </c>
      <c r="T226" s="4">
        <f t="shared" si="69"/>
        <v>1200000000</v>
      </c>
      <c r="U226" s="8">
        <f t="shared" si="76"/>
        <v>12</v>
      </c>
      <c r="V226" s="43" t="s">
        <v>41</v>
      </c>
      <c r="W226" s="45">
        <v>115</v>
      </c>
      <c r="X226" s="46"/>
      <c r="Y226" s="9">
        <f>IF(AND(V226="DI",$W226=100),$X226/100,
IF(AND(V226="DI",$W226&lt;&gt;100,$X226=""),INDEX('Debs %CDI'!$Q:$Q,MATCH(Base!$C226,'Debs %CDI'!$A:$A,0)),
IF($V226="USD",INDEX(Bonds!$AF:$AF,MATCH(Base!$C226,Bonds!$B:$B,0)),
IF($V226="IPCA",INDEX('Debs IPCA'!$Z:$Z,MATCH(Base!$C226,'Debs IPCA'!$A:$A,0))))))</f>
        <v>1.4164291090012484E-2</v>
      </c>
      <c r="Z226" s="43">
        <v>252</v>
      </c>
      <c r="AA226" s="43" t="s">
        <v>30</v>
      </c>
      <c r="AB226" s="43" t="s">
        <v>32</v>
      </c>
      <c r="AC226">
        <f t="shared" si="73"/>
        <v>0</v>
      </c>
      <c r="AD226" s="43" t="s">
        <v>31</v>
      </c>
      <c r="AE226">
        <f t="shared" si="74"/>
        <v>1</v>
      </c>
      <c r="AF226" s="34" t="str" cm="1">
        <f t="array" ref="AF226">INDEX(Ratings!$B$2:$M$40,_xlfn.XMATCH(Base!F226,Ratings!$A$2:$A$40),_xlfn.XMATCH(YEAR(Base!K226),Ratings!$B$1:$M$1))</f>
        <v>NR</v>
      </c>
      <c r="AG226">
        <f t="shared" si="67"/>
        <v>0</v>
      </c>
      <c r="AH226">
        <f>IFERROR(IFERROR(IFERROR(INDEX('EMBI+'!$B:$B,MATCH(Base!$K226,'EMBI+'!$A:$A,0)),INDEX('EMBI+'!$B:$B,MATCH(Base!$K226+1,'EMBI+'!$A:$A,0))),INDEX('EMBI+'!$B:$B,MATCH(Base!$K226+2,'EMBI+'!$A:$A,0))),INDEX('EMBI+'!$B:$B,MATCH(Base!$K226+3,'EMBI+'!$A:$A,0)))/100</f>
        <v>1.43</v>
      </c>
      <c r="AL226" s="43"/>
      <c r="AM226" s="28"/>
      <c r="AN226" s="28"/>
    </row>
    <row r="227" spans="1:40" x14ac:dyDescent="0.35">
      <c r="A227">
        <f t="shared" si="68"/>
        <v>225</v>
      </c>
      <c r="B227">
        <f>IF(G227="Bonds",COUNTIF($G$3:G227,"Bonds"),0)</f>
        <v>0</v>
      </c>
      <c r="C227" t="str">
        <f t="shared" si="77"/>
        <v>InterCement4399046546</v>
      </c>
      <c r="D227">
        <f t="shared" si="78"/>
        <v>20</v>
      </c>
      <c r="E227" s="43" t="s">
        <v>299</v>
      </c>
      <c r="F227" s="43" t="s">
        <v>277</v>
      </c>
      <c r="G227" s="43" t="s">
        <v>25</v>
      </c>
      <c r="H227">
        <f t="shared" si="70"/>
        <v>0</v>
      </c>
      <c r="I227" s="43" t="s">
        <v>300</v>
      </c>
      <c r="J227" s="34">
        <f t="shared" si="79"/>
        <v>22</v>
      </c>
      <c r="K227" s="28">
        <v>43990</v>
      </c>
      <c r="L227" s="28">
        <v>46546</v>
      </c>
      <c r="M227" s="60">
        <f t="shared" si="71"/>
        <v>7.0027397260273974</v>
      </c>
      <c r="N227" s="4">
        <f t="shared" si="72"/>
        <v>1</v>
      </c>
      <c r="O227" s="43" t="s">
        <v>44</v>
      </c>
      <c r="P227" t="str">
        <f t="shared" si="75"/>
        <v>0</v>
      </c>
      <c r="Q227" s="44">
        <v>307652</v>
      </c>
      <c r="R227" s="43">
        <v>1000</v>
      </c>
      <c r="S227" s="34" t="str">
        <f>IF($V227="USD",INDEX('Dólar Spot'!$B:$B,MATCH(Base!$K227,'Dólar Spot'!$A:$A,0)),"")</f>
        <v/>
      </c>
      <c r="T227" s="4">
        <f t="shared" si="69"/>
        <v>307652000</v>
      </c>
      <c r="U227" s="8">
        <f t="shared" si="76"/>
        <v>3.0765199999999999</v>
      </c>
      <c r="V227" s="43" t="s">
        <v>41</v>
      </c>
      <c r="W227" s="45">
        <v>100</v>
      </c>
      <c r="X227" s="46">
        <v>3.75</v>
      </c>
      <c r="Y227" s="9">
        <f>IF(AND(V227="DI",$W227=100),$X227/100,
IF(AND(V227="DI",$W227&lt;&gt;100,$X227=""),INDEX('Debs %CDI'!$Q:$Q,MATCH(Base!$C227,'Debs %CDI'!$A:$A,0)),
IF($V227="USD",INDEX(Bonds!$AF:$AF,MATCH(Base!$C227,Bonds!$B:$B,0)),
IF($V227="IPCA",INDEX('Debs IPCA'!$Z:$Z,MATCH(Base!$C227,'Debs IPCA'!$A:$A,0))))))</f>
        <v>3.7499999999999999E-2</v>
      </c>
      <c r="Z227" s="43">
        <v>252</v>
      </c>
      <c r="AA227" s="43" t="s">
        <v>30</v>
      </c>
      <c r="AB227" s="43" t="s">
        <v>32</v>
      </c>
      <c r="AC227">
        <f t="shared" si="73"/>
        <v>0</v>
      </c>
      <c r="AD227" s="43" t="s">
        <v>31</v>
      </c>
      <c r="AE227">
        <f t="shared" si="74"/>
        <v>1</v>
      </c>
      <c r="AF227" s="34" t="str" cm="1">
        <f t="array" ref="AF227">INDEX(Ratings!$B$2:$M$40,_xlfn.XMATCH(Base!F227,Ratings!$A$2:$A$40),_xlfn.XMATCH(YEAR(Base!K227),Ratings!$B$1:$M$1))</f>
        <v>C</v>
      </c>
      <c r="AG227">
        <f t="shared" si="67"/>
        <v>0</v>
      </c>
      <c r="AH227">
        <f>IFERROR(IFERROR(IFERROR(INDEX('EMBI+'!$B:$B,MATCH(Base!$K227,'EMBI+'!$A:$A,0)),INDEX('EMBI+'!$B:$B,MATCH(Base!$K227+1,'EMBI+'!$A:$A,0))),INDEX('EMBI+'!$B:$B,MATCH(Base!$K227+2,'EMBI+'!$A:$A,0))),INDEX('EMBI+'!$B:$B,MATCH(Base!$K227+3,'EMBI+'!$A:$A,0)))/100</f>
        <v>3.32</v>
      </c>
      <c r="AL227" s="43"/>
      <c r="AM227" s="28"/>
      <c r="AN227" s="28"/>
    </row>
    <row r="228" spans="1:40" x14ac:dyDescent="0.35">
      <c r="A228">
        <f t="shared" si="68"/>
        <v>226</v>
      </c>
      <c r="B228">
        <f>IF(G228="Bonds",COUNTIF($G$3:G228,"Bonds"),0)</f>
        <v>0</v>
      </c>
      <c r="C228" t="str">
        <f t="shared" si="77"/>
        <v>InterCement4399046546</v>
      </c>
      <c r="D228">
        <f t="shared" si="78"/>
        <v>20</v>
      </c>
      <c r="E228" s="43" t="s">
        <v>299</v>
      </c>
      <c r="F228" s="43" t="s">
        <v>277</v>
      </c>
      <c r="G228" s="43" t="s">
        <v>25</v>
      </c>
      <c r="H228">
        <f t="shared" si="70"/>
        <v>0</v>
      </c>
      <c r="I228" s="43" t="s">
        <v>301</v>
      </c>
      <c r="J228" s="34">
        <f t="shared" si="79"/>
        <v>23</v>
      </c>
      <c r="K228" s="28">
        <v>43990</v>
      </c>
      <c r="L228" s="28">
        <v>46546</v>
      </c>
      <c r="M228" s="60">
        <f t="shared" si="71"/>
        <v>7.0027397260273974</v>
      </c>
      <c r="N228" s="4">
        <f t="shared" si="72"/>
        <v>1</v>
      </c>
      <c r="O228" s="43" t="s">
        <v>44</v>
      </c>
      <c r="P228" t="str">
        <f t="shared" si="75"/>
        <v>0</v>
      </c>
      <c r="Q228" s="44">
        <v>307651</v>
      </c>
      <c r="R228" s="43">
        <v>1000</v>
      </c>
      <c r="S228" s="34" t="str">
        <f>IF($V228="USD",INDEX('Dólar Spot'!$B:$B,MATCH(Base!$K228,'Dólar Spot'!$A:$A,0)),"")</f>
        <v/>
      </c>
      <c r="T228" s="4">
        <f t="shared" si="69"/>
        <v>307651000</v>
      </c>
      <c r="U228" s="8">
        <f t="shared" si="76"/>
        <v>3.0765099999999999</v>
      </c>
      <c r="V228" s="43" t="s">
        <v>41</v>
      </c>
      <c r="W228" s="45">
        <v>100</v>
      </c>
      <c r="X228" s="46">
        <v>3.75</v>
      </c>
      <c r="Y228" s="9">
        <f>IF(AND(V228="DI",$W228=100),$X228/100,
IF(AND(V228="DI",$W228&lt;&gt;100,$X228=""),INDEX('Debs %CDI'!$Q:$Q,MATCH(Base!$C228,'Debs %CDI'!$A:$A,0)),
IF($V228="USD",INDEX(Bonds!$AF:$AF,MATCH(Base!$C228,Bonds!$B:$B,0)),
IF($V228="IPCA",INDEX('Debs IPCA'!$Z:$Z,MATCH(Base!$C228,'Debs IPCA'!$A:$A,0))))))</f>
        <v>3.7499999999999999E-2</v>
      </c>
      <c r="Z228" s="43">
        <v>252</v>
      </c>
      <c r="AA228" s="43" t="s">
        <v>30</v>
      </c>
      <c r="AB228" s="43" t="s">
        <v>32</v>
      </c>
      <c r="AC228">
        <f t="shared" si="73"/>
        <v>0</v>
      </c>
      <c r="AD228" s="43" t="s">
        <v>31</v>
      </c>
      <c r="AE228">
        <f t="shared" si="74"/>
        <v>1</v>
      </c>
      <c r="AF228" s="34" t="str" cm="1">
        <f t="array" ref="AF228">INDEX(Ratings!$B$2:$M$40,_xlfn.XMATCH(Base!F228,Ratings!$A$2:$A$40),_xlfn.XMATCH(YEAR(Base!K228),Ratings!$B$1:$M$1))</f>
        <v>C</v>
      </c>
      <c r="AG228">
        <f t="shared" si="67"/>
        <v>0</v>
      </c>
      <c r="AH228">
        <f>IFERROR(IFERROR(IFERROR(INDEX('EMBI+'!$B:$B,MATCH(Base!$K228,'EMBI+'!$A:$A,0)),INDEX('EMBI+'!$B:$B,MATCH(Base!$K228+1,'EMBI+'!$A:$A,0))),INDEX('EMBI+'!$B:$B,MATCH(Base!$K228+2,'EMBI+'!$A:$A,0))),INDEX('EMBI+'!$B:$B,MATCH(Base!$K228+3,'EMBI+'!$A:$A,0)))/100</f>
        <v>3.32</v>
      </c>
      <c r="AL228" s="43"/>
      <c r="AM228" s="28"/>
      <c r="AN228" s="28"/>
    </row>
    <row r="229" spans="1:40" x14ac:dyDescent="0.35">
      <c r="A229">
        <f t="shared" si="68"/>
        <v>227</v>
      </c>
      <c r="B229">
        <f>IF(G229="Bonds",COUNTIF($G$3:G229,"Bonds"),0)</f>
        <v>0</v>
      </c>
      <c r="C229" t="str">
        <f t="shared" si="77"/>
        <v>InterCement4399046546</v>
      </c>
      <c r="D229">
        <f t="shared" si="78"/>
        <v>20</v>
      </c>
      <c r="E229" s="43" t="s">
        <v>299</v>
      </c>
      <c r="F229" s="43" t="s">
        <v>277</v>
      </c>
      <c r="G229" s="43" t="s">
        <v>25</v>
      </c>
      <c r="H229">
        <f t="shared" si="70"/>
        <v>0</v>
      </c>
      <c r="I229" s="43" t="s">
        <v>302</v>
      </c>
      <c r="J229" s="34">
        <f t="shared" si="79"/>
        <v>24</v>
      </c>
      <c r="K229" s="28">
        <v>43990</v>
      </c>
      <c r="L229" s="28">
        <v>46546</v>
      </c>
      <c r="M229" s="60">
        <f t="shared" si="71"/>
        <v>7.0027397260273974</v>
      </c>
      <c r="N229" s="4">
        <f t="shared" si="72"/>
        <v>1</v>
      </c>
      <c r="O229" s="43" t="s">
        <v>44</v>
      </c>
      <c r="P229" t="str">
        <f t="shared" si="75"/>
        <v>0</v>
      </c>
      <c r="Q229" s="44">
        <v>307651</v>
      </c>
      <c r="R229" s="43">
        <v>1000</v>
      </c>
      <c r="S229" s="34" t="str">
        <f>IF($V229="USD",INDEX('Dólar Spot'!$B:$B,MATCH(Base!$K229,'Dólar Spot'!$A:$A,0)),"")</f>
        <v/>
      </c>
      <c r="T229" s="4">
        <f t="shared" si="69"/>
        <v>307651000</v>
      </c>
      <c r="U229" s="8">
        <f t="shared" si="76"/>
        <v>3.0765099999999999</v>
      </c>
      <c r="V229" s="43" t="s">
        <v>41</v>
      </c>
      <c r="W229" s="45">
        <v>100</v>
      </c>
      <c r="X229" s="46">
        <v>3.75</v>
      </c>
      <c r="Y229" s="9">
        <f>IF(AND(V229="DI",$W229=100),$X229/100,
IF(AND(V229="DI",$W229&lt;&gt;100,$X229=""),INDEX('Debs %CDI'!$Q:$Q,MATCH(Base!$C229,'Debs %CDI'!$A:$A,0)),
IF($V229="USD",INDEX(Bonds!$AF:$AF,MATCH(Base!$C229,Bonds!$B:$B,0)),
IF($V229="IPCA",INDEX('Debs IPCA'!$Z:$Z,MATCH(Base!$C229,'Debs IPCA'!$A:$A,0))))))</f>
        <v>3.7499999999999999E-2</v>
      </c>
      <c r="Z229" s="43">
        <v>252</v>
      </c>
      <c r="AA229" s="43" t="s">
        <v>30</v>
      </c>
      <c r="AB229" s="43" t="s">
        <v>32</v>
      </c>
      <c r="AC229">
        <f t="shared" si="73"/>
        <v>0</v>
      </c>
      <c r="AD229" s="43" t="s">
        <v>31</v>
      </c>
      <c r="AE229">
        <f t="shared" si="74"/>
        <v>1</v>
      </c>
      <c r="AF229" s="34" t="str" cm="1">
        <f t="array" ref="AF229">INDEX(Ratings!$B$2:$M$40,_xlfn.XMATCH(Base!F229,Ratings!$A$2:$A$40),_xlfn.XMATCH(YEAR(Base!K229),Ratings!$B$1:$M$1))</f>
        <v>C</v>
      </c>
      <c r="AG229">
        <f t="shared" si="67"/>
        <v>0</v>
      </c>
      <c r="AH229">
        <f>IFERROR(IFERROR(IFERROR(INDEX('EMBI+'!$B:$B,MATCH(Base!$K229,'EMBI+'!$A:$A,0)),INDEX('EMBI+'!$B:$B,MATCH(Base!$K229+1,'EMBI+'!$A:$A,0))),INDEX('EMBI+'!$B:$B,MATCH(Base!$K229+2,'EMBI+'!$A:$A,0))),INDEX('EMBI+'!$B:$B,MATCH(Base!$K229+3,'EMBI+'!$A:$A,0)))/100</f>
        <v>3.32</v>
      </c>
      <c r="AL229" s="43"/>
      <c r="AM229" s="28"/>
      <c r="AN229" s="28"/>
    </row>
    <row r="230" spans="1:40" x14ac:dyDescent="0.35">
      <c r="A230">
        <f t="shared" si="68"/>
        <v>228</v>
      </c>
      <c r="B230">
        <f>IF(G230="Bonds",COUNTIF($G$3:G230,"Bonds"),0)</f>
        <v>0</v>
      </c>
      <c r="C230" t="str">
        <f t="shared" si="77"/>
        <v>InterCement4399046546</v>
      </c>
      <c r="D230">
        <f t="shared" si="78"/>
        <v>20</v>
      </c>
      <c r="E230" s="43" t="s">
        <v>299</v>
      </c>
      <c r="F230" s="43" t="s">
        <v>277</v>
      </c>
      <c r="G230" s="43" t="s">
        <v>25</v>
      </c>
      <c r="H230">
        <f t="shared" si="70"/>
        <v>0</v>
      </c>
      <c r="I230" s="43" t="s">
        <v>303</v>
      </c>
      <c r="J230" s="34">
        <f t="shared" si="79"/>
        <v>25</v>
      </c>
      <c r="K230" s="28">
        <v>43990</v>
      </c>
      <c r="L230" s="28">
        <v>46546</v>
      </c>
      <c r="M230" s="60">
        <f t="shared" si="71"/>
        <v>7.0027397260273974</v>
      </c>
      <c r="N230" s="4">
        <f t="shared" si="72"/>
        <v>1</v>
      </c>
      <c r="O230" s="43" t="s">
        <v>44</v>
      </c>
      <c r="P230" t="str">
        <f t="shared" si="75"/>
        <v>0</v>
      </c>
      <c r="Q230" s="44">
        <v>295305</v>
      </c>
      <c r="R230" s="43">
        <v>1000</v>
      </c>
      <c r="S230" s="34" t="str">
        <f>IF($V230="USD",INDEX('Dólar Spot'!$B:$B,MATCH(Base!$K230,'Dólar Spot'!$A:$A,0)),"")</f>
        <v/>
      </c>
      <c r="T230" s="4">
        <f t="shared" si="69"/>
        <v>295305000</v>
      </c>
      <c r="U230" s="8">
        <f t="shared" si="76"/>
        <v>2.9530500000000002</v>
      </c>
      <c r="V230" s="43" t="s">
        <v>41</v>
      </c>
      <c r="W230" s="45">
        <v>100</v>
      </c>
      <c r="X230" s="46">
        <v>3.75</v>
      </c>
      <c r="Y230" s="9">
        <f>IF(AND(V230="DI",$W230=100),$X230/100,
IF(AND(V230="DI",$W230&lt;&gt;100,$X230=""),INDEX('Debs %CDI'!$Q:$Q,MATCH(Base!$C230,'Debs %CDI'!$A:$A,0)),
IF($V230="USD",INDEX(Bonds!$AF:$AF,MATCH(Base!$C230,Bonds!$B:$B,0)),
IF($V230="IPCA",INDEX('Debs IPCA'!$Z:$Z,MATCH(Base!$C230,'Debs IPCA'!$A:$A,0))))))</f>
        <v>3.7499999999999999E-2</v>
      </c>
      <c r="Z230" s="43">
        <v>252</v>
      </c>
      <c r="AA230" s="43" t="s">
        <v>30</v>
      </c>
      <c r="AB230" s="43" t="s">
        <v>32</v>
      </c>
      <c r="AC230">
        <f t="shared" si="73"/>
        <v>0</v>
      </c>
      <c r="AD230" s="43" t="s">
        <v>31</v>
      </c>
      <c r="AE230">
        <f t="shared" si="74"/>
        <v>1</v>
      </c>
      <c r="AF230" s="34" t="str" cm="1">
        <f t="array" ref="AF230">INDEX(Ratings!$B$2:$M$40,_xlfn.XMATCH(Base!F230,Ratings!$A$2:$A$40),_xlfn.XMATCH(YEAR(Base!K230),Ratings!$B$1:$M$1))</f>
        <v>C</v>
      </c>
      <c r="AG230">
        <f t="shared" si="67"/>
        <v>0</v>
      </c>
      <c r="AH230">
        <f>IFERROR(IFERROR(IFERROR(INDEX('EMBI+'!$B:$B,MATCH(Base!$K230,'EMBI+'!$A:$A,0)),INDEX('EMBI+'!$B:$B,MATCH(Base!$K230+1,'EMBI+'!$A:$A,0))),INDEX('EMBI+'!$B:$B,MATCH(Base!$K230+2,'EMBI+'!$A:$A,0))),INDEX('EMBI+'!$B:$B,MATCH(Base!$K230+3,'EMBI+'!$A:$A,0)))/100</f>
        <v>3.32</v>
      </c>
      <c r="AL230" s="43"/>
      <c r="AM230" s="28"/>
      <c r="AN230" s="28"/>
    </row>
    <row r="231" spans="1:40" x14ac:dyDescent="0.35">
      <c r="A231">
        <f t="shared" si="68"/>
        <v>229</v>
      </c>
      <c r="B231">
        <f>IF(G231="Bonds",COUNTIF($G$3:G231,"Bonds"),0)</f>
        <v>0</v>
      </c>
      <c r="C231" t="str">
        <f t="shared" si="77"/>
        <v>InterCement4399046546</v>
      </c>
      <c r="D231">
        <f t="shared" si="78"/>
        <v>20</v>
      </c>
      <c r="E231" s="43" t="s">
        <v>299</v>
      </c>
      <c r="F231" s="43" t="s">
        <v>277</v>
      </c>
      <c r="G231" s="43" t="s">
        <v>25</v>
      </c>
      <c r="H231">
        <f t="shared" si="70"/>
        <v>0</v>
      </c>
      <c r="I231" s="43" t="s">
        <v>304</v>
      </c>
      <c r="J231" s="34">
        <f t="shared" si="79"/>
        <v>26</v>
      </c>
      <c r="K231" s="28">
        <v>43990</v>
      </c>
      <c r="L231" s="28">
        <v>46546</v>
      </c>
      <c r="M231" s="60">
        <f t="shared" si="71"/>
        <v>7.0027397260273974</v>
      </c>
      <c r="N231" s="4">
        <f t="shared" si="72"/>
        <v>1</v>
      </c>
      <c r="O231" s="43" t="s">
        <v>44</v>
      </c>
      <c r="P231" t="str">
        <f t="shared" si="75"/>
        <v>0</v>
      </c>
      <c r="Q231" s="44">
        <v>295305</v>
      </c>
      <c r="R231" s="43">
        <v>1000</v>
      </c>
      <c r="S231" s="34" t="str">
        <f>IF($V231="USD",INDEX('Dólar Spot'!$B:$B,MATCH(Base!$K231,'Dólar Spot'!$A:$A,0)),"")</f>
        <v/>
      </c>
      <c r="T231" s="4">
        <f t="shared" si="69"/>
        <v>295305000</v>
      </c>
      <c r="U231" s="8">
        <f t="shared" si="76"/>
        <v>2.9530500000000002</v>
      </c>
      <c r="V231" s="43" t="s">
        <v>41</v>
      </c>
      <c r="W231" s="45">
        <v>100</v>
      </c>
      <c r="X231" s="46">
        <v>3.75</v>
      </c>
      <c r="Y231" s="9">
        <f>IF(AND(V231="DI",$W231=100),$X231/100,
IF(AND(V231="DI",$W231&lt;&gt;100,$X231=""),INDEX('Debs %CDI'!$Q:$Q,MATCH(Base!$C231,'Debs %CDI'!$A:$A,0)),
IF($V231="USD",INDEX(Bonds!$AF:$AF,MATCH(Base!$C231,Bonds!$B:$B,0)),
IF($V231="IPCA",INDEX('Debs IPCA'!$Z:$Z,MATCH(Base!$C231,'Debs IPCA'!$A:$A,0))))))</f>
        <v>3.7499999999999999E-2</v>
      </c>
      <c r="Z231" s="43">
        <v>252</v>
      </c>
      <c r="AA231" s="43" t="s">
        <v>30</v>
      </c>
      <c r="AB231" s="43" t="s">
        <v>32</v>
      </c>
      <c r="AC231">
        <f t="shared" si="73"/>
        <v>0</v>
      </c>
      <c r="AD231" s="43" t="s">
        <v>31</v>
      </c>
      <c r="AE231">
        <f t="shared" si="74"/>
        <v>1</v>
      </c>
      <c r="AF231" s="34" t="str" cm="1">
        <f t="array" ref="AF231">INDEX(Ratings!$B$2:$M$40,_xlfn.XMATCH(Base!F231,Ratings!$A$2:$A$40),_xlfn.XMATCH(YEAR(Base!K231),Ratings!$B$1:$M$1))</f>
        <v>C</v>
      </c>
      <c r="AG231">
        <f t="shared" si="67"/>
        <v>0</v>
      </c>
      <c r="AH231">
        <f>IFERROR(IFERROR(IFERROR(INDEX('EMBI+'!$B:$B,MATCH(Base!$K231,'EMBI+'!$A:$A,0)),INDEX('EMBI+'!$B:$B,MATCH(Base!$K231+1,'EMBI+'!$A:$A,0))),INDEX('EMBI+'!$B:$B,MATCH(Base!$K231+2,'EMBI+'!$A:$A,0))),INDEX('EMBI+'!$B:$B,MATCH(Base!$K231+3,'EMBI+'!$A:$A,0)))/100</f>
        <v>3.32</v>
      </c>
      <c r="AL231" s="43"/>
      <c r="AM231" s="28"/>
      <c r="AN231" s="28"/>
    </row>
    <row r="232" spans="1:40" x14ac:dyDescent="0.35">
      <c r="A232">
        <f t="shared" si="68"/>
        <v>230</v>
      </c>
      <c r="B232">
        <f>IF(G232="Bonds",COUNTIF($G$3:G232,"Bonds"),0)</f>
        <v>0</v>
      </c>
      <c r="C232" t="str">
        <f t="shared" si="77"/>
        <v>InterCement4399046546</v>
      </c>
      <c r="D232">
        <f t="shared" si="78"/>
        <v>20</v>
      </c>
      <c r="E232" s="43" t="s">
        <v>299</v>
      </c>
      <c r="F232" s="43" t="s">
        <v>277</v>
      </c>
      <c r="G232" s="43" t="s">
        <v>25</v>
      </c>
      <c r="H232">
        <f t="shared" si="70"/>
        <v>0</v>
      </c>
      <c r="I232" s="43" t="s">
        <v>305</v>
      </c>
      <c r="J232" s="34">
        <f t="shared" si="79"/>
        <v>27</v>
      </c>
      <c r="K232" s="28">
        <v>43990</v>
      </c>
      <c r="L232" s="28">
        <v>46546</v>
      </c>
      <c r="M232" s="60">
        <f t="shared" si="71"/>
        <v>7.0027397260273974</v>
      </c>
      <c r="N232" s="4">
        <f t="shared" si="72"/>
        <v>1</v>
      </c>
      <c r="O232" s="43" t="s">
        <v>44</v>
      </c>
      <c r="P232" t="str">
        <f t="shared" si="75"/>
        <v>0</v>
      </c>
      <c r="Q232" s="44">
        <v>295305</v>
      </c>
      <c r="R232" s="43">
        <v>1000</v>
      </c>
      <c r="S232" s="34" t="str">
        <f>IF($V232="USD",INDEX('Dólar Spot'!$B:$B,MATCH(Base!$K232,'Dólar Spot'!$A:$A,0)),"")</f>
        <v/>
      </c>
      <c r="T232" s="4">
        <f t="shared" si="69"/>
        <v>295305000</v>
      </c>
      <c r="U232" s="8">
        <f t="shared" si="76"/>
        <v>2.9530500000000002</v>
      </c>
      <c r="V232" s="43" t="s">
        <v>41</v>
      </c>
      <c r="W232" s="45">
        <v>100</v>
      </c>
      <c r="X232" s="46">
        <v>3.75</v>
      </c>
      <c r="Y232" s="9">
        <f>IF(AND(V232="DI",$W232=100),$X232/100,
IF(AND(V232="DI",$W232&lt;&gt;100,$X232=""),INDEX('Debs %CDI'!$Q:$Q,MATCH(Base!$C232,'Debs %CDI'!$A:$A,0)),
IF($V232="USD",INDEX(Bonds!$AF:$AF,MATCH(Base!$C232,Bonds!$B:$B,0)),
IF($V232="IPCA",INDEX('Debs IPCA'!$Z:$Z,MATCH(Base!$C232,'Debs IPCA'!$A:$A,0))))))</f>
        <v>3.7499999999999999E-2</v>
      </c>
      <c r="Z232" s="43">
        <v>252</v>
      </c>
      <c r="AA232" s="43" t="s">
        <v>30</v>
      </c>
      <c r="AB232" s="43" t="s">
        <v>32</v>
      </c>
      <c r="AC232">
        <f t="shared" si="73"/>
        <v>0</v>
      </c>
      <c r="AD232" s="43" t="s">
        <v>31</v>
      </c>
      <c r="AE232">
        <f t="shared" si="74"/>
        <v>1</v>
      </c>
      <c r="AF232" s="34" t="str" cm="1">
        <f t="array" ref="AF232">INDEX(Ratings!$B$2:$M$40,_xlfn.XMATCH(Base!F232,Ratings!$A$2:$A$40),_xlfn.XMATCH(YEAR(Base!K232),Ratings!$B$1:$M$1))</f>
        <v>C</v>
      </c>
      <c r="AG232">
        <f t="shared" si="67"/>
        <v>0</v>
      </c>
      <c r="AH232">
        <f>IFERROR(IFERROR(IFERROR(INDEX('EMBI+'!$B:$B,MATCH(Base!$K232,'EMBI+'!$A:$A,0)),INDEX('EMBI+'!$B:$B,MATCH(Base!$K232+1,'EMBI+'!$A:$A,0))),INDEX('EMBI+'!$B:$B,MATCH(Base!$K232+2,'EMBI+'!$A:$A,0))),INDEX('EMBI+'!$B:$B,MATCH(Base!$K232+3,'EMBI+'!$A:$A,0)))/100</f>
        <v>3.32</v>
      </c>
      <c r="AL232" s="43"/>
      <c r="AM232" s="28"/>
      <c r="AN232" s="28"/>
    </row>
    <row r="233" spans="1:40" x14ac:dyDescent="0.35">
      <c r="A233">
        <f t="shared" si="68"/>
        <v>231</v>
      </c>
      <c r="B233">
        <f>IF(G233="Bonds",COUNTIF($G$3:G233,"Bonds"),0)</f>
        <v>0</v>
      </c>
      <c r="C233" t="str">
        <f t="shared" si="77"/>
        <v>InterCement4399046546</v>
      </c>
      <c r="D233">
        <f t="shared" si="78"/>
        <v>20</v>
      </c>
      <c r="E233" s="43" t="s">
        <v>299</v>
      </c>
      <c r="F233" s="43" t="s">
        <v>277</v>
      </c>
      <c r="G233" s="43" t="s">
        <v>25</v>
      </c>
      <c r="H233">
        <f t="shared" si="70"/>
        <v>0</v>
      </c>
      <c r="I233" s="43" t="s">
        <v>306</v>
      </c>
      <c r="J233" s="34">
        <f t="shared" si="79"/>
        <v>28</v>
      </c>
      <c r="K233" s="28">
        <v>43990</v>
      </c>
      <c r="L233" s="28">
        <v>46546</v>
      </c>
      <c r="M233" s="60">
        <f t="shared" si="71"/>
        <v>7.0027397260273974</v>
      </c>
      <c r="N233" s="4">
        <f t="shared" si="72"/>
        <v>1</v>
      </c>
      <c r="O233" s="43" t="s">
        <v>44</v>
      </c>
      <c r="P233" t="str">
        <f t="shared" si="75"/>
        <v>0</v>
      </c>
      <c r="Q233" s="44">
        <v>389266</v>
      </c>
      <c r="R233" s="43">
        <v>1000</v>
      </c>
      <c r="S233" s="34" t="str">
        <f>IF($V233="USD",INDEX('Dólar Spot'!$B:$B,MATCH(Base!$K233,'Dólar Spot'!$A:$A,0)),"")</f>
        <v/>
      </c>
      <c r="T233" s="4">
        <f t="shared" si="69"/>
        <v>389266000</v>
      </c>
      <c r="U233" s="8">
        <f t="shared" si="76"/>
        <v>3.8926599999999998</v>
      </c>
      <c r="V233" s="43" t="s">
        <v>41</v>
      </c>
      <c r="W233" s="45">
        <v>100</v>
      </c>
      <c r="X233" s="46">
        <v>3.75</v>
      </c>
      <c r="Y233" s="9">
        <f>IF(AND(V233="DI",$W233=100),$X233/100,
IF(AND(V233="DI",$W233&lt;&gt;100,$X233=""),INDEX('Debs %CDI'!$Q:$Q,MATCH(Base!$C233,'Debs %CDI'!$A:$A,0)),
IF($V233="USD",INDEX(Bonds!$AF:$AF,MATCH(Base!$C233,Bonds!$B:$B,0)),
IF($V233="IPCA",INDEX('Debs IPCA'!$Z:$Z,MATCH(Base!$C233,'Debs IPCA'!$A:$A,0))))))</f>
        <v>3.7499999999999999E-2</v>
      </c>
      <c r="Z233" s="43">
        <v>252</v>
      </c>
      <c r="AA233" s="43" t="s">
        <v>30</v>
      </c>
      <c r="AB233" s="43" t="s">
        <v>32</v>
      </c>
      <c r="AC233">
        <f t="shared" si="73"/>
        <v>0</v>
      </c>
      <c r="AD233" s="43" t="s">
        <v>31</v>
      </c>
      <c r="AE233">
        <f t="shared" si="74"/>
        <v>1</v>
      </c>
      <c r="AF233" s="34" t="str" cm="1">
        <f t="array" ref="AF233">INDEX(Ratings!$B$2:$M$40,_xlfn.XMATCH(Base!F233,Ratings!$A$2:$A$40),_xlfn.XMATCH(YEAR(Base!K233),Ratings!$B$1:$M$1))</f>
        <v>C</v>
      </c>
      <c r="AG233">
        <f t="shared" si="67"/>
        <v>0</v>
      </c>
      <c r="AH233">
        <f>IFERROR(IFERROR(IFERROR(INDEX('EMBI+'!$B:$B,MATCH(Base!$K233,'EMBI+'!$A:$A,0)),INDEX('EMBI+'!$B:$B,MATCH(Base!$K233+1,'EMBI+'!$A:$A,0))),INDEX('EMBI+'!$B:$B,MATCH(Base!$K233+2,'EMBI+'!$A:$A,0))),INDEX('EMBI+'!$B:$B,MATCH(Base!$K233+3,'EMBI+'!$A:$A,0)))/100</f>
        <v>3.32</v>
      </c>
      <c r="AL233" s="43"/>
      <c r="AM233" s="28"/>
      <c r="AN233" s="28"/>
    </row>
    <row r="234" spans="1:40" x14ac:dyDescent="0.35">
      <c r="A234">
        <f t="shared" si="68"/>
        <v>232</v>
      </c>
      <c r="B234">
        <f>IF(G234="Bonds",COUNTIF($G$3:G234,"Bonds"),0)</f>
        <v>0</v>
      </c>
      <c r="C234" t="str">
        <f t="shared" si="77"/>
        <v>InterCement4399046546</v>
      </c>
      <c r="D234">
        <f t="shared" si="78"/>
        <v>20</v>
      </c>
      <c r="E234" s="43" t="s">
        <v>299</v>
      </c>
      <c r="F234" s="43" t="s">
        <v>277</v>
      </c>
      <c r="G234" s="43" t="s">
        <v>25</v>
      </c>
      <c r="H234">
        <f t="shared" si="70"/>
        <v>0</v>
      </c>
      <c r="I234" s="43" t="s">
        <v>307</v>
      </c>
      <c r="J234" s="34">
        <f t="shared" si="79"/>
        <v>29</v>
      </c>
      <c r="K234" s="28">
        <v>43990</v>
      </c>
      <c r="L234" s="28">
        <v>46546</v>
      </c>
      <c r="M234" s="60">
        <f t="shared" si="71"/>
        <v>7.0027397260273974</v>
      </c>
      <c r="N234" s="4">
        <f t="shared" si="72"/>
        <v>1</v>
      </c>
      <c r="O234" s="43" t="s">
        <v>44</v>
      </c>
      <c r="P234" t="str">
        <f t="shared" si="75"/>
        <v>0</v>
      </c>
      <c r="Q234" s="44">
        <v>389266</v>
      </c>
      <c r="R234" s="43">
        <v>1000</v>
      </c>
      <c r="S234" s="34" t="str">
        <f>IF($V234="USD",INDEX('Dólar Spot'!$B:$B,MATCH(Base!$K234,'Dólar Spot'!$A:$A,0)),"")</f>
        <v/>
      </c>
      <c r="T234" s="4">
        <f t="shared" si="69"/>
        <v>389266000</v>
      </c>
      <c r="U234" s="8">
        <f t="shared" si="76"/>
        <v>3.8926599999999998</v>
      </c>
      <c r="V234" s="43" t="s">
        <v>41</v>
      </c>
      <c r="W234" s="45">
        <v>100</v>
      </c>
      <c r="X234" s="46">
        <v>3.75</v>
      </c>
      <c r="Y234" s="9">
        <f>IF(AND(V234="DI",$W234=100),$X234/100,
IF(AND(V234="DI",$W234&lt;&gt;100,$X234=""),INDEX('Debs %CDI'!$Q:$Q,MATCH(Base!$C234,'Debs %CDI'!$A:$A,0)),
IF($V234="USD",INDEX(Bonds!$AF:$AF,MATCH(Base!$C234,Bonds!$B:$B,0)),
IF($V234="IPCA",INDEX('Debs IPCA'!$Z:$Z,MATCH(Base!$C234,'Debs IPCA'!$A:$A,0))))))</f>
        <v>3.7499999999999999E-2</v>
      </c>
      <c r="Z234" s="43">
        <v>252</v>
      </c>
      <c r="AA234" s="43" t="s">
        <v>30</v>
      </c>
      <c r="AB234" s="43" t="s">
        <v>32</v>
      </c>
      <c r="AC234">
        <f t="shared" si="73"/>
        <v>0</v>
      </c>
      <c r="AD234" s="43" t="s">
        <v>31</v>
      </c>
      <c r="AE234">
        <f t="shared" si="74"/>
        <v>1</v>
      </c>
      <c r="AF234" s="34" t="str" cm="1">
        <f t="array" ref="AF234">INDEX(Ratings!$B$2:$M$40,_xlfn.XMATCH(Base!F234,Ratings!$A$2:$A$40),_xlfn.XMATCH(YEAR(Base!K234),Ratings!$B$1:$M$1))</f>
        <v>C</v>
      </c>
      <c r="AG234">
        <f t="shared" si="67"/>
        <v>0</v>
      </c>
      <c r="AH234">
        <f>IFERROR(IFERROR(IFERROR(INDEX('EMBI+'!$B:$B,MATCH(Base!$K234,'EMBI+'!$A:$A,0)),INDEX('EMBI+'!$B:$B,MATCH(Base!$K234+1,'EMBI+'!$A:$A,0))),INDEX('EMBI+'!$B:$B,MATCH(Base!$K234+2,'EMBI+'!$A:$A,0))),INDEX('EMBI+'!$B:$B,MATCH(Base!$K234+3,'EMBI+'!$A:$A,0)))/100</f>
        <v>3.32</v>
      </c>
      <c r="AL234" s="43"/>
      <c r="AM234" s="28"/>
      <c r="AN234" s="28"/>
    </row>
    <row r="235" spans="1:40" x14ac:dyDescent="0.35">
      <c r="A235">
        <f t="shared" si="68"/>
        <v>233</v>
      </c>
      <c r="B235">
        <f>IF(G235="Bonds",COUNTIF($G$3:G235,"Bonds"),0)</f>
        <v>0</v>
      </c>
      <c r="C235" t="str">
        <f t="shared" si="77"/>
        <v>InterCement4399046546</v>
      </c>
      <c r="D235">
        <f t="shared" si="78"/>
        <v>20</v>
      </c>
      <c r="E235" s="43" t="s">
        <v>299</v>
      </c>
      <c r="F235" s="43" t="s">
        <v>277</v>
      </c>
      <c r="G235" s="43" t="s">
        <v>25</v>
      </c>
      <c r="H235">
        <f t="shared" si="70"/>
        <v>0</v>
      </c>
      <c r="I235" s="43" t="s">
        <v>308</v>
      </c>
      <c r="J235" s="34">
        <f t="shared" si="79"/>
        <v>30</v>
      </c>
      <c r="K235" s="28">
        <v>43990</v>
      </c>
      <c r="L235" s="28">
        <v>46546</v>
      </c>
      <c r="M235" s="60">
        <f t="shared" si="71"/>
        <v>7.0027397260273974</v>
      </c>
      <c r="N235" s="4">
        <f t="shared" si="72"/>
        <v>1</v>
      </c>
      <c r="O235" s="43" t="s">
        <v>44</v>
      </c>
      <c r="P235" t="str">
        <f t="shared" si="75"/>
        <v>0</v>
      </c>
      <c r="Q235" s="44">
        <v>389266</v>
      </c>
      <c r="R235" s="43">
        <v>1000</v>
      </c>
      <c r="S235" s="34" t="str">
        <f>IF($V235="USD",INDEX('Dólar Spot'!$B:$B,MATCH(Base!$K235,'Dólar Spot'!$A:$A,0)),"")</f>
        <v/>
      </c>
      <c r="T235" s="4">
        <f t="shared" si="69"/>
        <v>389266000</v>
      </c>
      <c r="U235" s="8">
        <f t="shared" si="76"/>
        <v>3.8926599999999998</v>
      </c>
      <c r="V235" s="43" t="s">
        <v>41</v>
      </c>
      <c r="W235" s="45">
        <v>100</v>
      </c>
      <c r="X235" s="46">
        <v>3.75</v>
      </c>
      <c r="Y235" s="9">
        <f>IF(AND(V235="DI",$W235=100),$X235/100,
IF(AND(V235="DI",$W235&lt;&gt;100,$X235=""),INDEX('Debs %CDI'!$Q:$Q,MATCH(Base!$C235,'Debs %CDI'!$A:$A,0)),
IF($V235="USD",INDEX(Bonds!$AF:$AF,MATCH(Base!$C235,Bonds!$B:$B,0)),
IF($V235="IPCA",INDEX('Debs IPCA'!$Z:$Z,MATCH(Base!$C235,'Debs IPCA'!$A:$A,0))))))</f>
        <v>3.7499999999999999E-2</v>
      </c>
      <c r="Z235" s="43">
        <v>252</v>
      </c>
      <c r="AA235" s="43" t="s">
        <v>30</v>
      </c>
      <c r="AB235" s="43" t="s">
        <v>32</v>
      </c>
      <c r="AC235">
        <f t="shared" si="73"/>
        <v>0</v>
      </c>
      <c r="AD235" s="43" t="s">
        <v>31</v>
      </c>
      <c r="AE235">
        <f t="shared" si="74"/>
        <v>1</v>
      </c>
      <c r="AF235" s="34" t="str" cm="1">
        <f t="array" ref="AF235">INDEX(Ratings!$B$2:$M$40,_xlfn.XMATCH(Base!F235,Ratings!$A$2:$A$40),_xlfn.XMATCH(YEAR(Base!K235),Ratings!$B$1:$M$1))</f>
        <v>C</v>
      </c>
      <c r="AG235">
        <f t="shared" si="67"/>
        <v>0</v>
      </c>
      <c r="AH235">
        <f>IFERROR(IFERROR(IFERROR(INDEX('EMBI+'!$B:$B,MATCH(Base!$K235,'EMBI+'!$A:$A,0)),INDEX('EMBI+'!$B:$B,MATCH(Base!$K235+1,'EMBI+'!$A:$A,0))),INDEX('EMBI+'!$B:$B,MATCH(Base!$K235+2,'EMBI+'!$A:$A,0))),INDEX('EMBI+'!$B:$B,MATCH(Base!$K235+3,'EMBI+'!$A:$A,0)))/100</f>
        <v>3.32</v>
      </c>
      <c r="AL235" s="43"/>
      <c r="AM235" s="28"/>
      <c r="AN235" s="28"/>
    </row>
    <row r="236" spans="1:40" x14ac:dyDescent="0.35">
      <c r="A236">
        <f t="shared" si="68"/>
        <v>234</v>
      </c>
      <c r="B236">
        <f>IF(G236="Bonds",COUNTIF($G$3:G236,"Bonds"),0)</f>
        <v>68</v>
      </c>
      <c r="C236" t="str">
        <f t="shared" si="77"/>
        <v>InterCement4183717/07/2024</v>
      </c>
      <c r="D236">
        <f t="shared" si="78"/>
        <v>20</v>
      </c>
      <c r="E236" s="43" t="s">
        <v>309</v>
      </c>
      <c r="F236" s="43" t="s">
        <v>277</v>
      </c>
      <c r="G236" s="43" t="s">
        <v>34</v>
      </c>
      <c r="H236">
        <f t="shared" si="70"/>
        <v>1</v>
      </c>
      <c r="I236" s="43"/>
      <c r="J236" s="34">
        <f t="shared" si="79"/>
        <v>31</v>
      </c>
      <c r="K236" s="28">
        <v>41837</v>
      </c>
      <c r="L236" s="28" t="s">
        <v>310</v>
      </c>
      <c r="M236" s="60">
        <f t="shared" si="71"/>
        <v>10.008219178082191</v>
      </c>
      <c r="N236" s="4">
        <f t="shared" si="72"/>
        <v>1</v>
      </c>
      <c r="O236" s="43" t="s">
        <v>36</v>
      </c>
      <c r="P236" t="str">
        <f t="shared" si="75"/>
        <v>0</v>
      </c>
      <c r="Q236" s="43"/>
      <c r="R236" s="43"/>
      <c r="S236" s="34">
        <f>IF($V236="USD",INDEX('Dólar Spot'!$B:$B,MATCH(Base!$K236,'Dólar Spot'!$A:$A,0)),"")</f>
        <v>2.2397</v>
      </c>
      <c r="T236" s="44">
        <v>750000000</v>
      </c>
      <c r="U236" s="8">
        <f t="shared" si="76"/>
        <v>16.797750000000001</v>
      </c>
      <c r="V236" s="43" t="s">
        <v>651</v>
      </c>
      <c r="W236" s="45" t="s">
        <v>29</v>
      </c>
      <c r="X236" s="53">
        <v>5.75</v>
      </c>
      <c r="Y236" s="9">
        <f>IF(AND(V236="DI",$W236=100),$X236/100,
IF(AND(V236="DI",$W236&lt;&gt;100,$X236=""),INDEX('Debs %CDI'!$Q:$Q,MATCH(Base!$C236,'Debs %CDI'!$A:$A,0)),
IF($V236="USD",INDEX(Bonds!$AF:$AF,MATCH(Base!$C236,Bonds!$B:$B,0)),
IF($V236="IPCA",INDEX('Debs IPCA'!$Z:$Z,MATCH(Base!$C236,'Debs IPCA'!$A:$A,0))))))</f>
        <v>1.6306716609078009E-2</v>
      </c>
      <c r="Z236" s="43">
        <v>360</v>
      </c>
      <c r="AA236" s="43" t="s">
        <v>37</v>
      </c>
      <c r="AB236" s="43" t="s">
        <v>32</v>
      </c>
      <c r="AC236">
        <f t="shared" si="73"/>
        <v>0</v>
      </c>
      <c r="AD236" s="43" t="s">
        <v>31</v>
      </c>
      <c r="AE236">
        <f t="shared" si="74"/>
        <v>1</v>
      </c>
      <c r="AF236" s="34" t="str" cm="1">
        <f t="array" ref="AF236">INDEX(Ratings!$B$2:$M$40,_xlfn.XMATCH(Base!F236,Ratings!$A$2:$A$40),_xlfn.XMATCH(YEAR(Base!K236),Ratings!$B$1:$M$1))</f>
        <v>BB</v>
      </c>
      <c r="AG236">
        <f t="shared" si="67"/>
        <v>0</v>
      </c>
      <c r="AH236">
        <f>IFERROR(IFERROR(IFERROR(INDEX('EMBI+'!$B:$B,MATCH(Base!$K236,'EMBI+'!$A:$A,0)),INDEX('EMBI+'!$B:$B,MATCH(Base!$K236+1,'EMBI+'!$A:$A,0))),INDEX('EMBI+'!$B:$B,MATCH(Base!$K236+2,'EMBI+'!$A:$A,0))),INDEX('EMBI+'!$B:$B,MATCH(Base!$K236+3,'EMBI+'!$A:$A,0)))/100</f>
        <v>2.19</v>
      </c>
      <c r="AL236" s="43"/>
      <c r="AM236" s="28"/>
      <c r="AN236" s="28"/>
    </row>
    <row r="237" spans="1:40" x14ac:dyDescent="0.35">
      <c r="A237">
        <f t="shared" si="68"/>
        <v>235</v>
      </c>
      <c r="B237">
        <f>IF(G237="Bonds",COUNTIF($G$3:G237,"Bonds"),0)</f>
        <v>0</v>
      </c>
      <c r="C237" t="str">
        <f t="shared" si="77"/>
        <v>Iochpe-Maxion4372445551</v>
      </c>
      <c r="D237">
        <f t="shared" si="78"/>
        <v>21</v>
      </c>
      <c r="E237" s="43" t="s">
        <v>311</v>
      </c>
      <c r="F237" s="43" t="s">
        <v>312</v>
      </c>
      <c r="G237" s="43" t="s">
        <v>25</v>
      </c>
      <c r="H237">
        <f t="shared" si="70"/>
        <v>0</v>
      </c>
      <c r="I237" s="43" t="s">
        <v>313</v>
      </c>
      <c r="J237" s="34">
        <f t="shared" si="79"/>
        <v>1</v>
      </c>
      <c r="K237" s="28">
        <v>43724</v>
      </c>
      <c r="L237" s="28">
        <v>45551</v>
      </c>
      <c r="M237" s="60">
        <f t="shared" si="71"/>
        <v>5.0054794520547947</v>
      </c>
      <c r="N237" s="4">
        <f t="shared" si="72"/>
        <v>1</v>
      </c>
      <c r="O237" s="43" t="s">
        <v>44</v>
      </c>
      <c r="P237" t="str">
        <f t="shared" si="75"/>
        <v>0</v>
      </c>
      <c r="Q237" s="44">
        <v>350000</v>
      </c>
      <c r="R237" s="43">
        <v>1000</v>
      </c>
      <c r="S237" s="34" t="str">
        <f>IF($V237="USD",INDEX('Dólar Spot'!$B:$B,MATCH(Base!$K237,'Dólar Spot'!$A:$A,0)),"")</f>
        <v/>
      </c>
      <c r="T237" s="4">
        <f t="shared" ref="T237:T245" si="80">Q237*R237</f>
        <v>350000000</v>
      </c>
      <c r="U237" s="8">
        <f t="shared" si="76"/>
        <v>3.5</v>
      </c>
      <c r="V237" s="43" t="s">
        <v>41</v>
      </c>
      <c r="W237" s="45">
        <v>100</v>
      </c>
      <c r="X237" s="46">
        <v>0.75</v>
      </c>
      <c r="Y237" s="9">
        <f>IF(AND(V237="DI",$W237=100),$X237/100,
IF(AND(V237="DI",$W237&lt;&gt;100,$X237=""),INDEX('Debs %CDI'!$Q:$Q,MATCH(Base!$C237,'Debs %CDI'!$A:$A,0)),
IF($V237="USD",INDEX(Bonds!$AF:$AF,MATCH(Base!$C237,Bonds!$B:$B,0)),
IF($V237="IPCA",INDEX('Debs IPCA'!$Z:$Z,MATCH(Base!$C237,'Debs IPCA'!$A:$A,0))))))</f>
        <v>7.4999999999999997E-3</v>
      </c>
      <c r="Z237" s="43">
        <v>252</v>
      </c>
      <c r="AA237" s="43" t="s">
        <v>30</v>
      </c>
      <c r="AB237" s="43" t="s">
        <v>32</v>
      </c>
      <c r="AC237">
        <f t="shared" si="73"/>
        <v>0</v>
      </c>
      <c r="AD237" s="43" t="s">
        <v>31</v>
      </c>
      <c r="AE237">
        <f t="shared" si="74"/>
        <v>1</v>
      </c>
      <c r="AF237" s="34" t="str" cm="1">
        <f t="array" ref="AF237">INDEX(Ratings!$B$2:$M$40,_xlfn.XMATCH(Base!F237,Ratings!$A$2:$A$40),_xlfn.XMATCH(YEAR(Base!K237),Ratings!$B$1:$M$1))</f>
        <v>NR</v>
      </c>
      <c r="AG237">
        <f t="shared" si="67"/>
        <v>0</v>
      </c>
      <c r="AH237">
        <f>IFERROR(IFERROR(IFERROR(INDEX('EMBI+'!$B:$B,MATCH(Base!$K237,'EMBI+'!$A:$A,0)),INDEX('EMBI+'!$B:$B,MATCH(Base!$K237+1,'EMBI+'!$A:$A,0))),INDEX('EMBI+'!$B:$B,MATCH(Base!$K237+2,'EMBI+'!$A:$A,0))),INDEX('EMBI+'!$B:$B,MATCH(Base!$K237+3,'EMBI+'!$A:$A,0)))/100</f>
        <v>2.2400000000000002</v>
      </c>
      <c r="AL237" s="43"/>
      <c r="AM237" s="28"/>
      <c r="AN237" s="28"/>
    </row>
    <row r="238" spans="1:40" x14ac:dyDescent="0.35">
      <c r="A238">
        <f t="shared" si="68"/>
        <v>236</v>
      </c>
      <c r="B238">
        <f>IF(G238="Bonds",COUNTIF($G$3:G238,"Bonds"),0)</f>
        <v>0</v>
      </c>
      <c r="C238" t="str">
        <f t="shared" si="77"/>
        <v>Iochpe-Maxion4134844635</v>
      </c>
      <c r="D238">
        <f t="shared" si="78"/>
        <v>21</v>
      </c>
      <c r="E238" s="43" t="s">
        <v>311</v>
      </c>
      <c r="F238" s="43" t="s">
        <v>312</v>
      </c>
      <c r="G238" s="43" t="s">
        <v>25</v>
      </c>
      <c r="H238">
        <f t="shared" si="70"/>
        <v>0</v>
      </c>
      <c r="I238" s="43" t="s">
        <v>314</v>
      </c>
      <c r="J238" s="34">
        <f t="shared" si="79"/>
        <v>2</v>
      </c>
      <c r="K238" s="28">
        <v>41348</v>
      </c>
      <c r="L238" s="28">
        <v>44635</v>
      </c>
      <c r="M238" s="60">
        <f t="shared" si="71"/>
        <v>9.0054794520547947</v>
      </c>
      <c r="N238" s="4">
        <f t="shared" si="72"/>
        <v>1</v>
      </c>
      <c r="O238" s="43" t="s">
        <v>27</v>
      </c>
      <c r="P238" t="str">
        <f t="shared" si="75"/>
        <v>1</v>
      </c>
      <c r="Q238" s="44">
        <v>124000</v>
      </c>
      <c r="R238" s="43">
        <v>10000</v>
      </c>
      <c r="S238" s="34" t="str">
        <f>IF($V238="USD",INDEX('Dólar Spot'!$B:$B,MATCH(Base!$K238,'Dólar Spot'!$A:$A,0)),"")</f>
        <v/>
      </c>
      <c r="T238" s="4">
        <f t="shared" si="80"/>
        <v>1240000000</v>
      </c>
      <c r="U238" s="8">
        <f t="shared" si="76"/>
        <v>12.4</v>
      </c>
      <c r="V238" s="43" t="s">
        <v>41</v>
      </c>
      <c r="W238" s="45">
        <v>100</v>
      </c>
      <c r="X238" s="46">
        <v>3</v>
      </c>
      <c r="Y238" s="9">
        <f>IF(AND(V238="DI",$W238=100),$X238/100,
IF(AND(V238="DI",$W238&lt;&gt;100,$X238=""),INDEX('Debs %CDI'!$Q:$Q,MATCH(Base!$C238,'Debs %CDI'!$A:$A,0)),
IF($V238="USD",INDEX(Bonds!$AF:$AF,MATCH(Base!$C238,Bonds!$B:$B,0)),
IF($V238="IPCA",INDEX('Debs IPCA'!$Z:$Z,MATCH(Base!$C238,'Debs IPCA'!$A:$A,0))))))</f>
        <v>0.03</v>
      </c>
      <c r="Z238" s="43">
        <v>252</v>
      </c>
      <c r="AA238" s="43" t="s">
        <v>30</v>
      </c>
      <c r="AB238" s="43" t="s">
        <v>32</v>
      </c>
      <c r="AC238">
        <f t="shared" si="73"/>
        <v>0</v>
      </c>
      <c r="AD238" s="43" t="s">
        <v>31</v>
      </c>
      <c r="AE238">
        <f t="shared" si="74"/>
        <v>1</v>
      </c>
      <c r="AF238" s="34" t="str" cm="1">
        <f t="array" ref="AF238">INDEX(Ratings!$B$2:$M$40,_xlfn.XMATCH(Base!F238,Ratings!$A$2:$A$40),_xlfn.XMATCH(YEAR(Base!K238),Ratings!$B$1:$M$1))</f>
        <v>NR</v>
      </c>
      <c r="AG238">
        <f t="shared" si="67"/>
        <v>0</v>
      </c>
      <c r="AH238">
        <f>IFERROR(IFERROR(IFERROR(INDEX('EMBI+'!$B:$B,MATCH(Base!$K238,'EMBI+'!$A:$A,0)),INDEX('EMBI+'!$B:$B,MATCH(Base!$K238+1,'EMBI+'!$A:$A,0))),INDEX('EMBI+'!$B:$B,MATCH(Base!$K238+2,'EMBI+'!$A:$A,0))),INDEX('EMBI+'!$B:$B,MATCH(Base!$K238+3,'EMBI+'!$A:$A,0)))/100</f>
        <v>1.79</v>
      </c>
      <c r="AL238" s="43"/>
      <c r="AM238" s="28"/>
      <c r="AN238" s="28"/>
    </row>
    <row r="239" spans="1:40" x14ac:dyDescent="0.35">
      <c r="A239">
        <f t="shared" si="68"/>
        <v>237</v>
      </c>
      <c r="B239">
        <f>IF(G239="Bonds",COUNTIF($G$3:G239,"Bonds"),0)</f>
        <v>0</v>
      </c>
      <c r="C239" t="str">
        <f t="shared" si="77"/>
        <v>Iochpe-Maxion4173043556</v>
      </c>
      <c r="D239">
        <f t="shared" si="78"/>
        <v>21</v>
      </c>
      <c r="E239" s="43" t="s">
        <v>311</v>
      </c>
      <c r="F239" s="43" t="s">
        <v>312</v>
      </c>
      <c r="G239" s="43" t="s">
        <v>25</v>
      </c>
      <c r="H239">
        <f t="shared" si="70"/>
        <v>0</v>
      </c>
      <c r="I239" s="43" t="s">
        <v>315</v>
      </c>
      <c r="J239" s="34">
        <f t="shared" si="79"/>
        <v>3</v>
      </c>
      <c r="K239" s="28">
        <v>41730</v>
      </c>
      <c r="L239" s="28">
        <v>43556</v>
      </c>
      <c r="M239" s="60">
        <f t="shared" si="71"/>
        <v>5.0027397260273974</v>
      </c>
      <c r="N239" s="4">
        <f t="shared" si="72"/>
        <v>1</v>
      </c>
      <c r="O239" s="43" t="s">
        <v>44</v>
      </c>
      <c r="P239" t="str">
        <f t="shared" si="75"/>
        <v>0</v>
      </c>
      <c r="Q239" s="44">
        <v>397732</v>
      </c>
      <c r="R239" s="43">
        <v>1000</v>
      </c>
      <c r="S239" s="34" t="str">
        <f>IF($V239="USD",INDEX('Dólar Spot'!$B:$B,MATCH(Base!$K239,'Dólar Spot'!$A:$A,0)),"")</f>
        <v/>
      </c>
      <c r="T239" s="4">
        <f t="shared" si="80"/>
        <v>397732000</v>
      </c>
      <c r="U239" s="8">
        <f t="shared" si="76"/>
        <v>3.9773200000000002</v>
      </c>
      <c r="V239" s="43" t="s">
        <v>41</v>
      </c>
      <c r="W239" s="45">
        <v>100</v>
      </c>
      <c r="X239" s="46">
        <v>2</v>
      </c>
      <c r="Y239" s="9">
        <f>IF(AND(V239="DI",$W239=100),$X239/100,
IF(AND(V239="DI",$W239&lt;&gt;100,$X239=""),INDEX('Debs %CDI'!$Q:$Q,MATCH(Base!$C239,'Debs %CDI'!$A:$A,0)),
IF($V239="USD",INDEX(Bonds!$AF:$AF,MATCH(Base!$C239,Bonds!$B:$B,0)),
IF($V239="IPCA",INDEX('Debs IPCA'!$Z:$Z,MATCH(Base!$C239,'Debs IPCA'!$A:$A,0))))))</f>
        <v>0.02</v>
      </c>
      <c r="Z239" s="43">
        <v>252</v>
      </c>
      <c r="AA239" s="43" t="s">
        <v>30</v>
      </c>
      <c r="AB239" s="43" t="s">
        <v>32</v>
      </c>
      <c r="AC239">
        <f t="shared" si="73"/>
        <v>0</v>
      </c>
      <c r="AD239" s="43" t="s">
        <v>31</v>
      </c>
      <c r="AE239">
        <f t="shared" si="74"/>
        <v>1</v>
      </c>
      <c r="AF239" s="34" t="str" cm="1">
        <f t="array" ref="AF239">INDEX(Ratings!$B$2:$M$40,_xlfn.XMATCH(Base!F239,Ratings!$A$2:$A$40),_xlfn.XMATCH(YEAR(Base!K239),Ratings!$B$1:$M$1))</f>
        <v>NR</v>
      </c>
      <c r="AG239">
        <f t="shared" si="67"/>
        <v>0</v>
      </c>
      <c r="AH239">
        <f>IFERROR(IFERROR(IFERROR(INDEX('EMBI+'!$B:$B,MATCH(Base!$K239,'EMBI+'!$A:$A,0)),INDEX('EMBI+'!$B:$B,MATCH(Base!$K239+1,'EMBI+'!$A:$A,0))),INDEX('EMBI+'!$B:$B,MATCH(Base!$K239+2,'EMBI+'!$A:$A,0))),INDEX('EMBI+'!$B:$B,MATCH(Base!$K239+3,'EMBI+'!$A:$A,0)))/100</f>
        <v>2.2200000000000002</v>
      </c>
      <c r="AL239" s="43"/>
      <c r="AM239" s="28"/>
      <c r="AN239" s="28"/>
    </row>
    <row r="240" spans="1:40" x14ac:dyDescent="0.35">
      <c r="A240">
        <f t="shared" si="68"/>
        <v>238</v>
      </c>
      <c r="B240">
        <f>IF(G240="Bonds",COUNTIF($G$3:G240,"Bonds"),0)</f>
        <v>0</v>
      </c>
      <c r="C240" t="str">
        <f t="shared" si="77"/>
        <v>Iochpe-Maxion4318545011</v>
      </c>
      <c r="D240">
        <f t="shared" si="78"/>
        <v>21</v>
      </c>
      <c r="E240" s="43" t="s">
        <v>311</v>
      </c>
      <c r="F240" s="43" t="s">
        <v>312</v>
      </c>
      <c r="G240" s="43" t="s">
        <v>25</v>
      </c>
      <c r="H240">
        <f t="shared" si="70"/>
        <v>0</v>
      </c>
      <c r="I240" s="43" t="s">
        <v>316</v>
      </c>
      <c r="J240" s="34">
        <f t="shared" si="79"/>
        <v>4</v>
      </c>
      <c r="K240" s="28">
        <v>43185</v>
      </c>
      <c r="L240" s="28">
        <v>45011</v>
      </c>
      <c r="M240" s="60">
        <f t="shared" si="71"/>
        <v>5.0027397260273974</v>
      </c>
      <c r="N240" s="4">
        <f t="shared" si="72"/>
        <v>1</v>
      </c>
      <c r="O240" s="43" t="s">
        <v>44</v>
      </c>
      <c r="P240" t="str">
        <f t="shared" si="75"/>
        <v>0</v>
      </c>
      <c r="Q240" s="44">
        <v>450000</v>
      </c>
      <c r="R240" s="43">
        <v>1000</v>
      </c>
      <c r="S240" s="34" t="str">
        <f>IF($V240="USD",INDEX('Dólar Spot'!$B:$B,MATCH(Base!$K240,'Dólar Spot'!$A:$A,0)),"")</f>
        <v/>
      </c>
      <c r="T240" s="4">
        <f t="shared" si="80"/>
        <v>450000000</v>
      </c>
      <c r="U240" s="8">
        <f t="shared" si="76"/>
        <v>4.5</v>
      </c>
      <c r="V240" s="43" t="s">
        <v>41</v>
      </c>
      <c r="W240" s="45">
        <v>100</v>
      </c>
      <c r="X240" s="46">
        <v>1.4</v>
      </c>
      <c r="Y240" s="9">
        <f>IF(AND(V240="DI",$W240=100),$X240/100,
IF(AND(V240="DI",$W240&lt;&gt;100,$X240=""),INDEX('Debs %CDI'!$Q:$Q,MATCH(Base!$C240,'Debs %CDI'!$A:$A,0)),
IF($V240="USD",INDEX(Bonds!$AF:$AF,MATCH(Base!$C240,Bonds!$B:$B,0)),
IF($V240="IPCA",INDEX('Debs IPCA'!$Z:$Z,MATCH(Base!$C240,'Debs IPCA'!$A:$A,0))))))</f>
        <v>1.3999999999999999E-2</v>
      </c>
      <c r="Z240" s="43">
        <v>252</v>
      </c>
      <c r="AA240" s="43" t="s">
        <v>30</v>
      </c>
      <c r="AB240" s="43" t="s">
        <v>32</v>
      </c>
      <c r="AC240">
        <f t="shared" si="73"/>
        <v>0</v>
      </c>
      <c r="AD240" s="43" t="s">
        <v>31</v>
      </c>
      <c r="AE240">
        <f t="shared" si="74"/>
        <v>1</v>
      </c>
      <c r="AF240" s="34" t="str" cm="1">
        <f t="array" ref="AF240">INDEX(Ratings!$B$2:$M$40,_xlfn.XMATCH(Base!F240,Ratings!$A$2:$A$40),_xlfn.XMATCH(YEAR(Base!K240),Ratings!$B$1:$M$1))</f>
        <v>NR</v>
      </c>
      <c r="AG240">
        <f t="shared" si="67"/>
        <v>0</v>
      </c>
      <c r="AH240">
        <f>IFERROR(IFERROR(IFERROR(INDEX('EMBI+'!$B:$B,MATCH(Base!$K240,'EMBI+'!$A:$A,0)),INDEX('EMBI+'!$B:$B,MATCH(Base!$K240+1,'EMBI+'!$A:$A,0))),INDEX('EMBI+'!$B:$B,MATCH(Base!$K240+2,'EMBI+'!$A:$A,0))),INDEX('EMBI+'!$B:$B,MATCH(Base!$K240+3,'EMBI+'!$A:$A,0)))/100</f>
        <v>2.48</v>
      </c>
      <c r="AL240" s="43"/>
      <c r="AM240" s="28"/>
      <c r="AN240" s="28"/>
    </row>
    <row r="241" spans="1:40" x14ac:dyDescent="0.35">
      <c r="A241">
        <f t="shared" si="68"/>
        <v>239</v>
      </c>
      <c r="B241">
        <f>IF(G241="Bonds",COUNTIF($G$3:G241,"Bonds"),0)</f>
        <v>0</v>
      </c>
      <c r="C241" t="str">
        <f t="shared" si="77"/>
        <v>Iochpe-Maxion4350745333</v>
      </c>
      <c r="D241">
        <f t="shared" si="78"/>
        <v>21</v>
      </c>
      <c r="E241" s="43" t="s">
        <v>311</v>
      </c>
      <c r="F241" s="43" t="s">
        <v>312</v>
      </c>
      <c r="G241" s="43" t="s">
        <v>25</v>
      </c>
      <c r="H241">
        <f t="shared" si="70"/>
        <v>0</v>
      </c>
      <c r="I241" s="43" t="s">
        <v>317</v>
      </c>
      <c r="J241" s="34">
        <f t="shared" si="79"/>
        <v>5</v>
      </c>
      <c r="K241" s="28">
        <v>43507</v>
      </c>
      <c r="L241" s="28">
        <v>45333</v>
      </c>
      <c r="M241" s="60">
        <f t="shared" si="71"/>
        <v>5.0027397260273974</v>
      </c>
      <c r="N241" s="4">
        <f t="shared" si="72"/>
        <v>1</v>
      </c>
      <c r="O241" s="43" t="s">
        <v>44</v>
      </c>
      <c r="P241" t="str">
        <f t="shared" si="75"/>
        <v>0</v>
      </c>
      <c r="Q241" s="44">
        <v>338800</v>
      </c>
      <c r="R241" s="43">
        <v>1000</v>
      </c>
      <c r="S241" s="34" t="str">
        <f>IF($V241="USD",INDEX('Dólar Spot'!$B:$B,MATCH(Base!$K241,'Dólar Spot'!$A:$A,0)),"")</f>
        <v/>
      </c>
      <c r="T241" s="4">
        <f t="shared" si="80"/>
        <v>338800000</v>
      </c>
      <c r="U241" s="8">
        <f t="shared" si="76"/>
        <v>3.3879999999999999</v>
      </c>
      <c r="V241" s="43" t="s">
        <v>41</v>
      </c>
      <c r="W241" s="45">
        <v>100</v>
      </c>
      <c r="X241" s="46">
        <v>0.75</v>
      </c>
      <c r="Y241" s="9">
        <f>IF(AND(V241="DI",$W241=100),$X241/100,
IF(AND(V241="DI",$W241&lt;&gt;100,$X241=""),INDEX('Debs %CDI'!$Q:$Q,MATCH(Base!$C241,'Debs %CDI'!$A:$A,0)),
IF($V241="USD",INDEX(Bonds!$AF:$AF,MATCH(Base!$C241,Bonds!$B:$B,0)),
IF($V241="IPCA",INDEX('Debs IPCA'!$Z:$Z,MATCH(Base!$C241,'Debs IPCA'!$A:$A,0))))))</f>
        <v>7.4999999999999997E-3</v>
      </c>
      <c r="Z241" s="43">
        <v>252</v>
      </c>
      <c r="AA241" s="43" t="s">
        <v>30</v>
      </c>
      <c r="AB241" s="43" t="s">
        <v>32</v>
      </c>
      <c r="AC241">
        <f t="shared" si="73"/>
        <v>0</v>
      </c>
      <c r="AD241" s="43" t="s">
        <v>31</v>
      </c>
      <c r="AE241">
        <f t="shared" si="74"/>
        <v>1</v>
      </c>
      <c r="AF241" s="34" t="str" cm="1">
        <f t="array" ref="AF241">INDEX(Ratings!$B$2:$M$40,_xlfn.XMATCH(Base!F241,Ratings!$A$2:$A$40),_xlfn.XMATCH(YEAR(Base!K241),Ratings!$B$1:$M$1))</f>
        <v>NR</v>
      </c>
      <c r="AG241">
        <f t="shared" si="67"/>
        <v>0</v>
      </c>
      <c r="AH241">
        <f>IFERROR(IFERROR(IFERROR(INDEX('EMBI+'!$B:$B,MATCH(Base!$K241,'EMBI+'!$A:$A,0)),INDEX('EMBI+'!$B:$B,MATCH(Base!$K241+1,'EMBI+'!$A:$A,0))),INDEX('EMBI+'!$B:$B,MATCH(Base!$K241+2,'EMBI+'!$A:$A,0))),INDEX('EMBI+'!$B:$B,MATCH(Base!$K241+3,'EMBI+'!$A:$A,0)))/100</f>
        <v>2.5</v>
      </c>
      <c r="AL241" s="43"/>
      <c r="AM241" s="28"/>
      <c r="AN241" s="28"/>
    </row>
    <row r="242" spans="1:40" x14ac:dyDescent="0.35">
      <c r="A242">
        <f t="shared" si="68"/>
        <v>240</v>
      </c>
      <c r="B242">
        <f>IF(G242="Bonds",COUNTIF($G$3:G242,"Bonds"),0)</f>
        <v>0</v>
      </c>
      <c r="C242" t="str">
        <f t="shared" si="77"/>
        <v>Iochpe-Maxion4173043556</v>
      </c>
      <c r="D242">
        <f t="shared" si="78"/>
        <v>21</v>
      </c>
      <c r="E242" s="43" t="s">
        <v>311</v>
      </c>
      <c r="F242" s="43" t="s">
        <v>312</v>
      </c>
      <c r="G242" s="43" t="s">
        <v>25</v>
      </c>
      <c r="H242">
        <f t="shared" si="70"/>
        <v>0</v>
      </c>
      <c r="I242" s="43" t="s">
        <v>318</v>
      </c>
      <c r="J242" s="34">
        <f t="shared" si="79"/>
        <v>6</v>
      </c>
      <c r="K242" s="28">
        <v>41730</v>
      </c>
      <c r="L242" s="28">
        <v>43556</v>
      </c>
      <c r="M242" s="60">
        <f t="shared" si="71"/>
        <v>5.0027397260273974</v>
      </c>
      <c r="N242" s="4">
        <f t="shared" si="72"/>
        <v>1</v>
      </c>
      <c r="O242" s="43" t="s">
        <v>44</v>
      </c>
      <c r="P242" t="str">
        <f t="shared" si="75"/>
        <v>0</v>
      </c>
      <c r="Q242" s="44">
        <v>250000</v>
      </c>
      <c r="R242" s="43">
        <v>1000</v>
      </c>
      <c r="S242" s="34" t="str">
        <f>IF($V242="USD",INDEX('Dólar Spot'!$B:$B,MATCH(Base!$K242,'Dólar Spot'!$A:$A,0)),"")</f>
        <v/>
      </c>
      <c r="T242" s="4">
        <f t="shared" si="80"/>
        <v>250000000</v>
      </c>
      <c r="U242" s="8">
        <f t="shared" si="76"/>
        <v>2.5</v>
      </c>
      <c r="V242" s="43" t="s">
        <v>41</v>
      </c>
      <c r="W242" s="45">
        <v>99</v>
      </c>
      <c r="X242" s="46"/>
      <c r="Y242" s="9">
        <f>IF(AND(V242="DI",$W242=100),$X242/100,
IF(AND(V242="DI",$W242&lt;&gt;100,$X242=""),INDEX('Debs %CDI'!$Q:$Q,MATCH(Base!$C242,'Debs %CDI'!$A:$A,0)),
IF($V242="USD",INDEX(Bonds!$AF:$AF,MATCH(Base!$C242,Bonds!$B:$B,0)),
IF($V242="IPCA",INDEX('Debs IPCA'!$Z:$Z,MATCH(Base!$C242,'Debs IPCA'!$A:$A,0))))))</f>
        <v>-1.2812260942345834E-3</v>
      </c>
      <c r="Z242" s="43">
        <v>252</v>
      </c>
      <c r="AA242" s="43" t="s">
        <v>30</v>
      </c>
      <c r="AB242" s="43" t="s">
        <v>32</v>
      </c>
      <c r="AC242">
        <f t="shared" si="73"/>
        <v>0</v>
      </c>
      <c r="AD242" s="43" t="s">
        <v>31</v>
      </c>
      <c r="AE242">
        <f t="shared" si="74"/>
        <v>1</v>
      </c>
      <c r="AF242" s="34" t="str" cm="1">
        <f t="array" ref="AF242">INDEX(Ratings!$B$2:$M$40,_xlfn.XMATCH(Base!F242,Ratings!$A$2:$A$40),_xlfn.XMATCH(YEAR(Base!K242),Ratings!$B$1:$M$1))</f>
        <v>NR</v>
      </c>
      <c r="AG242">
        <f t="shared" si="67"/>
        <v>0</v>
      </c>
      <c r="AH242">
        <f>IFERROR(IFERROR(IFERROR(INDEX('EMBI+'!$B:$B,MATCH(Base!$K242,'EMBI+'!$A:$A,0)),INDEX('EMBI+'!$B:$B,MATCH(Base!$K242+1,'EMBI+'!$A:$A,0))),INDEX('EMBI+'!$B:$B,MATCH(Base!$K242+2,'EMBI+'!$A:$A,0))),INDEX('EMBI+'!$B:$B,MATCH(Base!$K242+3,'EMBI+'!$A:$A,0)))/100</f>
        <v>2.2200000000000002</v>
      </c>
      <c r="AL242" s="43"/>
      <c r="AM242" s="28"/>
      <c r="AN242" s="28"/>
    </row>
    <row r="243" spans="1:40" x14ac:dyDescent="0.35">
      <c r="A243">
        <f t="shared" si="68"/>
        <v>241</v>
      </c>
      <c r="B243">
        <f>IF(G243="Bonds",COUNTIF($G$3:G243,"Bonds"),0)</f>
        <v>0</v>
      </c>
      <c r="C243" t="str">
        <f t="shared" si="77"/>
        <v>Iochpe-Maxion4350746064</v>
      </c>
      <c r="D243">
        <f t="shared" si="78"/>
        <v>21</v>
      </c>
      <c r="E243" s="43" t="s">
        <v>311</v>
      </c>
      <c r="F243" s="43" t="s">
        <v>312</v>
      </c>
      <c r="G243" s="43" t="s">
        <v>25</v>
      </c>
      <c r="H243">
        <f t="shared" si="70"/>
        <v>0</v>
      </c>
      <c r="I243" s="43" t="s">
        <v>319</v>
      </c>
      <c r="J243" s="34">
        <f t="shared" si="79"/>
        <v>7</v>
      </c>
      <c r="K243" s="28">
        <v>43507</v>
      </c>
      <c r="L243" s="28">
        <v>46064</v>
      </c>
      <c r="M243" s="60">
        <f t="shared" si="71"/>
        <v>7.0054794520547947</v>
      </c>
      <c r="N243" s="4">
        <f t="shared" si="72"/>
        <v>1</v>
      </c>
      <c r="O243" s="43" t="s">
        <v>44</v>
      </c>
      <c r="P243" t="str">
        <f t="shared" si="75"/>
        <v>0</v>
      </c>
      <c r="Q243" s="44">
        <v>111200</v>
      </c>
      <c r="R243" s="43">
        <v>1000</v>
      </c>
      <c r="S243" s="34" t="str">
        <f>IF($V243="USD",INDEX('Dólar Spot'!$B:$B,MATCH(Base!$K243,'Dólar Spot'!$A:$A,0)),"")</f>
        <v/>
      </c>
      <c r="T243" s="4">
        <f t="shared" si="80"/>
        <v>111200000</v>
      </c>
      <c r="U243" s="8">
        <f t="shared" si="76"/>
        <v>1.1120000000000001</v>
      </c>
      <c r="V243" s="43" t="s">
        <v>41</v>
      </c>
      <c r="W243" s="45">
        <v>100</v>
      </c>
      <c r="X243" s="46">
        <v>0.95</v>
      </c>
      <c r="Y243" s="9">
        <f>IF(AND(V243="DI",$W243=100),$X243/100,
IF(AND(V243="DI",$W243&lt;&gt;100,$X243=""),INDEX('Debs %CDI'!$Q:$Q,MATCH(Base!$C243,'Debs %CDI'!$A:$A,0)),
IF($V243="USD",INDEX(Bonds!$AF:$AF,MATCH(Base!$C243,Bonds!$B:$B,0)),
IF($V243="IPCA",INDEX('Debs IPCA'!$Z:$Z,MATCH(Base!$C243,'Debs IPCA'!$A:$A,0))))))</f>
        <v>9.4999999999999998E-3</v>
      </c>
      <c r="Z243" s="43">
        <v>252</v>
      </c>
      <c r="AA243" s="43" t="s">
        <v>30</v>
      </c>
      <c r="AB243" s="43" t="s">
        <v>32</v>
      </c>
      <c r="AC243">
        <f t="shared" si="73"/>
        <v>0</v>
      </c>
      <c r="AD243" s="43" t="s">
        <v>31</v>
      </c>
      <c r="AE243">
        <f t="shared" si="74"/>
        <v>1</v>
      </c>
      <c r="AF243" s="34" t="str" cm="1">
        <f t="array" ref="AF243">INDEX(Ratings!$B$2:$M$40,_xlfn.XMATCH(Base!F243,Ratings!$A$2:$A$40),_xlfn.XMATCH(YEAR(Base!K243),Ratings!$B$1:$M$1))</f>
        <v>NR</v>
      </c>
      <c r="AG243">
        <f t="shared" si="67"/>
        <v>0</v>
      </c>
      <c r="AH243">
        <f>IFERROR(IFERROR(IFERROR(INDEX('EMBI+'!$B:$B,MATCH(Base!$K243,'EMBI+'!$A:$A,0)),INDEX('EMBI+'!$B:$B,MATCH(Base!$K243+1,'EMBI+'!$A:$A,0))),INDEX('EMBI+'!$B:$B,MATCH(Base!$K243+2,'EMBI+'!$A:$A,0))),INDEX('EMBI+'!$B:$B,MATCH(Base!$K243+3,'EMBI+'!$A:$A,0)))/100</f>
        <v>2.5</v>
      </c>
      <c r="AL243" s="43"/>
      <c r="AM243" s="28"/>
      <c r="AN243" s="28"/>
    </row>
    <row r="244" spans="1:40" x14ac:dyDescent="0.35">
      <c r="A244">
        <f t="shared" si="68"/>
        <v>242</v>
      </c>
      <c r="B244">
        <f>IF(G244="Bonds",COUNTIF($G$3:G244,"Bonds"),0)</f>
        <v>0</v>
      </c>
      <c r="C244" t="str">
        <f t="shared" si="77"/>
        <v>Iochpe-Maxion4466645762</v>
      </c>
      <c r="D244">
        <f t="shared" si="78"/>
        <v>21</v>
      </c>
      <c r="E244" s="43" t="s">
        <v>311</v>
      </c>
      <c r="F244" s="43" t="s">
        <v>312</v>
      </c>
      <c r="G244" s="43" t="s">
        <v>25</v>
      </c>
      <c r="H244">
        <f t="shared" si="70"/>
        <v>0</v>
      </c>
      <c r="I244" s="43" t="s">
        <v>846</v>
      </c>
      <c r="J244" s="34">
        <f t="shared" si="79"/>
        <v>8</v>
      </c>
      <c r="K244" s="28">
        <v>44666</v>
      </c>
      <c r="L244" s="28">
        <v>45762</v>
      </c>
      <c r="M244" s="60">
        <f t="shared" si="71"/>
        <v>3.0027397260273974</v>
      </c>
      <c r="N244" s="4">
        <f t="shared" si="72"/>
        <v>0</v>
      </c>
      <c r="O244" s="43" t="s">
        <v>44</v>
      </c>
      <c r="P244" t="str">
        <f t="shared" si="75"/>
        <v>0</v>
      </c>
      <c r="Q244" s="44">
        <v>350000</v>
      </c>
      <c r="R244" s="43">
        <v>1000</v>
      </c>
      <c r="S244" s="34" t="str">
        <f>IF($V244="USD",INDEX('Dólar Spot'!$B:$B,MATCH(Base!$K244,'Dólar Spot'!$A:$A,0)),"")</f>
        <v/>
      </c>
      <c r="T244" s="4">
        <f t="shared" si="80"/>
        <v>350000000</v>
      </c>
      <c r="U244" s="8">
        <f t="shared" si="76"/>
        <v>3.5</v>
      </c>
      <c r="V244" s="43" t="s">
        <v>41</v>
      </c>
      <c r="W244" s="45">
        <v>100</v>
      </c>
      <c r="X244" s="46">
        <v>2</v>
      </c>
      <c r="Y244" s="9">
        <f>IF(AND(V244="DI",$W244=100),$X244/100,
IF(AND(V244="DI",$W244&lt;&gt;100,$X244=""),INDEX('Debs %CDI'!$Q:$Q,MATCH(Base!$C244,'Debs %CDI'!$A:$A,0)),
IF($V244="USD",INDEX(Bonds!$AF:$AF,MATCH(Base!$C244,Bonds!$B:$B,0)),
IF($V244="IPCA",INDEX('Debs IPCA'!$Z:$Z,MATCH(Base!$C244,'Debs IPCA'!$A:$A,0))))))</f>
        <v>0.02</v>
      </c>
      <c r="Z244" s="43">
        <v>252</v>
      </c>
      <c r="AA244" s="43" t="s">
        <v>30</v>
      </c>
      <c r="AB244" s="43" t="s">
        <v>32</v>
      </c>
      <c r="AC244">
        <f t="shared" si="73"/>
        <v>0</v>
      </c>
      <c r="AD244" s="43" t="s">
        <v>31</v>
      </c>
      <c r="AE244">
        <f t="shared" si="74"/>
        <v>1</v>
      </c>
      <c r="AF244" s="34" t="str" cm="1">
        <f t="array" ref="AF244">INDEX(Ratings!$B$2:$M$40,_xlfn.XMATCH(Base!F244,Ratings!$A$2:$A$40),_xlfn.XMATCH(YEAR(Base!K244),Ratings!$B$1:$M$1))</f>
        <v>BB-</v>
      </c>
      <c r="AG244">
        <f t="shared" si="67"/>
        <v>0</v>
      </c>
      <c r="AH244">
        <f>IFERROR(IFERROR(IFERROR(INDEX('EMBI+'!$B:$B,MATCH(Base!$K244,'EMBI+'!$A:$A,0)),INDEX('EMBI+'!$B:$B,MATCH(Base!$K244+1,'EMBI+'!$A:$A,0))),INDEX('EMBI+'!$B:$B,MATCH(Base!$K244+2,'EMBI+'!$A:$A,0))),INDEX('EMBI+'!$B:$B,MATCH(Base!$K244+3,'EMBI+'!$A:$A,0)))/100</f>
        <v>2.84</v>
      </c>
      <c r="AL244" s="43"/>
      <c r="AM244" s="28"/>
      <c r="AN244" s="28"/>
    </row>
    <row r="245" spans="1:40" x14ac:dyDescent="0.35">
      <c r="A245">
        <f t="shared" si="68"/>
        <v>243</v>
      </c>
      <c r="B245">
        <f>IF(G245="Bonds",COUNTIF($G$3:G245,"Bonds"),0)</f>
        <v>0</v>
      </c>
      <c r="C245" t="str">
        <f t="shared" si="77"/>
        <v>Iochpe-Maxion4466646492</v>
      </c>
      <c r="D245">
        <f t="shared" si="78"/>
        <v>21</v>
      </c>
      <c r="E245" s="43" t="s">
        <v>311</v>
      </c>
      <c r="F245" s="43" t="s">
        <v>312</v>
      </c>
      <c r="G245" s="43" t="s">
        <v>25</v>
      </c>
      <c r="H245">
        <f t="shared" si="70"/>
        <v>0</v>
      </c>
      <c r="I245" s="43" t="s">
        <v>847</v>
      </c>
      <c r="J245" s="34">
        <f t="shared" si="79"/>
        <v>9</v>
      </c>
      <c r="K245" s="28">
        <v>44666</v>
      </c>
      <c r="L245" s="28">
        <v>46492</v>
      </c>
      <c r="M245" s="60">
        <f t="shared" si="71"/>
        <v>5.0027397260273974</v>
      </c>
      <c r="N245" s="4">
        <f t="shared" si="72"/>
        <v>1</v>
      </c>
      <c r="O245" s="43" t="s">
        <v>44</v>
      </c>
      <c r="P245" t="str">
        <f t="shared" si="75"/>
        <v>0</v>
      </c>
      <c r="Q245" s="44">
        <v>400000</v>
      </c>
      <c r="R245" s="43">
        <v>1000</v>
      </c>
      <c r="S245" s="34" t="str">
        <f>IF($V245="USD",INDEX('Dólar Spot'!$B:$B,MATCH(Base!$K245,'Dólar Spot'!$A:$A,0)),"")</f>
        <v/>
      </c>
      <c r="T245" s="4">
        <f t="shared" si="80"/>
        <v>400000000</v>
      </c>
      <c r="U245" s="8">
        <f t="shared" si="76"/>
        <v>4</v>
      </c>
      <c r="V245" s="43" t="s">
        <v>41</v>
      </c>
      <c r="W245" s="45">
        <v>100</v>
      </c>
      <c r="X245" s="46">
        <v>2.6</v>
      </c>
      <c r="Y245" s="9">
        <f>IF(AND(V245="DI",$W245=100),$X245/100,
IF(AND(V245="DI",$W245&lt;&gt;100,$X245=""),INDEX('Debs %CDI'!$Q:$Q,MATCH(Base!$C245,'Debs %CDI'!$A:$A,0)),
IF($V245="USD",INDEX(Bonds!$AF:$AF,MATCH(Base!$C245,Bonds!$B:$B,0)),
IF($V245="IPCA",INDEX('Debs IPCA'!$Z:$Z,MATCH(Base!$C245,'Debs IPCA'!$A:$A,0))))))</f>
        <v>2.6000000000000002E-2</v>
      </c>
      <c r="Z245" s="43">
        <v>252</v>
      </c>
      <c r="AA245" s="43" t="s">
        <v>30</v>
      </c>
      <c r="AB245" s="43" t="s">
        <v>32</v>
      </c>
      <c r="AC245">
        <f t="shared" si="73"/>
        <v>0</v>
      </c>
      <c r="AD245" s="43" t="s">
        <v>31</v>
      </c>
      <c r="AE245">
        <f t="shared" si="74"/>
        <v>1</v>
      </c>
      <c r="AF245" s="34" t="str" cm="1">
        <f t="array" ref="AF245">INDEX(Ratings!$B$2:$M$40,_xlfn.XMATCH(Base!F245,Ratings!$A$2:$A$40),_xlfn.XMATCH(YEAR(Base!K245),Ratings!$B$1:$M$1))</f>
        <v>BB-</v>
      </c>
      <c r="AG245">
        <f t="shared" si="67"/>
        <v>0</v>
      </c>
      <c r="AH245">
        <f>IFERROR(IFERROR(IFERROR(INDEX('EMBI+'!$B:$B,MATCH(Base!$K245,'EMBI+'!$A:$A,0)),INDEX('EMBI+'!$B:$B,MATCH(Base!$K245+1,'EMBI+'!$A:$A,0))),INDEX('EMBI+'!$B:$B,MATCH(Base!$K245+2,'EMBI+'!$A:$A,0))),INDEX('EMBI+'!$B:$B,MATCH(Base!$K245+3,'EMBI+'!$A:$A,0)))/100</f>
        <v>2.84</v>
      </c>
      <c r="AL245" s="43"/>
      <c r="AM245" s="28"/>
      <c r="AN245" s="28"/>
    </row>
    <row r="246" spans="1:40" x14ac:dyDescent="0.35">
      <c r="A246">
        <f t="shared" si="68"/>
        <v>244</v>
      </c>
      <c r="B246">
        <f>IF(G246="Bonds",COUNTIF($G$3:G246,"Bonds"),0)</f>
        <v>69</v>
      </c>
      <c r="C246" t="str">
        <f t="shared" si="77"/>
        <v>Iochpe-Maxion4432307/05/2028</v>
      </c>
      <c r="D246">
        <f t="shared" si="78"/>
        <v>21</v>
      </c>
      <c r="E246" s="43" t="s">
        <v>320</v>
      </c>
      <c r="F246" s="43" t="s">
        <v>312</v>
      </c>
      <c r="G246" s="43" t="s">
        <v>34</v>
      </c>
      <c r="H246">
        <f t="shared" si="70"/>
        <v>1</v>
      </c>
      <c r="I246" s="43"/>
      <c r="J246" s="34">
        <f t="shared" si="79"/>
        <v>10</v>
      </c>
      <c r="K246" s="28">
        <v>44323</v>
      </c>
      <c r="L246" s="28" t="s">
        <v>321</v>
      </c>
      <c r="M246" s="60">
        <f t="shared" si="71"/>
        <v>7.0054794520547947</v>
      </c>
      <c r="N246" s="4">
        <f t="shared" si="72"/>
        <v>1</v>
      </c>
      <c r="O246" s="43" t="s">
        <v>36</v>
      </c>
      <c r="P246" t="str">
        <f t="shared" si="75"/>
        <v>0</v>
      </c>
      <c r="Q246" s="43"/>
      <c r="R246" s="43"/>
      <c r="S246" s="34">
        <f>IF($V246="USD",INDEX('Dólar Spot'!$B:$B,MATCH(Base!$K246,'Dólar Spot'!$A:$A,0)),"")</f>
        <v>5.2210999999999999</v>
      </c>
      <c r="T246" s="44">
        <v>400000000</v>
      </c>
      <c r="U246" s="8">
        <f t="shared" si="76"/>
        <v>20.884399999999999</v>
      </c>
      <c r="V246" s="43" t="s">
        <v>651</v>
      </c>
      <c r="W246" s="45" t="s">
        <v>29</v>
      </c>
      <c r="X246" s="53">
        <v>5</v>
      </c>
      <c r="Y246" s="9">
        <f>IF(AND(V246="DI",$W246=100),$X246/100,
IF(AND(V246="DI",$W246&lt;&gt;100,$X246=""),INDEX('Debs %CDI'!$Q:$Q,MATCH(Base!$C246,'Debs %CDI'!$A:$A,0)),
IF($V246="USD",INDEX(Bonds!$AF:$AF,MATCH(Base!$C246,Bonds!$B:$B,0)),
IF($V246="IPCA",INDEX('Debs IPCA'!$Z:$Z,MATCH(Base!$C246,'Debs IPCA'!$A:$A,0))))))</f>
        <v>3.0748646073593067E-2</v>
      </c>
      <c r="Z246" s="43">
        <v>360</v>
      </c>
      <c r="AA246" s="43" t="s">
        <v>37</v>
      </c>
      <c r="AB246" s="43" t="s">
        <v>32</v>
      </c>
      <c r="AC246">
        <f t="shared" si="73"/>
        <v>0</v>
      </c>
      <c r="AD246" s="43" t="s">
        <v>31</v>
      </c>
      <c r="AE246">
        <f t="shared" si="74"/>
        <v>1</v>
      </c>
      <c r="AF246" s="34" t="str" cm="1">
        <f t="array" ref="AF246">INDEX(Ratings!$B$2:$M$40,_xlfn.XMATCH(Base!F246,Ratings!$A$2:$A$40),_xlfn.XMATCH(YEAR(Base!K246),Ratings!$B$1:$M$1))</f>
        <v>BB-</v>
      </c>
      <c r="AG246">
        <f t="shared" si="67"/>
        <v>0</v>
      </c>
      <c r="AH246">
        <f>IFERROR(IFERROR(IFERROR(INDEX('EMBI+'!$B:$B,MATCH(Base!$K246,'EMBI+'!$A:$A,0)),INDEX('EMBI+'!$B:$B,MATCH(Base!$K246+1,'EMBI+'!$A:$A,0))),INDEX('EMBI+'!$B:$B,MATCH(Base!$K246+2,'EMBI+'!$A:$A,0))),INDEX('EMBI+'!$B:$B,MATCH(Base!$K246+3,'EMBI+'!$A:$A,0)))/100</f>
        <v>2.61</v>
      </c>
      <c r="AL246" s="43"/>
      <c r="AM246" s="28"/>
      <c r="AN246" s="28"/>
    </row>
    <row r="247" spans="1:40" x14ac:dyDescent="0.35">
      <c r="A247">
        <f t="shared" si="68"/>
        <v>245</v>
      </c>
      <c r="B247">
        <f>IF(G247="Bonds",COUNTIF($G$3:G247,"Bonds"),0)</f>
        <v>0</v>
      </c>
      <c r="C247" t="str">
        <f t="shared" si="77"/>
        <v>Klabin4354347196</v>
      </c>
      <c r="D247">
        <f t="shared" si="78"/>
        <v>22</v>
      </c>
      <c r="E247" s="43" t="s">
        <v>322</v>
      </c>
      <c r="F247" s="43" t="s">
        <v>323</v>
      </c>
      <c r="G247" s="43" t="s">
        <v>25</v>
      </c>
      <c r="H247">
        <f t="shared" si="70"/>
        <v>0</v>
      </c>
      <c r="I247" s="43" t="s">
        <v>324</v>
      </c>
      <c r="J247" s="34">
        <f t="shared" si="79"/>
        <v>1</v>
      </c>
      <c r="K247" s="28">
        <v>43543</v>
      </c>
      <c r="L247" s="28">
        <v>47196</v>
      </c>
      <c r="M247" s="60">
        <f t="shared" si="71"/>
        <v>10.008219178082191</v>
      </c>
      <c r="N247" s="4">
        <f t="shared" si="72"/>
        <v>1</v>
      </c>
      <c r="O247" s="43" t="s">
        <v>44</v>
      </c>
      <c r="P247" t="str">
        <f t="shared" si="75"/>
        <v>0</v>
      </c>
      <c r="Q247" s="44">
        <v>100000</v>
      </c>
      <c r="R247" s="43">
        <v>10000</v>
      </c>
      <c r="S247" s="34" t="str">
        <f>IF($V247="USD",INDEX('Dólar Spot'!$B:$B,MATCH(Base!$K247,'Dólar Spot'!$A:$A,0)),"")</f>
        <v/>
      </c>
      <c r="T247" s="4">
        <f>Q247*R247</f>
        <v>1000000000</v>
      </c>
      <c r="U247" s="8">
        <f t="shared" si="76"/>
        <v>10</v>
      </c>
      <c r="V247" s="43" t="s">
        <v>41</v>
      </c>
      <c r="W247" s="45">
        <v>114.65</v>
      </c>
      <c r="X247" s="46"/>
      <c r="Y247" s="9">
        <f>IF(AND(V247="DI",$W247=100),$X247/100,
IF(AND(V247="DI",$W247&lt;&gt;100,$X247=""),INDEX('Debs %CDI'!$Q:$Q,MATCH(Base!$C247,'Debs %CDI'!$A:$A,0)),
IF($V247="USD",INDEX(Bonds!$AF:$AF,MATCH(Base!$C247,Bonds!$B:$B,0)),
IF($V247="IPCA",INDEX('Debs IPCA'!$Z:$Z,MATCH(Base!$C247,'Debs IPCA'!$A:$A,0))))))</f>
        <v>1.3197724978515095E-2</v>
      </c>
      <c r="Z247" s="43">
        <v>252</v>
      </c>
      <c r="AA247" s="43" t="s">
        <v>30</v>
      </c>
      <c r="AB247" s="43" t="s">
        <v>32</v>
      </c>
      <c r="AC247">
        <f t="shared" si="73"/>
        <v>0</v>
      </c>
      <c r="AD247" s="43" t="s">
        <v>31</v>
      </c>
      <c r="AE247">
        <f t="shared" si="74"/>
        <v>1</v>
      </c>
      <c r="AF247" s="34" t="str" cm="1">
        <f t="array" ref="AF247">INDEX(Ratings!$B$2:$M$40,_xlfn.XMATCH(Base!F247,Ratings!$A$2:$A$40),_xlfn.XMATCH(YEAR(Base!K247),Ratings!$B$1:$M$1))</f>
        <v>BB+</v>
      </c>
      <c r="AG247">
        <f t="shared" si="67"/>
        <v>0</v>
      </c>
      <c r="AH247">
        <f>IFERROR(IFERROR(IFERROR(INDEX('EMBI+'!$B:$B,MATCH(Base!$K247,'EMBI+'!$A:$A,0)),INDEX('EMBI+'!$B:$B,MATCH(Base!$K247+1,'EMBI+'!$A:$A,0))),INDEX('EMBI+'!$B:$B,MATCH(Base!$K247+2,'EMBI+'!$A:$A,0))),INDEX('EMBI+'!$B:$B,MATCH(Base!$K247+3,'EMBI+'!$A:$A,0)))/100</f>
        <v>2.4</v>
      </c>
      <c r="AL247" s="43"/>
      <c r="AM247" s="28"/>
      <c r="AN247" s="28"/>
    </row>
    <row r="248" spans="1:40" x14ac:dyDescent="0.35">
      <c r="A248">
        <f t="shared" si="68"/>
        <v>246</v>
      </c>
      <c r="B248">
        <f>IF(G248="Bonds",COUNTIF($G$3:G248,"Bonds"),0)</f>
        <v>70</v>
      </c>
      <c r="C248" t="str">
        <f t="shared" si="77"/>
        <v>Klabin4355803/04/2049</v>
      </c>
      <c r="D248">
        <f t="shared" si="78"/>
        <v>22</v>
      </c>
      <c r="E248" s="43" t="s">
        <v>325</v>
      </c>
      <c r="F248" s="43" t="s">
        <v>323</v>
      </c>
      <c r="G248" s="43" t="s">
        <v>34</v>
      </c>
      <c r="H248">
        <f t="shared" si="70"/>
        <v>1</v>
      </c>
      <c r="I248" s="43"/>
      <c r="J248" s="34">
        <f t="shared" si="79"/>
        <v>2</v>
      </c>
      <c r="K248" s="28">
        <v>43558</v>
      </c>
      <c r="L248" s="28" t="s">
        <v>326</v>
      </c>
      <c r="M248" s="60">
        <f t="shared" si="71"/>
        <v>30.021917808219179</v>
      </c>
      <c r="N248" s="4">
        <f t="shared" si="72"/>
        <v>1</v>
      </c>
      <c r="O248" s="43" t="s">
        <v>36</v>
      </c>
      <c r="P248" t="str">
        <f t="shared" si="75"/>
        <v>0</v>
      </c>
      <c r="Q248" s="43"/>
      <c r="R248" s="43"/>
      <c r="S248" s="34">
        <f>IF($V248="USD",INDEX('Dólar Spot'!$B:$B,MATCH(Base!$K248,'Dólar Spot'!$A:$A,0)),"")</f>
        <v>3.843</v>
      </c>
      <c r="T248" s="44">
        <v>500000000</v>
      </c>
      <c r="U248" s="8">
        <f t="shared" si="76"/>
        <v>19.215</v>
      </c>
      <c r="V248" s="43" t="s">
        <v>651</v>
      </c>
      <c r="W248" s="45" t="s">
        <v>29</v>
      </c>
      <c r="X248" s="53">
        <v>7</v>
      </c>
      <c r="Y248" s="9">
        <f>IF(AND(V248="DI",$W248=100),$X248/100,
IF(AND(V248="DI",$W248&lt;&gt;100,$X248=""),INDEX('Debs %CDI'!$Q:$Q,MATCH(Base!$C248,'Debs %CDI'!$A:$A,0)),
IF($V248="USD",INDEX(Bonds!$AF:$AF,MATCH(Base!$C248,Bonds!$B:$B,0)),
IF($V248="IPCA",INDEX('Debs IPCA'!$Z:$Z,MATCH(Base!$C248,'Debs IPCA'!$A:$A,0))))))</f>
        <v>4.0312141728838569E-2</v>
      </c>
      <c r="Z248" s="43">
        <v>360</v>
      </c>
      <c r="AA248" s="43" t="s">
        <v>37</v>
      </c>
      <c r="AB248" s="43" t="s">
        <v>32</v>
      </c>
      <c r="AC248">
        <f t="shared" si="73"/>
        <v>0</v>
      </c>
      <c r="AD248" s="43" t="s">
        <v>31</v>
      </c>
      <c r="AE248">
        <f t="shared" si="74"/>
        <v>1</v>
      </c>
      <c r="AF248" s="34" t="str" cm="1">
        <f t="array" ref="AF248">INDEX(Ratings!$B$2:$M$40,_xlfn.XMATCH(Base!F248,Ratings!$A$2:$A$40),_xlfn.XMATCH(YEAR(Base!K248),Ratings!$B$1:$M$1))</f>
        <v>BB+</v>
      </c>
      <c r="AG248">
        <f t="shared" si="67"/>
        <v>0</v>
      </c>
      <c r="AH248">
        <f>IFERROR(IFERROR(IFERROR(INDEX('EMBI+'!$B:$B,MATCH(Base!$K248,'EMBI+'!$A:$A,0)),INDEX('EMBI+'!$B:$B,MATCH(Base!$K248+1,'EMBI+'!$A:$A,0))),INDEX('EMBI+'!$B:$B,MATCH(Base!$K248+2,'EMBI+'!$A:$A,0))),INDEX('EMBI+'!$B:$B,MATCH(Base!$K248+3,'EMBI+'!$A:$A,0)))/100</f>
        <v>2.4900000000000002</v>
      </c>
      <c r="AL248" s="43"/>
      <c r="AM248" s="28"/>
      <c r="AN248" s="28"/>
    </row>
    <row r="249" spans="1:40" x14ac:dyDescent="0.35">
      <c r="A249">
        <f t="shared" si="68"/>
        <v>247</v>
      </c>
      <c r="B249">
        <f>IF(G249="Bonds",COUNTIF($G$3:G249,"Bonds"),0)</f>
        <v>71</v>
      </c>
      <c r="C249" t="str">
        <f t="shared" si="77"/>
        <v>Klabin4355803/04/2029</v>
      </c>
      <c r="D249">
        <f t="shared" si="78"/>
        <v>22</v>
      </c>
      <c r="E249" s="43" t="s">
        <v>325</v>
      </c>
      <c r="F249" s="43" t="s">
        <v>323</v>
      </c>
      <c r="G249" s="43" t="s">
        <v>34</v>
      </c>
      <c r="H249">
        <f t="shared" si="70"/>
        <v>1</v>
      </c>
      <c r="I249" s="43"/>
      <c r="J249" s="34">
        <f t="shared" si="79"/>
        <v>3</v>
      </c>
      <c r="K249" s="28">
        <v>43558</v>
      </c>
      <c r="L249" s="28" t="s">
        <v>327</v>
      </c>
      <c r="M249" s="60">
        <f t="shared" si="71"/>
        <v>10.008219178082191</v>
      </c>
      <c r="N249" s="4">
        <f t="shared" si="72"/>
        <v>1</v>
      </c>
      <c r="O249" s="43" t="s">
        <v>36</v>
      </c>
      <c r="P249" t="str">
        <f t="shared" si="75"/>
        <v>0</v>
      </c>
      <c r="Q249" s="43"/>
      <c r="R249" s="43"/>
      <c r="S249" s="34">
        <f>IF($V249="USD",INDEX('Dólar Spot'!$B:$B,MATCH(Base!$K249,'Dólar Spot'!$A:$A,0)),"")</f>
        <v>3.843</v>
      </c>
      <c r="T249" s="44">
        <v>500000000</v>
      </c>
      <c r="U249" s="8">
        <f t="shared" si="76"/>
        <v>19.215</v>
      </c>
      <c r="V249" s="43" t="s">
        <v>651</v>
      </c>
      <c r="W249" s="45" t="s">
        <v>29</v>
      </c>
      <c r="X249" s="53">
        <v>5.75</v>
      </c>
      <c r="Y249" s="9">
        <f>IF(AND(V249="DI",$W249=100),$X249/100,
IF(AND(V249="DI",$W249&lt;&gt;100,$X249=""),INDEX('Debs %CDI'!$Q:$Q,MATCH(Base!$C249,'Debs %CDI'!$A:$A,0)),
IF($V249="USD",INDEX(Bonds!$AF:$AF,MATCH(Base!$C249,Bonds!$B:$B,0)),
IF($V249="IPCA",INDEX('Debs IPCA'!$Z:$Z,MATCH(Base!$C249,'Debs IPCA'!$A:$A,0))))))</f>
        <v>2.0409370729472132E-2</v>
      </c>
      <c r="Z249" s="43">
        <v>360</v>
      </c>
      <c r="AA249" s="43" t="s">
        <v>37</v>
      </c>
      <c r="AB249" s="43" t="s">
        <v>32</v>
      </c>
      <c r="AC249">
        <f t="shared" si="73"/>
        <v>0</v>
      </c>
      <c r="AD249" s="43" t="s">
        <v>31</v>
      </c>
      <c r="AE249">
        <f t="shared" si="74"/>
        <v>1</v>
      </c>
      <c r="AF249" s="34" t="str" cm="1">
        <f t="array" ref="AF249">INDEX(Ratings!$B$2:$M$40,_xlfn.XMATCH(Base!F249,Ratings!$A$2:$A$40),_xlfn.XMATCH(YEAR(Base!K249),Ratings!$B$1:$M$1))</f>
        <v>BB+</v>
      </c>
      <c r="AG249">
        <f t="shared" si="67"/>
        <v>0</v>
      </c>
      <c r="AH249">
        <f>IFERROR(IFERROR(IFERROR(INDEX('EMBI+'!$B:$B,MATCH(Base!$K249,'EMBI+'!$A:$A,0)),INDEX('EMBI+'!$B:$B,MATCH(Base!$K249+1,'EMBI+'!$A:$A,0))),INDEX('EMBI+'!$B:$B,MATCH(Base!$K249+2,'EMBI+'!$A:$A,0))),INDEX('EMBI+'!$B:$B,MATCH(Base!$K249+3,'EMBI+'!$A:$A,0)))/100</f>
        <v>2.4900000000000002</v>
      </c>
      <c r="AL249" s="43"/>
      <c r="AM249" s="28"/>
      <c r="AN249" s="28"/>
    </row>
    <row r="250" spans="1:40" x14ac:dyDescent="0.35">
      <c r="A250">
        <f t="shared" si="68"/>
        <v>248</v>
      </c>
      <c r="B250">
        <f>IF(G250="Bonds",COUNTIF($G$3:G250,"Bonds"),0)</f>
        <v>72</v>
      </c>
      <c r="C250" t="str">
        <f t="shared" si="77"/>
        <v>Klabin4420812/01/2031</v>
      </c>
      <c r="D250">
        <f t="shared" si="78"/>
        <v>22</v>
      </c>
      <c r="E250" s="43" t="s">
        <v>325</v>
      </c>
      <c r="F250" s="43" t="s">
        <v>323</v>
      </c>
      <c r="G250" s="43" t="s">
        <v>34</v>
      </c>
      <c r="H250">
        <f t="shared" si="70"/>
        <v>1</v>
      </c>
      <c r="I250" s="43"/>
      <c r="J250" s="34">
        <f t="shared" si="79"/>
        <v>4</v>
      </c>
      <c r="K250" s="28">
        <v>44208</v>
      </c>
      <c r="L250" s="28" t="s">
        <v>328</v>
      </c>
      <c r="M250" s="60">
        <f t="shared" si="71"/>
        <v>10.005479452054795</v>
      </c>
      <c r="N250" s="4">
        <f t="shared" si="72"/>
        <v>1</v>
      </c>
      <c r="O250" s="43" t="s">
        <v>36</v>
      </c>
      <c r="P250" t="str">
        <f t="shared" si="75"/>
        <v>0</v>
      </c>
      <c r="Q250" s="43"/>
      <c r="R250" s="43"/>
      <c r="S250" s="34">
        <f>IF($V250="USD",INDEX('Dólar Spot'!$B:$B,MATCH(Base!$K250,'Dólar Spot'!$A:$A,0)),"")</f>
        <v>5.4630999999999998</v>
      </c>
      <c r="T250" s="44">
        <v>500000000</v>
      </c>
      <c r="U250" s="8">
        <f t="shared" si="76"/>
        <v>27.3155</v>
      </c>
      <c r="V250" s="43" t="s">
        <v>651</v>
      </c>
      <c r="W250" s="45" t="s">
        <v>29</v>
      </c>
      <c r="X250" s="53">
        <v>3.2</v>
      </c>
      <c r="Y250" s="9">
        <f>IF(AND(V250="DI",$W250=100),$X250/100,
IF(AND(V250="DI",$W250&lt;&gt;100,$X250=""),INDEX('Debs %CDI'!$Q:$Q,MATCH(Base!$C250,'Debs %CDI'!$A:$A,0)),
IF($V250="USD",INDEX(Bonds!$AF:$AF,MATCH(Base!$C250,Bonds!$B:$B,0)),
IF($V250="IPCA",INDEX('Debs IPCA'!$Z:$Z,MATCH(Base!$C250,'Debs IPCA'!$A:$A,0))))))</f>
        <v>1.6201249241704074E-2</v>
      </c>
      <c r="Z250" s="43">
        <v>360</v>
      </c>
      <c r="AA250" s="43" t="s">
        <v>37</v>
      </c>
      <c r="AB250" s="43" t="s">
        <v>32</v>
      </c>
      <c r="AC250">
        <f t="shared" si="73"/>
        <v>0</v>
      </c>
      <c r="AD250" s="43" t="s">
        <v>31</v>
      </c>
      <c r="AE250">
        <f t="shared" si="74"/>
        <v>1</v>
      </c>
      <c r="AF250" s="34" t="str" cm="1">
        <f t="array" ref="AF250">INDEX(Ratings!$B$2:$M$40,_xlfn.XMATCH(Base!F250,Ratings!$A$2:$A$40),_xlfn.XMATCH(YEAR(Base!K250),Ratings!$B$1:$M$1))</f>
        <v>BB+</v>
      </c>
      <c r="AG250">
        <f t="shared" si="67"/>
        <v>0</v>
      </c>
      <c r="AH250">
        <f>IFERROR(IFERROR(IFERROR(INDEX('EMBI+'!$B:$B,MATCH(Base!$K250,'EMBI+'!$A:$A,0)),INDEX('EMBI+'!$B:$B,MATCH(Base!$K250+1,'EMBI+'!$A:$A,0))),INDEX('EMBI+'!$B:$B,MATCH(Base!$K250+2,'EMBI+'!$A:$A,0))),INDEX('EMBI+'!$B:$B,MATCH(Base!$K250+3,'EMBI+'!$A:$A,0)))/100</f>
        <v>2.73</v>
      </c>
      <c r="AL250" s="43"/>
      <c r="AM250" s="28"/>
      <c r="AN250" s="28"/>
    </row>
    <row r="251" spans="1:40" x14ac:dyDescent="0.35">
      <c r="A251">
        <f t="shared" si="68"/>
        <v>249</v>
      </c>
      <c r="B251">
        <f>IF(G251="Bonds",COUNTIF($G$3:G251,"Bonds"),0)</f>
        <v>73</v>
      </c>
      <c r="C251" t="str">
        <f t="shared" si="77"/>
        <v>Klabin4299719/09/2027</v>
      </c>
      <c r="D251">
        <f t="shared" si="78"/>
        <v>22</v>
      </c>
      <c r="E251" s="43" t="s">
        <v>325</v>
      </c>
      <c r="F251" s="43" t="s">
        <v>323</v>
      </c>
      <c r="G251" s="43" t="s">
        <v>34</v>
      </c>
      <c r="H251">
        <f t="shared" si="70"/>
        <v>1</v>
      </c>
      <c r="I251" s="43"/>
      <c r="J251" s="34">
        <f t="shared" si="79"/>
        <v>5</v>
      </c>
      <c r="K251" s="28">
        <v>42997</v>
      </c>
      <c r="L251" s="28" t="s">
        <v>329</v>
      </c>
      <c r="M251" s="60">
        <f t="shared" si="71"/>
        <v>10.005479452054795</v>
      </c>
      <c r="N251" s="4">
        <f t="shared" si="72"/>
        <v>1</v>
      </c>
      <c r="O251" s="43" t="s">
        <v>36</v>
      </c>
      <c r="P251" t="str">
        <f t="shared" si="75"/>
        <v>0</v>
      </c>
      <c r="Q251" s="43"/>
      <c r="R251" s="43"/>
      <c r="S251" s="34">
        <f>IF($V251="USD",INDEX('Dólar Spot'!$B:$B,MATCH(Base!$K251,'Dólar Spot'!$A:$A,0)),"")</f>
        <v>3.1316999999999999</v>
      </c>
      <c r="T251" s="44">
        <v>500000000</v>
      </c>
      <c r="U251" s="8">
        <f t="shared" si="76"/>
        <v>15.6585</v>
      </c>
      <c r="V251" s="43" t="s">
        <v>651</v>
      </c>
      <c r="W251" s="45" t="s">
        <v>29</v>
      </c>
      <c r="X251" s="53">
        <v>4.875</v>
      </c>
      <c r="Y251" s="9">
        <f>IF(AND(V251="DI",$W251=100),$X251/100,
IF(AND(V251="DI",$W251&lt;&gt;100,$X251=""),INDEX('Debs %CDI'!$Q:$Q,MATCH(Base!$C251,'Debs %CDI'!$A:$A,0)),
IF($V251="USD",INDEX(Bonds!$AF:$AF,MATCH(Base!$C251,Bonds!$B:$B,0)),
IF($V251="IPCA",INDEX('Debs IPCA'!$Z:$Z,MATCH(Base!$C251,'Debs IPCA'!$A:$A,0))))))</f>
        <v>7.9904938668893255E-3</v>
      </c>
      <c r="Z251" s="43">
        <v>360</v>
      </c>
      <c r="AA251" s="43" t="s">
        <v>37</v>
      </c>
      <c r="AB251" s="43" t="s">
        <v>32</v>
      </c>
      <c r="AC251">
        <f t="shared" si="73"/>
        <v>0</v>
      </c>
      <c r="AD251" s="43" t="s">
        <v>32</v>
      </c>
      <c r="AE251">
        <f t="shared" si="74"/>
        <v>0</v>
      </c>
      <c r="AF251" s="34" t="str" cm="1">
        <f t="array" ref="AF251">INDEX(Ratings!$B$2:$M$40,_xlfn.XMATCH(Base!F251,Ratings!$A$2:$A$40),_xlfn.XMATCH(YEAR(Base!K251),Ratings!$B$1:$M$1))</f>
        <v>BB+</v>
      </c>
      <c r="AG251">
        <f t="shared" si="67"/>
        <v>0</v>
      </c>
      <c r="AH251">
        <f>IFERROR(IFERROR(IFERROR(INDEX('EMBI+'!$B:$B,MATCH(Base!$K251,'EMBI+'!$A:$A,0)),INDEX('EMBI+'!$B:$B,MATCH(Base!$K251+1,'EMBI+'!$A:$A,0))),INDEX('EMBI+'!$B:$B,MATCH(Base!$K251+2,'EMBI+'!$A:$A,0))),INDEX('EMBI+'!$B:$B,MATCH(Base!$K251+3,'EMBI+'!$A:$A,0)))/100</f>
        <v>2.52</v>
      </c>
      <c r="AL251" s="43"/>
      <c r="AM251" s="28"/>
      <c r="AN251" s="28"/>
    </row>
    <row r="252" spans="1:40" x14ac:dyDescent="0.35">
      <c r="A252">
        <f t="shared" si="68"/>
        <v>250</v>
      </c>
      <c r="B252">
        <f>IF(G252="Bonds",COUNTIF($G$3:G252,"Bonds"),0)</f>
        <v>74</v>
      </c>
      <c r="C252" t="str">
        <f t="shared" si="77"/>
        <v>Klabin4183616/07/2024</v>
      </c>
      <c r="D252">
        <f t="shared" si="78"/>
        <v>22</v>
      </c>
      <c r="E252" s="43" t="s">
        <v>325</v>
      </c>
      <c r="F252" s="43" t="s">
        <v>323</v>
      </c>
      <c r="G252" s="43" t="s">
        <v>34</v>
      </c>
      <c r="H252">
        <f t="shared" si="70"/>
        <v>1</v>
      </c>
      <c r="I252" s="43"/>
      <c r="J252" s="34">
        <f t="shared" si="79"/>
        <v>6</v>
      </c>
      <c r="K252" s="28">
        <v>41836</v>
      </c>
      <c r="L252" s="28" t="s">
        <v>330</v>
      </c>
      <c r="M252" s="60">
        <f t="shared" si="71"/>
        <v>10.008219178082191</v>
      </c>
      <c r="N252" s="4">
        <f t="shared" si="72"/>
        <v>1</v>
      </c>
      <c r="O252" s="43" t="s">
        <v>36</v>
      </c>
      <c r="P252" t="str">
        <f t="shared" si="75"/>
        <v>0</v>
      </c>
      <c r="Q252" s="43"/>
      <c r="R252" s="43"/>
      <c r="S252" s="34">
        <f>IF($V252="USD",INDEX('Dólar Spot'!$B:$B,MATCH(Base!$K252,'Dólar Spot'!$A:$A,0)),"")</f>
        <v>2.2187000000000001</v>
      </c>
      <c r="T252" s="44">
        <v>500000000</v>
      </c>
      <c r="U252" s="8">
        <f t="shared" si="76"/>
        <v>11.093500000000001</v>
      </c>
      <c r="V252" s="43" t="s">
        <v>651</v>
      </c>
      <c r="W252" s="45" t="s">
        <v>29</v>
      </c>
      <c r="X252" s="53">
        <v>5.25</v>
      </c>
      <c r="Y252" s="9">
        <f>IF(AND(V252="DI",$W252=100),$X252/100,
IF(AND(V252="DI",$W252&lt;&gt;100,$X252=""),INDEX('Debs %CDI'!$Q:$Q,MATCH(Base!$C252,'Debs %CDI'!$A:$A,0)),
IF($V252="USD",INDEX(Bonds!$AF:$AF,MATCH(Base!$C252,Bonds!$B:$B,0)),
IF($V252="IPCA",INDEX('Debs IPCA'!$Z:$Z,MATCH(Base!$C252,'Debs IPCA'!$A:$A,0))))))</f>
        <v>1.1766151987582685E-2</v>
      </c>
      <c r="Z252" s="43">
        <v>360</v>
      </c>
      <c r="AA252" s="43" t="s">
        <v>37</v>
      </c>
      <c r="AB252" s="43" t="s">
        <v>32</v>
      </c>
      <c r="AC252">
        <f t="shared" si="73"/>
        <v>0</v>
      </c>
      <c r="AD252" s="43" t="s">
        <v>32</v>
      </c>
      <c r="AE252">
        <f t="shared" si="74"/>
        <v>0</v>
      </c>
      <c r="AF252" s="34" t="str" cm="1">
        <f t="array" ref="AF252">INDEX(Ratings!$B$2:$M$40,_xlfn.XMATCH(Base!F252,Ratings!$A$2:$A$40),_xlfn.XMATCH(YEAR(Base!K252),Ratings!$B$1:$M$1))</f>
        <v>BBB-</v>
      </c>
      <c r="AG252">
        <f t="shared" si="67"/>
        <v>1</v>
      </c>
      <c r="AH252">
        <f>IFERROR(IFERROR(IFERROR(INDEX('EMBI+'!$B:$B,MATCH(Base!$K252,'EMBI+'!$A:$A,0)),INDEX('EMBI+'!$B:$B,MATCH(Base!$K252+1,'EMBI+'!$A:$A,0))),INDEX('EMBI+'!$B:$B,MATCH(Base!$K252+2,'EMBI+'!$A:$A,0))),INDEX('EMBI+'!$B:$B,MATCH(Base!$K252+3,'EMBI+'!$A:$A,0)))/100</f>
        <v>2.14</v>
      </c>
      <c r="AL252" s="43"/>
      <c r="AM252" s="28"/>
      <c r="AN252" s="28"/>
    </row>
    <row r="253" spans="1:40" x14ac:dyDescent="0.35">
      <c r="A253">
        <f t="shared" si="68"/>
        <v>251</v>
      </c>
      <c r="B253">
        <f>IF(G253="Bonds",COUNTIF($G$3:G253,"Bonds"),0)</f>
        <v>75</v>
      </c>
      <c r="C253" t="str">
        <f t="shared" si="77"/>
        <v>Klabin4385103/04/2049</v>
      </c>
      <c r="D253">
        <f t="shared" si="78"/>
        <v>22</v>
      </c>
      <c r="E253" s="43" t="s">
        <v>325</v>
      </c>
      <c r="F253" s="43" t="s">
        <v>323</v>
      </c>
      <c r="G253" s="43" t="s">
        <v>34</v>
      </c>
      <c r="H253">
        <f t="shared" si="70"/>
        <v>1</v>
      </c>
      <c r="I253" s="43"/>
      <c r="J253" s="34">
        <f t="shared" si="79"/>
        <v>7</v>
      </c>
      <c r="K253" s="28">
        <v>43851</v>
      </c>
      <c r="L253" s="28" t="s">
        <v>326</v>
      </c>
      <c r="M253" s="60">
        <f t="shared" si="71"/>
        <v>29.219178082191782</v>
      </c>
      <c r="N253" s="4">
        <f t="shared" si="72"/>
        <v>1</v>
      </c>
      <c r="O253" s="43" t="s">
        <v>36</v>
      </c>
      <c r="P253" t="str">
        <f t="shared" si="75"/>
        <v>0</v>
      </c>
      <c r="Q253" s="43"/>
      <c r="R253" s="43"/>
      <c r="S253" s="34">
        <f>IF($V253="USD",INDEX('Dólar Spot'!$B:$B,MATCH(Base!$K253,'Dólar Spot'!$A:$A,0)),"")</f>
        <v>4.2008000000000001</v>
      </c>
      <c r="T253" s="44">
        <v>200000000</v>
      </c>
      <c r="U253" s="8">
        <f t="shared" si="76"/>
        <v>8.4016000000000002</v>
      </c>
      <c r="V253" s="43" t="s">
        <v>651</v>
      </c>
      <c r="W253" s="45" t="s">
        <v>29</v>
      </c>
      <c r="X253" s="53">
        <v>7</v>
      </c>
      <c r="Y253" s="9">
        <f>IF(AND(V253="DI",$W253=100),$X253/100,
IF(AND(V253="DI",$W253&lt;&gt;100,$X253=""),INDEX('Debs %CDI'!$Q:$Q,MATCH(Base!$C253,'Debs %CDI'!$A:$A,0)),
IF($V253="USD",INDEX(Bonds!$AF:$AF,MATCH(Base!$C253,Bonds!$B:$B,0)),
IF($V253="IPCA",INDEX('Debs IPCA'!$Z:$Z,MATCH(Base!$C253,'Debs IPCA'!$A:$A,0))))))</f>
        <v>4.6014971236980839E-2</v>
      </c>
      <c r="Z253" s="43">
        <v>360</v>
      </c>
      <c r="AA253" s="43" t="s">
        <v>37</v>
      </c>
      <c r="AB253" s="43" t="s">
        <v>32</v>
      </c>
      <c r="AC253">
        <f t="shared" si="73"/>
        <v>0</v>
      </c>
      <c r="AD253" s="43" t="s">
        <v>31</v>
      </c>
      <c r="AE253">
        <f t="shared" si="74"/>
        <v>1</v>
      </c>
      <c r="AF253" s="34" t="str" cm="1">
        <f t="array" ref="AF253">INDEX(Ratings!$B$2:$M$40,_xlfn.XMATCH(Base!F253,Ratings!$A$2:$A$40),_xlfn.XMATCH(YEAR(Base!K253),Ratings!$B$1:$M$1))</f>
        <v>BB+</v>
      </c>
      <c r="AG253">
        <f t="shared" si="67"/>
        <v>0</v>
      </c>
      <c r="AH253">
        <f>IFERROR(IFERROR(IFERROR(INDEX('EMBI+'!$B:$B,MATCH(Base!$K253,'EMBI+'!$A:$A,0)),INDEX('EMBI+'!$B:$B,MATCH(Base!$K253+1,'EMBI+'!$A:$A,0))),INDEX('EMBI+'!$B:$B,MATCH(Base!$K253+2,'EMBI+'!$A:$A,0))),INDEX('EMBI+'!$B:$B,MATCH(Base!$K253+3,'EMBI+'!$A:$A,0)))/100</f>
        <v>2.14</v>
      </c>
      <c r="AL253" s="43"/>
      <c r="AM253" s="28"/>
      <c r="AN253" s="28"/>
    </row>
    <row r="254" spans="1:40" x14ac:dyDescent="0.35">
      <c r="A254">
        <f t="shared" si="68"/>
        <v>252</v>
      </c>
      <c r="B254">
        <f>IF(G254="Bonds",COUNTIF($G$3:G254,"Bonds"),0)</f>
        <v>76</v>
      </c>
      <c r="C254" t="str">
        <f t="shared" si="77"/>
        <v>Klabin4365703/04/2029</v>
      </c>
      <c r="D254">
        <f t="shared" si="78"/>
        <v>22</v>
      </c>
      <c r="E254" s="43" t="s">
        <v>325</v>
      </c>
      <c r="F254" s="43" t="s">
        <v>323</v>
      </c>
      <c r="G254" s="43" t="s">
        <v>34</v>
      </c>
      <c r="H254">
        <f t="shared" si="70"/>
        <v>1</v>
      </c>
      <c r="I254" s="43"/>
      <c r="J254" s="34">
        <f t="shared" si="79"/>
        <v>8</v>
      </c>
      <c r="K254" s="28">
        <v>43657</v>
      </c>
      <c r="L254" s="28" t="s">
        <v>327</v>
      </c>
      <c r="M254" s="60">
        <f t="shared" si="71"/>
        <v>9.7369863013698623</v>
      </c>
      <c r="N254" s="4">
        <f t="shared" si="72"/>
        <v>1</v>
      </c>
      <c r="O254" s="43" t="s">
        <v>36</v>
      </c>
      <c r="P254" t="str">
        <f t="shared" si="75"/>
        <v>0</v>
      </c>
      <c r="Q254" s="43"/>
      <c r="R254" s="43"/>
      <c r="S254" s="34">
        <f>IF($V254="USD",INDEX('Dólar Spot'!$B:$B,MATCH(Base!$K254,'Dólar Spot'!$A:$A,0)),"")</f>
        <v>3.7526999999999999</v>
      </c>
      <c r="T254" s="44">
        <v>250000000</v>
      </c>
      <c r="U254" s="8">
        <f t="shared" si="76"/>
        <v>9.3817500000000003</v>
      </c>
      <c r="V254" s="43" t="s">
        <v>651</v>
      </c>
      <c r="W254" s="45" t="s">
        <v>29</v>
      </c>
      <c r="X254" s="53">
        <v>5.75</v>
      </c>
      <c r="Y254" s="9">
        <f>IF(AND(V254="DI",$W254=100),$X254/100,
IF(AND(V254="DI",$W254&lt;&gt;100,$X254=""),INDEX('Debs %CDI'!$Q:$Q,MATCH(Base!$C254,'Debs %CDI'!$A:$A,0)),
IF($V254="USD",INDEX(Bonds!$AF:$AF,MATCH(Base!$C254,Bonds!$B:$B,0)),
IF($V254="IPCA",INDEX('Debs IPCA'!$Z:$Z,MATCH(Base!$C254,'Debs IPCA'!$A:$A,0))))))</f>
        <v>2.7905437766002184E-2</v>
      </c>
      <c r="Z254" s="43">
        <v>360</v>
      </c>
      <c r="AA254" s="43" t="s">
        <v>37</v>
      </c>
      <c r="AB254" s="43" t="s">
        <v>32</v>
      </c>
      <c r="AC254">
        <f t="shared" si="73"/>
        <v>0</v>
      </c>
      <c r="AD254" s="43" t="s">
        <v>31</v>
      </c>
      <c r="AE254">
        <f t="shared" si="74"/>
        <v>1</v>
      </c>
      <c r="AF254" s="34" t="str" cm="1">
        <f t="array" ref="AF254">INDEX(Ratings!$B$2:$M$40,_xlfn.XMATCH(Base!F254,Ratings!$A$2:$A$40),_xlfn.XMATCH(YEAR(Base!K254),Ratings!$B$1:$M$1))</f>
        <v>BB+</v>
      </c>
      <c r="AG254">
        <f t="shared" si="67"/>
        <v>0</v>
      </c>
      <c r="AH254">
        <f>IFERROR(IFERROR(IFERROR(INDEX('EMBI+'!$B:$B,MATCH(Base!$K254,'EMBI+'!$A:$A,0)),INDEX('EMBI+'!$B:$B,MATCH(Base!$K254+1,'EMBI+'!$A:$A,0))),INDEX('EMBI+'!$B:$B,MATCH(Base!$K254+2,'EMBI+'!$A:$A,0))),INDEX('EMBI+'!$B:$B,MATCH(Base!$K254+3,'EMBI+'!$A:$A,0)))/100</f>
        <v>2.1800000000000002</v>
      </c>
      <c r="AL254" s="43"/>
      <c r="AM254" s="28"/>
      <c r="AN254" s="28"/>
    </row>
    <row r="255" spans="1:40" x14ac:dyDescent="0.35">
      <c r="A255">
        <f t="shared" si="68"/>
        <v>253</v>
      </c>
      <c r="B255">
        <f>IF(G255="Bonds",COUNTIF($G$3:G255,"Bonds"),0)</f>
        <v>0</v>
      </c>
      <c r="C255" t="str">
        <f t="shared" si="77"/>
        <v>Light Energia4064341985</v>
      </c>
      <c r="D255">
        <f t="shared" si="78"/>
        <v>23</v>
      </c>
      <c r="E255" s="43" t="s">
        <v>331</v>
      </c>
      <c r="F255" s="43" t="s">
        <v>332</v>
      </c>
      <c r="G255" s="43" t="s">
        <v>25</v>
      </c>
      <c r="H255">
        <f t="shared" si="70"/>
        <v>0</v>
      </c>
      <c r="I255" s="43" t="s">
        <v>333</v>
      </c>
      <c r="J255" s="34">
        <f t="shared" si="79"/>
        <v>1</v>
      </c>
      <c r="K255" s="28">
        <v>40643</v>
      </c>
      <c r="L255" s="28">
        <v>41985</v>
      </c>
      <c r="M255" s="60">
        <f t="shared" si="71"/>
        <v>3.6767123287671235</v>
      </c>
      <c r="N255" s="4">
        <f t="shared" si="72"/>
        <v>0</v>
      </c>
      <c r="O255" s="43" t="s">
        <v>44</v>
      </c>
      <c r="P255" t="str">
        <f t="shared" si="75"/>
        <v>0</v>
      </c>
      <c r="Q255" s="44">
        <v>17000</v>
      </c>
      <c r="R255" s="43">
        <v>10000</v>
      </c>
      <c r="S255" s="34" t="str">
        <f>IF($V255="USD",INDEX('Dólar Spot'!$B:$B,MATCH(Base!$K255,'Dólar Spot'!$A:$A,0)),"")</f>
        <v/>
      </c>
      <c r="T255" s="4">
        <f t="shared" ref="T255:T287" si="81">Q255*R255</f>
        <v>170000000</v>
      </c>
      <c r="U255" s="8">
        <f t="shared" si="76"/>
        <v>1.7</v>
      </c>
      <c r="V255" s="43" t="s">
        <v>41</v>
      </c>
      <c r="W255" s="45">
        <v>100</v>
      </c>
      <c r="X255" s="46">
        <v>1.45</v>
      </c>
      <c r="Y255" s="9">
        <f>IF(AND(V255="DI",$W255=100),$X255/100,
IF(AND(V255="DI",$W255&lt;&gt;100,$X255=""),INDEX('Debs %CDI'!$Q:$Q,MATCH(Base!$C255,'Debs %CDI'!$A:$A,0)),
IF($V255="USD",INDEX(Bonds!$AF:$AF,MATCH(Base!$C255,Bonds!$B:$B,0)),
IF($V255="IPCA",INDEX('Debs IPCA'!$Z:$Z,MATCH(Base!$C255,'Debs IPCA'!$A:$A,0))))))</f>
        <v>1.4499999999999999E-2</v>
      </c>
      <c r="Z255" s="43">
        <v>252</v>
      </c>
      <c r="AA255" s="43" t="s">
        <v>30</v>
      </c>
      <c r="AB255" s="43" t="s">
        <v>32</v>
      </c>
      <c r="AC255">
        <f t="shared" si="73"/>
        <v>0</v>
      </c>
      <c r="AD255" s="43" t="s">
        <v>31</v>
      </c>
      <c r="AE255">
        <f t="shared" si="74"/>
        <v>1</v>
      </c>
      <c r="AF255" s="34" t="str" cm="1">
        <f t="array" ref="AF255">INDEX(Ratings!$B$2:$M$40,_xlfn.XMATCH(Base!F255,Ratings!$A$2:$A$40),_xlfn.XMATCH(YEAR(Base!K255),Ratings!$B$1:$M$1))</f>
        <v>NR</v>
      </c>
      <c r="AG255">
        <f t="shared" si="67"/>
        <v>0</v>
      </c>
      <c r="AH255">
        <f>IFERROR(IFERROR(IFERROR(INDEX('EMBI+'!$B:$B,MATCH(Base!$K255,'EMBI+'!$A:$A,0)),INDEX('EMBI+'!$B:$B,MATCH(Base!$K255+1,'EMBI+'!$A:$A,0))),INDEX('EMBI+'!$B:$B,MATCH(Base!$K255+2,'EMBI+'!$A:$A,0))),INDEX('EMBI+'!$B:$B,MATCH(Base!$K255+3,'EMBI+'!$A:$A,0)))/100</f>
        <v>1.64</v>
      </c>
      <c r="AL255" s="43"/>
      <c r="AM255" s="28"/>
      <c r="AN255" s="28"/>
    </row>
    <row r="256" spans="1:40" x14ac:dyDescent="0.35">
      <c r="A256">
        <f t="shared" si="68"/>
        <v>254</v>
      </c>
      <c r="B256">
        <f>IF(G256="Bonds",COUNTIF($G$3:G256,"Bonds"),0)</f>
        <v>0</v>
      </c>
      <c r="C256" t="str">
        <f t="shared" si="77"/>
        <v>Light Energia4269043055</v>
      </c>
      <c r="D256">
        <f t="shared" si="78"/>
        <v>23</v>
      </c>
      <c r="E256" s="43" t="s">
        <v>331</v>
      </c>
      <c r="F256" s="43" t="s">
        <v>332</v>
      </c>
      <c r="G256" s="43" t="s">
        <v>25</v>
      </c>
      <c r="H256">
        <f t="shared" si="70"/>
        <v>0</v>
      </c>
      <c r="I256" s="43" t="s">
        <v>334</v>
      </c>
      <c r="J256" s="34">
        <f t="shared" si="79"/>
        <v>2</v>
      </c>
      <c r="K256" s="28">
        <v>42690</v>
      </c>
      <c r="L256" s="28">
        <v>43055</v>
      </c>
      <c r="M256" s="60">
        <f t="shared" si="71"/>
        <v>1</v>
      </c>
      <c r="N256" s="4">
        <f t="shared" si="72"/>
        <v>0</v>
      </c>
      <c r="O256" s="43" t="s">
        <v>44</v>
      </c>
      <c r="P256" t="str">
        <f t="shared" si="75"/>
        <v>0</v>
      </c>
      <c r="Q256" s="44">
        <v>100000</v>
      </c>
      <c r="R256" s="43">
        <v>1000</v>
      </c>
      <c r="S256" s="34" t="str">
        <f>IF($V256="USD",INDEX('Dólar Spot'!$B:$B,MATCH(Base!$K256,'Dólar Spot'!$A:$A,0)),"")</f>
        <v/>
      </c>
      <c r="T256" s="4">
        <f t="shared" si="81"/>
        <v>100000000</v>
      </c>
      <c r="U256" s="8">
        <f t="shared" si="76"/>
        <v>1</v>
      </c>
      <c r="V256" s="43" t="s">
        <v>41</v>
      </c>
      <c r="W256" s="45">
        <v>100</v>
      </c>
      <c r="X256" s="46">
        <v>4</v>
      </c>
      <c r="Y256" s="9">
        <f>IF(AND(V256="DI",$W256=100),$X256/100,
IF(AND(V256="DI",$W256&lt;&gt;100,$X256=""),INDEX('Debs %CDI'!$Q:$Q,MATCH(Base!$C256,'Debs %CDI'!$A:$A,0)),
IF($V256="USD",INDEX(Bonds!$AF:$AF,MATCH(Base!$C256,Bonds!$B:$B,0)),
IF($V256="IPCA",INDEX('Debs IPCA'!$Z:$Z,MATCH(Base!$C256,'Debs IPCA'!$A:$A,0))))))</f>
        <v>0.04</v>
      </c>
      <c r="Z256" s="43">
        <v>252</v>
      </c>
      <c r="AA256" s="43" t="s">
        <v>30</v>
      </c>
      <c r="AB256" s="43" t="s">
        <v>32</v>
      </c>
      <c r="AC256">
        <f t="shared" si="73"/>
        <v>0</v>
      </c>
      <c r="AD256" s="43" t="s">
        <v>32</v>
      </c>
      <c r="AE256">
        <f t="shared" si="74"/>
        <v>0</v>
      </c>
      <c r="AF256" s="34" t="str" cm="1">
        <f t="array" ref="AF256">INDEX(Ratings!$B$2:$M$40,_xlfn.XMATCH(Base!F256,Ratings!$A$2:$A$40),_xlfn.XMATCH(YEAR(Base!K256),Ratings!$B$1:$M$1))</f>
        <v>NR</v>
      </c>
      <c r="AG256">
        <f t="shared" si="67"/>
        <v>0</v>
      </c>
      <c r="AH256">
        <f>IFERROR(IFERROR(IFERROR(INDEX('EMBI+'!$B:$B,MATCH(Base!$K256,'EMBI+'!$A:$A,0)),INDEX('EMBI+'!$B:$B,MATCH(Base!$K256+1,'EMBI+'!$A:$A,0))),INDEX('EMBI+'!$B:$B,MATCH(Base!$K256+2,'EMBI+'!$A:$A,0))),INDEX('EMBI+'!$B:$B,MATCH(Base!$K256+3,'EMBI+'!$A:$A,0)))/100</f>
        <v>3.29</v>
      </c>
      <c r="AL256" s="43"/>
      <c r="AM256" s="28"/>
      <c r="AN256" s="28"/>
    </row>
    <row r="257" spans="1:40" x14ac:dyDescent="0.35">
      <c r="A257">
        <f t="shared" si="68"/>
        <v>255</v>
      </c>
      <c r="B257">
        <f>IF(G257="Bonds",COUNTIF($G$3:G257,"Bonds"),0)</f>
        <v>0</v>
      </c>
      <c r="C257" t="str">
        <f t="shared" si="77"/>
        <v>Light Energia4284543373</v>
      </c>
      <c r="D257">
        <f t="shared" si="78"/>
        <v>23</v>
      </c>
      <c r="E257" s="43" t="s">
        <v>331</v>
      </c>
      <c r="F257" s="43" t="s">
        <v>332</v>
      </c>
      <c r="G257" s="43" t="s">
        <v>25</v>
      </c>
      <c r="H257">
        <f t="shared" si="70"/>
        <v>0</v>
      </c>
      <c r="I257" s="43" t="s">
        <v>335</v>
      </c>
      <c r="J257" s="34">
        <f t="shared" si="79"/>
        <v>3</v>
      </c>
      <c r="K257" s="28">
        <v>42845</v>
      </c>
      <c r="L257" s="28">
        <v>43373</v>
      </c>
      <c r="M257" s="60">
        <f t="shared" si="71"/>
        <v>1.4465753424657535</v>
      </c>
      <c r="N257" s="4">
        <f t="shared" si="72"/>
        <v>0</v>
      </c>
      <c r="O257" s="43" t="s">
        <v>44</v>
      </c>
      <c r="P257" t="str">
        <f t="shared" si="75"/>
        <v>0</v>
      </c>
      <c r="Q257" s="44">
        <v>150000</v>
      </c>
      <c r="R257" s="43">
        <v>1000</v>
      </c>
      <c r="S257" s="34" t="str">
        <f>IF($V257="USD",INDEX('Dólar Spot'!$B:$B,MATCH(Base!$K257,'Dólar Spot'!$A:$A,0)),"")</f>
        <v/>
      </c>
      <c r="T257" s="4">
        <f t="shared" si="81"/>
        <v>150000000</v>
      </c>
      <c r="U257" s="8">
        <f t="shared" si="76"/>
        <v>1.5</v>
      </c>
      <c r="V257" s="43" t="s">
        <v>41</v>
      </c>
      <c r="W257" s="45">
        <v>100</v>
      </c>
      <c r="X257" s="46">
        <v>4.0999999999999996</v>
      </c>
      <c r="Y257" s="9">
        <f>IF(AND(V257="DI",$W257=100),$X257/100,
IF(AND(V257="DI",$W257&lt;&gt;100,$X257=""),INDEX('Debs %CDI'!$Q:$Q,MATCH(Base!$C257,'Debs %CDI'!$A:$A,0)),
IF($V257="USD",INDEX(Bonds!$AF:$AF,MATCH(Base!$C257,Bonds!$B:$B,0)),
IF($V257="IPCA",INDEX('Debs IPCA'!$Z:$Z,MATCH(Base!$C257,'Debs IPCA'!$A:$A,0))))))</f>
        <v>4.0999999999999995E-2</v>
      </c>
      <c r="Z257" s="43">
        <v>252</v>
      </c>
      <c r="AA257" s="43" t="s">
        <v>30</v>
      </c>
      <c r="AB257" s="43" t="s">
        <v>32</v>
      </c>
      <c r="AC257">
        <f t="shared" si="73"/>
        <v>0</v>
      </c>
      <c r="AD257" s="43" t="s">
        <v>31</v>
      </c>
      <c r="AE257">
        <f t="shared" si="74"/>
        <v>1</v>
      </c>
      <c r="AF257" s="34" t="str" cm="1">
        <f t="array" ref="AF257">INDEX(Ratings!$B$2:$M$40,_xlfn.XMATCH(Base!F257,Ratings!$A$2:$A$40),_xlfn.XMATCH(YEAR(Base!K257),Ratings!$B$1:$M$1))</f>
        <v>NR</v>
      </c>
      <c r="AG257">
        <f t="shared" si="67"/>
        <v>0</v>
      </c>
      <c r="AH257">
        <f>IFERROR(IFERROR(IFERROR(INDEX('EMBI+'!$B:$B,MATCH(Base!$K257,'EMBI+'!$A:$A,0)),INDEX('EMBI+'!$B:$B,MATCH(Base!$K257+1,'EMBI+'!$A:$A,0))),INDEX('EMBI+'!$B:$B,MATCH(Base!$K257+2,'EMBI+'!$A:$A,0))),INDEX('EMBI+'!$B:$B,MATCH(Base!$K257+3,'EMBI+'!$A:$A,0)))/100</f>
        <v>2.75</v>
      </c>
      <c r="AL257" s="43"/>
      <c r="AM257" s="28"/>
      <c r="AN257" s="28"/>
    </row>
    <row r="258" spans="1:40" x14ac:dyDescent="0.35">
      <c r="A258">
        <f t="shared" si="68"/>
        <v>256</v>
      </c>
      <c r="B258">
        <f>IF(G258="Bonds",COUNTIF($G$3:G258,"Bonds"),0)</f>
        <v>0</v>
      </c>
      <c r="C258" t="str">
        <f t="shared" si="77"/>
        <v>Light Energia4306343793</v>
      </c>
      <c r="D258">
        <f t="shared" si="78"/>
        <v>23</v>
      </c>
      <c r="E258" s="43" t="s">
        <v>331</v>
      </c>
      <c r="F258" s="43" t="s">
        <v>332</v>
      </c>
      <c r="G258" s="43" t="s">
        <v>25</v>
      </c>
      <c r="H258">
        <f t="shared" si="70"/>
        <v>0</v>
      </c>
      <c r="I258" s="43" t="s">
        <v>336</v>
      </c>
      <c r="J258" s="34">
        <f t="shared" si="79"/>
        <v>4</v>
      </c>
      <c r="K258" s="28">
        <v>43063</v>
      </c>
      <c r="L258" s="28">
        <v>43793</v>
      </c>
      <c r="M258" s="60">
        <f t="shared" si="71"/>
        <v>2</v>
      </c>
      <c r="N258" s="4">
        <f t="shared" si="72"/>
        <v>0</v>
      </c>
      <c r="O258" s="43" t="s">
        <v>44</v>
      </c>
      <c r="P258" t="str">
        <f t="shared" si="75"/>
        <v>0</v>
      </c>
      <c r="Q258" s="44">
        <v>100000</v>
      </c>
      <c r="R258" s="43">
        <v>1000</v>
      </c>
      <c r="S258" s="34" t="str">
        <f>IF($V258="USD",INDEX('Dólar Spot'!$B:$B,MATCH(Base!$K258,'Dólar Spot'!$A:$A,0)),"")</f>
        <v/>
      </c>
      <c r="T258" s="4">
        <f t="shared" si="81"/>
        <v>100000000</v>
      </c>
      <c r="U258" s="8">
        <f t="shared" si="76"/>
        <v>1</v>
      </c>
      <c r="V258" s="43" t="s">
        <v>41</v>
      </c>
      <c r="W258" s="45">
        <v>100</v>
      </c>
      <c r="X258" s="46">
        <v>3.5</v>
      </c>
      <c r="Y258" s="9">
        <f>IF(AND(V258="DI",$W258=100),$X258/100,
IF(AND(V258="DI",$W258&lt;&gt;100,$X258=""),INDEX('Debs %CDI'!$Q:$Q,MATCH(Base!$C258,'Debs %CDI'!$A:$A,0)),
IF($V258="USD",INDEX(Bonds!$AF:$AF,MATCH(Base!$C258,Bonds!$B:$B,0)),
IF($V258="IPCA",INDEX('Debs IPCA'!$Z:$Z,MATCH(Base!$C258,'Debs IPCA'!$A:$A,0))))))</f>
        <v>3.5000000000000003E-2</v>
      </c>
      <c r="Z258" s="43">
        <v>252</v>
      </c>
      <c r="AA258" s="43" t="s">
        <v>30</v>
      </c>
      <c r="AB258" s="43" t="s">
        <v>32</v>
      </c>
      <c r="AC258">
        <f t="shared" si="73"/>
        <v>0</v>
      </c>
      <c r="AD258" s="43" t="s">
        <v>32</v>
      </c>
      <c r="AE258">
        <f t="shared" si="74"/>
        <v>0</v>
      </c>
      <c r="AF258" s="34" t="str" cm="1">
        <f t="array" ref="AF258">INDEX(Ratings!$B$2:$M$40,_xlfn.XMATCH(Base!F258,Ratings!$A$2:$A$40),_xlfn.XMATCH(YEAR(Base!K258),Ratings!$B$1:$M$1))</f>
        <v>NR</v>
      </c>
      <c r="AG258">
        <f t="shared" si="67"/>
        <v>0</v>
      </c>
      <c r="AH258">
        <f>IFERROR(IFERROR(IFERROR(INDEX('EMBI+'!$B:$B,MATCH(Base!$K258,'EMBI+'!$A:$A,0)),INDEX('EMBI+'!$B:$B,MATCH(Base!$K258+1,'EMBI+'!$A:$A,0))),INDEX('EMBI+'!$B:$B,MATCH(Base!$K258+2,'EMBI+'!$A:$A,0))),INDEX('EMBI+'!$B:$B,MATCH(Base!$K258+3,'EMBI+'!$A:$A,0)))/100</f>
        <v>2.4300000000000002</v>
      </c>
      <c r="AL258" s="43"/>
      <c r="AM258" s="28"/>
      <c r="AN258" s="28"/>
    </row>
    <row r="259" spans="1:40" x14ac:dyDescent="0.35">
      <c r="A259">
        <f t="shared" si="68"/>
        <v>257</v>
      </c>
      <c r="B259">
        <f>IF(G259="Bonds",COUNTIF($G$3:G259,"Bonds"),0)</f>
        <v>0</v>
      </c>
      <c r="C259" t="str">
        <f t="shared" si="77"/>
        <v>Light Energia4439246949</v>
      </c>
      <c r="D259">
        <f t="shared" si="78"/>
        <v>23</v>
      </c>
      <c r="E259" s="43" t="s">
        <v>331</v>
      </c>
      <c r="F259" s="43" t="s">
        <v>332</v>
      </c>
      <c r="G259" s="43" t="s">
        <v>25</v>
      </c>
      <c r="H259">
        <f t="shared" si="70"/>
        <v>0</v>
      </c>
      <c r="I259" s="43" t="s">
        <v>337</v>
      </c>
      <c r="J259" s="34">
        <f t="shared" si="79"/>
        <v>5</v>
      </c>
      <c r="K259" s="28">
        <v>44392</v>
      </c>
      <c r="L259" s="28">
        <v>46949</v>
      </c>
      <c r="M259" s="60">
        <f t="shared" si="71"/>
        <v>7.0054794520547947</v>
      </c>
      <c r="N259" s="4">
        <f t="shared" si="72"/>
        <v>1</v>
      </c>
      <c r="O259" s="43" t="s">
        <v>44</v>
      </c>
      <c r="P259" t="str">
        <f t="shared" si="75"/>
        <v>0</v>
      </c>
      <c r="Q259" s="44">
        <v>400000</v>
      </c>
      <c r="R259" s="43">
        <v>1000</v>
      </c>
      <c r="S259" s="34" t="str">
        <f>IF($V259="USD",INDEX('Dólar Spot'!$B:$B,MATCH(Base!$K259,'Dólar Spot'!$A:$A,0)),"")</f>
        <v/>
      </c>
      <c r="T259" s="4">
        <f t="shared" si="81"/>
        <v>400000000</v>
      </c>
      <c r="U259" s="8">
        <f t="shared" si="76"/>
        <v>4</v>
      </c>
      <c r="V259" s="43" t="s">
        <v>28</v>
      </c>
      <c r="W259" s="45" t="s">
        <v>29</v>
      </c>
      <c r="X259" s="46">
        <v>4.8499999999999996</v>
      </c>
      <c r="Y259" s="9">
        <f>IF(AND(V259="DI",$W259=100),$X259/100,
IF(AND(V259="DI",$W259&lt;&gt;100,$X259=""),INDEX('Debs %CDI'!$Q:$Q,MATCH(Base!$C259,'Debs %CDI'!$A:$A,0)),
IF($V259="USD",INDEX(Bonds!$AF:$AF,MATCH(Base!$C259,Bonds!$B:$B,0)),
IF($V259="IPCA",INDEX('Debs IPCA'!$Z:$Z,MATCH(Base!$C259,'Debs IPCA'!$A:$A,0))))))</f>
        <v>1.142545649491189E-2</v>
      </c>
      <c r="Z259" s="43">
        <v>252</v>
      </c>
      <c r="AA259" s="43" t="s">
        <v>30</v>
      </c>
      <c r="AB259" s="43" t="s">
        <v>31</v>
      </c>
      <c r="AC259">
        <f t="shared" si="73"/>
        <v>1</v>
      </c>
      <c r="AD259" s="43" t="s">
        <v>32</v>
      </c>
      <c r="AE259">
        <f t="shared" si="74"/>
        <v>0</v>
      </c>
      <c r="AF259" s="34" t="str" cm="1">
        <f t="array" ref="AF259">INDEX(Ratings!$B$2:$M$40,_xlfn.XMATCH(Base!F259,Ratings!$A$2:$A$40),_xlfn.XMATCH(YEAR(Base!K259),Ratings!$B$1:$M$1))</f>
        <v>BB-</v>
      </c>
      <c r="AG259">
        <f t="shared" si="67"/>
        <v>0</v>
      </c>
      <c r="AH259">
        <f>IFERROR(IFERROR(IFERROR(INDEX('EMBI+'!$B:$B,MATCH(Base!$K259,'EMBI+'!$A:$A,0)),INDEX('EMBI+'!$B:$B,MATCH(Base!$K259+1,'EMBI+'!$A:$A,0))),INDEX('EMBI+'!$B:$B,MATCH(Base!$K259+2,'EMBI+'!$A:$A,0))),INDEX('EMBI+'!$B:$B,MATCH(Base!$K259+3,'EMBI+'!$A:$A,0)))/100</f>
        <v>2.92</v>
      </c>
      <c r="AL259" s="43"/>
      <c r="AM259" s="28"/>
      <c r="AN259" s="28"/>
    </row>
    <row r="260" spans="1:40" x14ac:dyDescent="0.35">
      <c r="A260">
        <f t="shared" si="68"/>
        <v>258</v>
      </c>
      <c r="B260">
        <f>IF(G260="Bonds",COUNTIF($G$3:G260,"Bonds"),0)</f>
        <v>0</v>
      </c>
      <c r="C260" t="str">
        <f t="shared" si="77"/>
        <v>Light Energia4439246949</v>
      </c>
      <c r="D260">
        <f t="shared" si="78"/>
        <v>23</v>
      </c>
      <c r="E260" s="43" t="s">
        <v>331</v>
      </c>
      <c r="F260" s="43" t="s">
        <v>332</v>
      </c>
      <c r="G260" s="43" t="s">
        <v>25</v>
      </c>
      <c r="H260">
        <f t="shared" si="70"/>
        <v>0</v>
      </c>
      <c r="I260" s="43" t="s">
        <v>338</v>
      </c>
      <c r="J260" s="34">
        <f t="shared" si="79"/>
        <v>6</v>
      </c>
      <c r="K260" s="28">
        <v>44392</v>
      </c>
      <c r="L260" s="28">
        <v>46949</v>
      </c>
      <c r="M260" s="60">
        <f t="shared" si="71"/>
        <v>7.0054794520547947</v>
      </c>
      <c r="N260" s="4">
        <f t="shared" si="72"/>
        <v>1</v>
      </c>
      <c r="O260" s="43" t="s">
        <v>44</v>
      </c>
      <c r="P260" t="str">
        <f t="shared" si="75"/>
        <v>0</v>
      </c>
      <c r="Q260" s="44">
        <v>100000</v>
      </c>
      <c r="R260" s="43">
        <v>1000</v>
      </c>
      <c r="S260" s="34" t="str">
        <f>IF($V260="USD",INDEX('Dólar Spot'!$B:$B,MATCH(Base!$K260,'Dólar Spot'!$A:$A,0)),"")</f>
        <v/>
      </c>
      <c r="T260" s="4">
        <f t="shared" si="81"/>
        <v>100000000</v>
      </c>
      <c r="U260" s="8">
        <f t="shared" si="76"/>
        <v>1</v>
      </c>
      <c r="V260" s="43" t="s">
        <v>28</v>
      </c>
      <c r="W260" s="45" t="s">
        <v>29</v>
      </c>
      <c r="X260" s="46">
        <v>4.8499999999999996</v>
      </c>
      <c r="Y260" s="9">
        <f>IF(AND(V260="DI",$W260=100),$X260/100,
IF(AND(V260="DI",$W260&lt;&gt;100,$X260=""),INDEX('Debs %CDI'!$Q:$Q,MATCH(Base!$C260,'Debs %CDI'!$A:$A,0)),
IF($V260="USD",INDEX(Bonds!$AF:$AF,MATCH(Base!$C260,Bonds!$B:$B,0)),
IF($V260="IPCA",INDEX('Debs IPCA'!$Z:$Z,MATCH(Base!$C260,'Debs IPCA'!$A:$A,0))))))</f>
        <v>1.142545649491189E-2</v>
      </c>
      <c r="Z260" s="43">
        <v>252</v>
      </c>
      <c r="AA260" s="43" t="s">
        <v>30</v>
      </c>
      <c r="AB260" s="43" t="s">
        <v>31</v>
      </c>
      <c r="AC260">
        <f t="shared" si="73"/>
        <v>1</v>
      </c>
      <c r="AD260" s="43" t="s">
        <v>32</v>
      </c>
      <c r="AE260">
        <f t="shared" si="74"/>
        <v>0</v>
      </c>
      <c r="AF260" s="34" t="str" cm="1">
        <f t="array" ref="AF260">INDEX(Ratings!$B$2:$M$40,_xlfn.XMATCH(Base!F260,Ratings!$A$2:$A$40),_xlfn.XMATCH(YEAR(Base!K260),Ratings!$B$1:$M$1))</f>
        <v>BB-</v>
      </c>
      <c r="AG260">
        <f t="shared" ref="AG260:AG323" si="82">IF(AND(AF260&lt;&gt;"BBB-",AF260&lt;&gt;"BBB",AF260&lt;&gt;"BBB+"),0,1)</f>
        <v>0</v>
      </c>
      <c r="AH260">
        <f>IFERROR(IFERROR(IFERROR(INDEX('EMBI+'!$B:$B,MATCH(Base!$K260,'EMBI+'!$A:$A,0)),INDEX('EMBI+'!$B:$B,MATCH(Base!$K260+1,'EMBI+'!$A:$A,0))),INDEX('EMBI+'!$B:$B,MATCH(Base!$K260+2,'EMBI+'!$A:$A,0))),INDEX('EMBI+'!$B:$B,MATCH(Base!$K260+3,'EMBI+'!$A:$A,0)))/100</f>
        <v>2.92</v>
      </c>
      <c r="AL260" s="43"/>
      <c r="AM260" s="28"/>
      <c r="AN260" s="28"/>
    </row>
    <row r="261" spans="1:40" x14ac:dyDescent="0.35">
      <c r="A261">
        <f t="shared" si="68"/>
        <v>259</v>
      </c>
      <c r="B261">
        <f>IF(G261="Bonds",COUNTIF($G$3:G261,"Bonds"),0)</f>
        <v>0</v>
      </c>
      <c r="C261" t="str">
        <f t="shared" si="77"/>
        <v>Light Energia4090643696</v>
      </c>
      <c r="D261">
        <f t="shared" si="78"/>
        <v>23</v>
      </c>
      <c r="E261" s="43" t="s">
        <v>331</v>
      </c>
      <c r="F261" s="43" t="s">
        <v>332</v>
      </c>
      <c r="G261" s="43" t="s">
        <v>25</v>
      </c>
      <c r="H261">
        <f t="shared" si="70"/>
        <v>0</v>
      </c>
      <c r="I261" s="43" t="s">
        <v>339</v>
      </c>
      <c r="J261" s="34">
        <f t="shared" si="79"/>
        <v>7</v>
      </c>
      <c r="K261" s="28">
        <v>40906</v>
      </c>
      <c r="L261" s="28">
        <v>43696</v>
      </c>
      <c r="M261" s="60">
        <f t="shared" si="71"/>
        <v>7.6438356164383565</v>
      </c>
      <c r="N261" s="4">
        <f t="shared" si="72"/>
        <v>1</v>
      </c>
      <c r="O261" s="43" t="s">
        <v>44</v>
      </c>
      <c r="P261" t="str">
        <f t="shared" si="75"/>
        <v>0</v>
      </c>
      <c r="Q261" s="44">
        <v>425</v>
      </c>
      <c r="R261" s="43">
        <v>1000000</v>
      </c>
      <c r="S261" s="34" t="str">
        <f>IF($V261="USD",INDEX('Dólar Spot'!$B:$B,MATCH(Base!$K261,'Dólar Spot'!$A:$A,0)),"")</f>
        <v/>
      </c>
      <c r="T261" s="4">
        <f t="shared" si="81"/>
        <v>425000000</v>
      </c>
      <c r="U261" s="8">
        <f t="shared" si="76"/>
        <v>4.25</v>
      </c>
      <c r="V261" s="43" t="s">
        <v>41</v>
      </c>
      <c r="W261" s="45">
        <v>100</v>
      </c>
      <c r="X261" s="46">
        <v>1.18</v>
      </c>
      <c r="Y261" s="9">
        <f>IF(AND(V261="DI",$W261=100),$X261/100,
IF(AND(V261="DI",$W261&lt;&gt;100,$X261=""),INDEX('Debs %CDI'!$Q:$Q,MATCH(Base!$C261,'Debs %CDI'!$A:$A,0)),
IF($V261="USD",INDEX(Bonds!$AF:$AF,MATCH(Base!$C261,Bonds!$B:$B,0)),
IF($V261="IPCA",INDEX('Debs IPCA'!$Z:$Z,MATCH(Base!$C261,'Debs IPCA'!$A:$A,0))))))</f>
        <v>1.18E-2</v>
      </c>
      <c r="Z261" s="43">
        <v>252</v>
      </c>
      <c r="AA261" s="43" t="s">
        <v>30</v>
      </c>
      <c r="AB261" s="43" t="s">
        <v>32</v>
      </c>
      <c r="AC261">
        <f t="shared" si="73"/>
        <v>0</v>
      </c>
      <c r="AD261" s="43" t="s">
        <v>31</v>
      </c>
      <c r="AE261">
        <f t="shared" si="74"/>
        <v>1</v>
      </c>
      <c r="AF261" s="34" t="str" cm="1">
        <f t="array" ref="AF261">INDEX(Ratings!$B$2:$M$40,_xlfn.XMATCH(Base!F261,Ratings!$A$2:$A$40),_xlfn.XMATCH(YEAR(Base!K261),Ratings!$B$1:$M$1))</f>
        <v>NR</v>
      </c>
      <c r="AG261">
        <f t="shared" si="82"/>
        <v>0</v>
      </c>
      <c r="AH261">
        <f>IFERROR(IFERROR(IFERROR(INDEX('EMBI+'!$B:$B,MATCH(Base!$K261,'EMBI+'!$A:$A,0)),INDEX('EMBI+'!$B:$B,MATCH(Base!$K261+1,'EMBI+'!$A:$A,0))),INDEX('EMBI+'!$B:$B,MATCH(Base!$K261+2,'EMBI+'!$A:$A,0))),INDEX('EMBI+'!$B:$B,MATCH(Base!$K261+3,'EMBI+'!$A:$A,0)))/100</f>
        <v>2.23</v>
      </c>
      <c r="AL261" s="43"/>
      <c r="AM261" s="28"/>
      <c r="AN261" s="28"/>
    </row>
    <row r="262" spans="1:40" x14ac:dyDescent="0.35">
      <c r="A262">
        <f t="shared" si="68"/>
        <v>260</v>
      </c>
      <c r="B262">
        <f>IF(G262="Bonds",COUNTIF($G$3:G262,"Bonds"),0)</f>
        <v>0</v>
      </c>
      <c r="C262" t="str">
        <f t="shared" si="77"/>
        <v>Light Energia4421145672</v>
      </c>
      <c r="D262">
        <f t="shared" si="78"/>
        <v>23</v>
      </c>
      <c r="E262" s="43" t="s">
        <v>340</v>
      </c>
      <c r="F262" s="43" t="s">
        <v>332</v>
      </c>
      <c r="G262" s="43" t="s">
        <v>25</v>
      </c>
      <c r="H262">
        <f t="shared" si="70"/>
        <v>0</v>
      </c>
      <c r="I262" s="43" t="s">
        <v>341</v>
      </c>
      <c r="J262" s="34">
        <f t="shared" si="79"/>
        <v>8</v>
      </c>
      <c r="K262" s="28">
        <v>44211</v>
      </c>
      <c r="L262" s="28">
        <v>45672</v>
      </c>
      <c r="M262" s="60">
        <f t="shared" si="71"/>
        <v>4.0027397260273974</v>
      </c>
      <c r="N262" s="4">
        <f t="shared" si="72"/>
        <v>0</v>
      </c>
      <c r="O262" s="43" t="s">
        <v>44</v>
      </c>
      <c r="P262" t="str">
        <f t="shared" si="75"/>
        <v>0</v>
      </c>
      <c r="Q262" s="44">
        <v>360000</v>
      </c>
      <c r="R262" s="43">
        <v>1000</v>
      </c>
      <c r="S262" s="34" t="str">
        <f>IF($V262="USD",INDEX('Dólar Spot'!$B:$B,MATCH(Base!$K262,'Dólar Spot'!$A:$A,0)),"")</f>
        <v/>
      </c>
      <c r="T262" s="4">
        <f t="shared" si="81"/>
        <v>360000000</v>
      </c>
      <c r="U262" s="8">
        <f t="shared" si="76"/>
        <v>3.6</v>
      </c>
      <c r="V262" s="43" t="s">
        <v>41</v>
      </c>
      <c r="W262" s="45">
        <v>100</v>
      </c>
      <c r="X262" s="46">
        <v>2.6</v>
      </c>
      <c r="Y262" s="9">
        <f>IF(AND(V262="DI",$W262=100),$X262/100,
IF(AND(V262="DI",$W262&lt;&gt;100,$X262=""),INDEX('Debs %CDI'!$Q:$Q,MATCH(Base!$C262,'Debs %CDI'!$A:$A,0)),
IF($V262="USD",INDEX(Bonds!$AF:$AF,MATCH(Base!$C262,Bonds!$B:$B,0)),
IF($V262="IPCA",INDEX('Debs IPCA'!$Z:$Z,MATCH(Base!$C262,'Debs IPCA'!$A:$A,0))))))</f>
        <v>2.6000000000000002E-2</v>
      </c>
      <c r="Z262" s="43">
        <v>252</v>
      </c>
      <c r="AA262" s="43" t="s">
        <v>30</v>
      </c>
      <c r="AB262" s="43" t="s">
        <v>32</v>
      </c>
      <c r="AC262">
        <f t="shared" si="73"/>
        <v>0</v>
      </c>
      <c r="AD262" s="43" t="s">
        <v>31</v>
      </c>
      <c r="AE262">
        <f t="shared" si="74"/>
        <v>1</v>
      </c>
      <c r="AF262" s="34" t="str" cm="1">
        <f t="array" ref="AF262">INDEX(Ratings!$B$2:$M$40,_xlfn.XMATCH(Base!F262,Ratings!$A$2:$A$40),_xlfn.XMATCH(YEAR(Base!K262),Ratings!$B$1:$M$1))</f>
        <v>BB-</v>
      </c>
      <c r="AG262">
        <f t="shared" si="82"/>
        <v>0</v>
      </c>
      <c r="AH262">
        <f>IFERROR(IFERROR(IFERROR(INDEX('EMBI+'!$B:$B,MATCH(Base!$K262,'EMBI+'!$A:$A,0)),INDEX('EMBI+'!$B:$B,MATCH(Base!$K262+1,'EMBI+'!$A:$A,0))),INDEX('EMBI+'!$B:$B,MATCH(Base!$K262+2,'EMBI+'!$A:$A,0))),INDEX('EMBI+'!$B:$B,MATCH(Base!$K262+3,'EMBI+'!$A:$A,0)))/100</f>
        <v>2.8</v>
      </c>
      <c r="AL262" s="43"/>
      <c r="AM262" s="28"/>
      <c r="AN262" s="28"/>
    </row>
    <row r="263" spans="1:40" x14ac:dyDescent="0.35">
      <c r="A263">
        <f t="shared" si="68"/>
        <v>261</v>
      </c>
      <c r="B263">
        <f>IF(G263="Bonds",COUNTIF($G$3:G263,"Bonds"),0)</f>
        <v>0</v>
      </c>
      <c r="C263" t="str">
        <f t="shared" si="77"/>
        <v>Light Energia4253443264</v>
      </c>
      <c r="D263">
        <f t="shared" si="78"/>
        <v>23</v>
      </c>
      <c r="E263" s="43" t="s">
        <v>340</v>
      </c>
      <c r="F263" s="43" t="s">
        <v>332</v>
      </c>
      <c r="G263" s="43" t="s">
        <v>25</v>
      </c>
      <c r="H263">
        <f t="shared" si="70"/>
        <v>0</v>
      </c>
      <c r="I263" s="43" t="s">
        <v>342</v>
      </c>
      <c r="J263" s="34">
        <f t="shared" si="79"/>
        <v>9</v>
      </c>
      <c r="K263" s="28">
        <v>42534</v>
      </c>
      <c r="L263" s="28">
        <v>43264</v>
      </c>
      <c r="M263" s="60">
        <f t="shared" si="71"/>
        <v>2</v>
      </c>
      <c r="N263" s="4">
        <f t="shared" si="72"/>
        <v>0</v>
      </c>
      <c r="O263" s="43" t="s">
        <v>44</v>
      </c>
      <c r="P263" t="str">
        <f t="shared" si="75"/>
        <v>0</v>
      </c>
      <c r="Q263" s="44">
        <v>17500</v>
      </c>
      <c r="R263" s="43">
        <v>10000</v>
      </c>
      <c r="S263" s="34" t="str">
        <f>IF($V263="USD",INDEX('Dólar Spot'!$B:$B,MATCH(Base!$K263,'Dólar Spot'!$A:$A,0)),"")</f>
        <v/>
      </c>
      <c r="T263" s="4">
        <f t="shared" si="81"/>
        <v>175000000</v>
      </c>
      <c r="U263" s="8">
        <f t="shared" si="76"/>
        <v>1.75</v>
      </c>
      <c r="V263" s="43" t="s">
        <v>41</v>
      </c>
      <c r="W263" s="45">
        <v>100</v>
      </c>
      <c r="X263" s="46">
        <v>4.05</v>
      </c>
      <c r="Y263" s="9">
        <f>IF(AND(V263="DI",$W263=100),$X263/100,
IF(AND(V263="DI",$W263&lt;&gt;100,$X263=""),INDEX('Debs %CDI'!$Q:$Q,MATCH(Base!$C263,'Debs %CDI'!$A:$A,0)),
IF($V263="USD",INDEX(Bonds!$AF:$AF,MATCH(Base!$C263,Bonds!$B:$B,0)),
IF($V263="IPCA",INDEX('Debs IPCA'!$Z:$Z,MATCH(Base!$C263,'Debs IPCA'!$A:$A,0))))))</f>
        <v>4.0500000000000001E-2</v>
      </c>
      <c r="Z263" s="43">
        <v>252</v>
      </c>
      <c r="AA263" s="43" t="s">
        <v>30</v>
      </c>
      <c r="AB263" s="43" t="s">
        <v>32</v>
      </c>
      <c r="AC263">
        <f t="shared" si="73"/>
        <v>0</v>
      </c>
      <c r="AD263" s="43" t="s">
        <v>31</v>
      </c>
      <c r="AE263">
        <f t="shared" si="74"/>
        <v>1</v>
      </c>
      <c r="AF263" s="34" t="str" cm="1">
        <f t="array" ref="AF263">INDEX(Ratings!$B$2:$M$40,_xlfn.XMATCH(Base!F263,Ratings!$A$2:$A$40),_xlfn.XMATCH(YEAR(Base!K263),Ratings!$B$1:$M$1))</f>
        <v>NR</v>
      </c>
      <c r="AG263">
        <f t="shared" si="82"/>
        <v>0</v>
      </c>
      <c r="AH263">
        <f>IFERROR(IFERROR(IFERROR(INDEX('EMBI+'!$B:$B,MATCH(Base!$K263,'EMBI+'!$A:$A,0)),INDEX('EMBI+'!$B:$B,MATCH(Base!$K263+1,'EMBI+'!$A:$A,0))),INDEX('EMBI+'!$B:$B,MATCH(Base!$K263+2,'EMBI+'!$A:$A,0))),INDEX('EMBI+'!$B:$B,MATCH(Base!$K263+3,'EMBI+'!$A:$A,0)))/100</f>
        <v>3.89</v>
      </c>
      <c r="AL263" s="43"/>
      <c r="AM263" s="28"/>
      <c r="AN263" s="28"/>
    </row>
    <row r="264" spans="1:40" x14ac:dyDescent="0.35">
      <c r="A264">
        <f t="shared" ref="A264:A327" si="83">+A263+1</f>
        <v>262</v>
      </c>
      <c r="B264">
        <f>IF(G264="Bonds",COUNTIF($G$3:G264,"Bonds"),0)</f>
        <v>0</v>
      </c>
      <c r="C264" t="str">
        <f t="shared" si="77"/>
        <v>Light Energia4292343480</v>
      </c>
      <c r="D264">
        <f t="shared" si="78"/>
        <v>23</v>
      </c>
      <c r="E264" s="43" t="s">
        <v>340</v>
      </c>
      <c r="F264" s="43" t="s">
        <v>332</v>
      </c>
      <c r="G264" s="43" t="s">
        <v>25</v>
      </c>
      <c r="H264">
        <f t="shared" si="70"/>
        <v>0</v>
      </c>
      <c r="I264" s="43" t="s">
        <v>343</v>
      </c>
      <c r="J264" s="34">
        <f t="shared" si="79"/>
        <v>10</v>
      </c>
      <c r="K264" s="28">
        <v>42923</v>
      </c>
      <c r="L264" s="28">
        <v>43480</v>
      </c>
      <c r="M264" s="60">
        <f t="shared" si="71"/>
        <v>1.526027397260274</v>
      </c>
      <c r="N264" s="4">
        <f t="shared" si="72"/>
        <v>0</v>
      </c>
      <c r="O264" s="43" t="s">
        <v>44</v>
      </c>
      <c r="P264" t="str">
        <f t="shared" si="75"/>
        <v>0</v>
      </c>
      <c r="Q264" s="44">
        <v>198778</v>
      </c>
      <c r="R264" s="43">
        <v>1000</v>
      </c>
      <c r="S264" s="34" t="str">
        <f>IF($V264="USD",INDEX('Dólar Spot'!$B:$B,MATCH(Base!$K264,'Dólar Spot'!$A:$A,0)),"")</f>
        <v/>
      </c>
      <c r="T264" s="4">
        <f t="shared" si="81"/>
        <v>198778000</v>
      </c>
      <c r="U264" s="8">
        <f t="shared" si="76"/>
        <v>1.9877800000000001</v>
      </c>
      <c r="V264" s="43" t="s">
        <v>41</v>
      </c>
      <c r="W264" s="45">
        <v>100</v>
      </c>
      <c r="X264" s="46">
        <v>4</v>
      </c>
      <c r="Y264" s="9">
        <f>IF(AND(V264="DI",$W264=100),$X264/100,
IF(AND(V264="DI",$W264&lt;&gt;100,$X264=""),INDEX('Debs %CDI'!$Q:$Q,MATCH(Base!$C264,'Debs %CDI'!$A:$A,0)),
IF($V264="USD",INDEX(Bonds!$AF:$AF,MATCH(Base!$C264,Bonds!$B:$B,0)),
IF($V264="IPCA",INDEX('Debs IPCA'!$Z:$Z,MATCH(Base!$C264,'Debs IPCA'!$A:$A,0))))))</f>
        <v>0.04</v>
      </c>
      <c r="Z264" s="43">
        <v>252</v>
      </c>
      <c r="AA264" s="43" t="s">
        <v>30</v>
      </c>
      <c r="AB264" s="43" t="s">
        <v>32</v>
      </c>
      <c r="AC264">
        <f t="shared" si="73"/>
        <v>0</v>
      </c>
      <c r="AD264" s="43" t="s">
        <v>31</v>
      </c>
      <c r="AE264">
        <f t="shared" si="74"/>
        <v>1</v>
      </c>
      <c r="AF264" s="34" t="str" cm="1">
        <f t="array" ref="AF264">INDEX(Ratings!$B$2:$M$40,_xlfn.XMATCH(Base!F264,Ratings!$A$2:$A$40),_xlfn.XMATCH(YEAR(Base!K264),Ratings!$B$1:$M$1))</f>
        <v>NR</v>
      </c>
      <c r="AG264">
        <f t="shared" si="82"/>
        <v>0</v>
      </c>
      <c r="AH264">
        <f>IFERROR(IFERROR(IFERROR(INDEX('EMBI+'!$B:$B,MATCH(Base!$K264,'EMBI+'!$A:$A,0)),INDEX('EMBI+'!$B:$B,MATCH(Base!$K264+1,'EMBI+'!$A:$A,0))),INDEX('EMBI+'!$B:$B,MATCH(Base!$K264+2,'EMBI+'!$A:$A,0))),INDEX('EMBI+'!$B:$B,MATCH(Base!$K264+3,'EMBI+'!$A:$A,0)))/100</f>
        <v>2.93</v>
      </c>
      <c r="AL264" s="43"/>
      <c r="AM264" s="28"/>
      <c r="AN264" s="28"/>
    </row>
    <row r="265" spans="1:40" x14ac:dyDescent="0.35">
      <c r="A265">
        <f t="shared" si="83"/>
        <v>263</v>
      </c>
      <c r="B265">
        <f>IF(G265="Bonds",COUNTIF($G$3:G265,"Bonds"),0)</f>
        <v>0</v>
      </c>
      <c r="C265" t="str">
        <f t="shared" si="77"/>
        <v>Light Energia4302344849</v>
      </c>
      <c r="D265">
        <f t="shared" si="78"/>
        <v>23</v>
      </c>
      <c r="E265" s="43" t="s">
        <v>340</v>
      </c>
      <c r="F265" s="43" t="s">
        <v>332</v>
      </c>
      <c r="G265" s="43" t="s">
        <v>25</v>
      </c>
      <c r="H265">
        <f t="shared" si="70"/>
        <v>0</v>
      </c>
      <c r="I265" s="43" t="s">
        <v>344</v>
      </c>
      <c r="J265" s="34">
        <f t="shared" si="79"/>
        <v>11</v>
      </c>
      <c r="K265" s="28">
        <v>43023</v>
      </c>
      <c r="L265" s="28">
        <v>44849</v>
      </c>
      <c r="M265" s="60">
        <f t="shared" si="71"/>
        <v>5.0027397260273974</v>
      </c>
      <c r="N265" s="4">
        <f t="shared" si="72"/>
        <v>1</v>
      </c>
      <c r="O265" s="43" t="s">
        <v>44</v>
      </c>
      <c r="P265" t="str">
        <f t="shared" si="75"/>
        <v>0</v>
      </c>
      <c r="Q265" s="44">
        <v>458664</v>
      </c>
      <c r="R265" s="43">
        <v>1000</v>
      </c>
      <c r="S265" s="34" t="str">
        <f>IF($V265="USD",INDEX('Dólar Spot'!$B:$B,MATCH(Base!$K265,'Dólar Spot'!$A:$A,0)),"")</f>
        <v/>
      </c>
      <c r="T265" s="4">
        <f t="shared" si="81"/>
        <v>458664000</v>
      </c>
      <c r="U265" s="8">
        <f t="shared" si="76"/>
        <v>4.5866400000000001</v>
      </c>
      <c r="V265" s="43" t="s">
        <v>28</v>
      </c>
      <c r="W265" s="45" t="s">
        <v>29</v>
      </c>
      <c r="X265" s="46">
        <v>7.4366000000000003</v>
      </c>
      <c r="Y265" s="9">
        <f>IF(AND(V265="DI",$W265=100),$X265/100,
IF(AND(V265="DI",$W265&lt;&gt;100,$X265=""),INDEX('Debs %CDI'!$Q:$Q,MATCH(Base!$C265,'Debs %CDI'!$A:$A,0)),
IF($V265="USD",INDEX(Bonds!$AF:$AF,MATCH(Base!$C265,Bonds!$B:$B,0)),
IF($V265="IPCA",INDEX('Debs IPCA'!$Z:$Z,MATCH(Base!$C265,'Debs IPCA'!$A:$A,0))))))</f>
        <v>2.8072431015108812E-2</v>
      </c>
      <c r="Z265" s="43">
        <v>252</v>
      </c>
      <c r="AA265" s="43" t="s">
        <v>30</v>
      </c>
      <c r="AB265" s="43" t="s">
        <v>31</v>
      </c>
      <c r="AC265">
        <f t="shared" si="73"/>
        <v>1</v>
      </c>
      <c r="AD265" s="43" t="s">
        <v>31</v>
      </c>
      <c r="AE265">
        <f t="shared" si="74"/>
        <v>1</v>
      </c>
      <c r="AF265" s="34" t="str" cm="1">
        <f t="array" ref="AF265">INDEX(Ratings!$B$2:$M$40,_xlfn.XMATCH(Base!F265,Ratings!$A$2:$A$40),_xlfn.XMATCH(YEAR(Base!K265),Ratings!$B$1:$M$1))</f>
        <v>NR</v>
      </c>
      <c r="AG265">
        <f t="shared" si="82"/>
        <v>0</v>
      </c>
      <c r="AH265">
        <f>IFERROR(IFERROR(IFERROR(INDEX('EMBI+'!$B:$B,MATCH(Base!$K265,'EMBI+'!$A:$A,0)),INDEX('EMBI+'!$B:$B,MATCH(Base!$K265+1,'EMBI+'!$A:$A,0))),INDEX('EMBI+'!$B:$B,MATCH(Base!$K265+2,'EMBI+'!$A:$A,0))),INDEX('EMBI+'!$B:$B,MATCH(Base!$K265+3,'EMBI+'!$A:$A,0)))/100</f>
        <v>2.42</v>
      </c>
      <c r="AL265" s="43"/>
      <c r="AM265" s="28"/>
      <c r="AN265" s="28"/>
    </row>
    <row r="266" spans="1:40" x14ac:dyDescent="0.35">
      <c r="A266">
        <f t="shared" si="83"/>
        <v>264</v>
      </c>
      <c r="B266">
        <f>IF(G266="Bonds",COUNTIF($G$3:G266,"Bonds"),0)</f>
        <v>0</v>
      </c>
      <c r="C266" t="str">
        <f t="shared" si="77"/>
        <v>Light Energia4318844284</v>
      </c>
      <c r="D266">
        <f t="shared" si="78"/>
        <v>23</v>
      </c>
      <c r="E266" s="43" t="s">
        <v>340</v>
      </c>
      <c r="F266" s="43" t="s">
        <v>332</v>
      </c>
      <c r="G266" s="43" t="s">
        <v>25</v>
      </c>
      <c r="H266">
        <f t="shared" si="70"/>
        <v>0</v>
      </c>
      <c r="I266" s="43" t="s">
        <v>345</v>
      </c>
      <c r="J266" s="34">
        <f t="shared" si="79"/>
        <v>12</v>
      </c>
      <c r="K266" s="28">
        <v>43188</v>
      </c>
      <c r="L266" s="28">
        <v>44284</v>
      </c>
      <c r="M266" s="60">
        <f t="shared" si="71"/>
        <v>3.0027397260273974</v>
      </c>
      <c r="N266" s="4">
        <f t="shared" si="72"/>
        <v>0</v>
      </c>
      <c r="O266" s="43" t="s">
        <v>44</v>
      </c>
      <c r="P266" t="str">
        <f t="shared" si="75"/>
        <v>0</v>
      </c>
      <c r="Q266" s="44">
        <v>425000</v>
      </c>
      <c r="R266" s="43">
        <v>1000</v>
      </c>
      <c r="S266" s="34" t="str">
        <f>IF($V266="USD",INDEX('Dólar Spot'!$B:$B,MATCH(Base!$K266,'Dólar Spot'!$A:$A,0)),"")</f>
        <v/>
      </c>
      <c r="T266" s="4">
        <f t="shared" si="81"/>
        <v>425000000</v>
      </c>
      <c r="U266" s="8">
        <f t="shared" si="76"/>
        <v>4.25</v>
      </c>
      <c r="V266" s="43" t="s">
        <v>41</v>
      </c>
      <c r="W266" s="45">
        <v>100</v>
      </c>
      <c r="X266" s="46">
        <v>3.5</v>
      </c>
      <c r="Y266" s="9">
        <f>IF(AND(V266="DI",$W266=100),$X266/100,
IF(AND(V266="DI",$W266&lt;&gt;100,$X266=""),INDEX('Debs %CDI'!$Q:$Q,MATCH(Base!$C266,'Debs %CDI'!$A:$A,0)),
IF($V266="USD",INDEX(Bonds!$AF:$AF,MATCH(Base!$C266,Bonds!$B:$B,0)),
IF($V266="IPCA",INDEX('Debs IPCA'!$Z:$Z,MATCH(Base!$C266,'Debs IPCA'!$A:$A,0))))))</f>
        <v>3.5000000000000003E-2</v>
      </c>
      <c r="Z266" s="43">
        <v>252</v>
      </c>
      <c r="AA266" s="43" t="s">
        <v>30</v>
      </c>
      <c r="AB266" s="43" t="s">
        <v>32</v>
      </c>
      <c r="AC266">
        <f t="shared" si="73"/>
        <v>0</v>
      </c>
      <c r="AD266" s="43" t="s">
        <v>31</v>
      </c>
      <c r="AE266">
        <f t="shared" si="74"/>
        <v>1</v>
      </c>
      <c r="AF266" s="34" t="str" cm="1">
        <f t="array" ref="AF266">INDEX(Ratings!$B$2:$M$40,_xlfn.XMATCH(Base!F266,Ratings!$A$2:$A$40),_xlfn.XMATCH(YEAR(Base!K266),Ratings!$B$1:$M$1))</f>
        <v>BB-</v>
      </c>
      <c r="AG266">
        <f t="shared" si="82"/>
        <v>0</v>
      </c>
      <c r="AH266">
        <f>IFERROR(IFERROR(IFERROR(INDEX('EMBI+'!$B:$B,MATCH(Base!$K266,'EMBI+'!$A:$A,0)),INDEX('EMBI+'!$B:$B,MATCH(Base!$K266+1,'EMBI+'!$A:$A,0))),INDEX('EMBI+'!$B:$B,MATCH(Base!$K266+2,'EMBI+'!$A:$A,0))),INDEX('EMBI+'!$B:$B,MATCH(Base!$K266+3,'EMBI+'!$A:$A,0)))/100</f>
        <v>2.48</v>
      </c>
      <c r="AL266" s="43"/>
      <c r="AM266" s="28"/>
      <c r="AN266" s="28"/>
    </row>
    <row r="267" spans="1:40" x14ac:dyDescent="0.35">
      <c r="A267">
        <f t="shared" si="83"/>
        <v>265</v>
      </c>
      <c r="B267">
        <f>IF(G267="Bonds",COUNTIF($G$3:G267,"Bonds"),0)</f>
        <v>0</v>
      </c>
      <c r="C267" t="str">
        <f t="shared" si="77"/>
        <v>Light Energia4338845945</v>
      </c>
      <c r="D267">
        <f t="shared" si="78"/>
        <v>23</v>
      </c>
      <c r="E267" s="43" t="s">
        <v>340</v>
      </c>
      <c r="F267" s="43" t="s">
        <v>332</v>
      </c>
      <c r="G267" s="43" t="s">
        <v>25</v>
      </c>
      <c r="H267">
        <f t="shared" si="70"/>
        <v>0</v>
      </c>
      <c r="I267" s="43" t="s">
        <v>346</v>
      </c>
      <c r="J267" s="34">
        <f t="shared" si="79"/>
        <v>13</v>
      </c>
      <c r="K267" s="28">
        <v>43388</v>
      </c>
      <c r="L267" s="28">
        <v>45945</v>
      </c>
      <c r="M267" s="60">
        <f t="shared" si="71"/>
        <v>7.0054794520547947</v>
      </c>
      <c r="N267" s="4">
        <f t="shared" si="72"/>
        <v>1</v>
      </c>
      <c r="O267" s="43" t="s">
        <v>44</v>
      </c>
      <c r="P267" t="str">
        <f t="shared" si="75"/>
        <v>0</v>
      </c>
      <c r="Q267" s="44">
        <v>540000</v>
      </c>
      <c r="R267" s="43">
        <v>1000</v>
      </c>
      <c r="S267" s="34" t="str">
        <f>IF($V267="USD",INDEX('Dólar Spot'!$B:$B,MATCH(Base!$K267,'Dólar Spot'!$A:$A,0)),"")</f>
        <v/>
      </c>
      <c r="T267" s="4">
        <f t="shared" si="81"/>
        <v>540000000</v>
      </c>
      <c r="U267" s="8">
        <f t="shared" si="76"/>
        <v>5.4</v>
      </c>
      <c r="V267" s="43" t="s">
        <v>28</v>
      </c>
      <c r="W267" s="45" t="s">
        <v>29</v>
      </c>
      <c r="X267" s="46">
        <v>6.8278999999999996</v>
      </c>
      <c r="Y267" s="9">
        <f>IF(AND(V267="DI",$W267=100),$X267/100,
IF(AND(V267="DI",$W267&lt;&gt;100,$X267=""),INDEX('Debs %CDI'!$Q:$Q,MATCH(Base!$C267,'Debs %CDI'!$A:$A,0)),
IF($V267="USD",INDEX(Bonds!$AF:$AF,MATCH(Base!$C267,Bonds!$B:$B,0)),
IF($V267="IPCA",INDEX('Debs IPCA'!$Z:$Z,MATCH(Base!$C267,'Debs IPCA'!$A:$A,0))))))</f>
        <v>1.5342850392917606E-2</v>
      </c>
      <c r="Z267" s="43">
        <v>252</v>
      </c>
      <c r="AA267" s="43" t="s">
        <v>30</v>
      </c>
      <c r="AB267" s="43" t="s">
        <v>31</v>
      </c>
      <c r="AC267">
        <f t="shared" si="73"/>
        <v>1</v>
      </c>
      <c r="AD267" s="43" t="s">
        <v>32</v>
      </c>
      <c r="AE267">
        <f t="shared" si="74"/>
        <v>0</v>
      </c>
      <c r="AF267" s="34" t="str" cm="1">
        <f t="array" ref="AF267">INDEX(Ratings!$B$2:$M$40,_xlfn.XMATCH(Base!F267,Ratings!$A$2:$A$40),_xlfn.XMATCH(YEAR(Base!K267),Ratings!$B$1:$M$1))</f>
        <v>BB-</v>
      </c>
      <c r="AG267">
        <f t="shared" si="82"/>
        <v>0</v>
      </c>
      <c r="AH267">
        <f>IFERROR(IFERROR(IFERROR(INDEX('EMBI+'!$B:$B,MATCH(Base!$K267,'EMBI+'!$A:$A,0)),INDEX('EMBI+'!$B:$B,MATCH(Base!$K267+1,'EMBI+'!$A:$A,0))),INDEX('EMBI+'!$B:$B,MATCH(Base!$K267+2,'EMBI+'!$A:$A,0))),INDEX('EMBI+'!$B:$B,MATCH(Base!$K267+3,'EMBI+'!$A:$A,0)))/100</f>
        <v>2.61</v>
      </c>
      <c r="AL267" s="43"/>
      <c r="AM267" s="28"/>
      <c r="AN267" s="28"/>
    </row>
    <row r="268" spans="1:40" x14ac:dyDescent="0.35">
      <c r="A268">
        <f t="shared" si="83"/>
        <v>266</v>
      </c>
      <c r="B268">
        <f>IF(G268="Bonds",COUNTIF($G$3:G268,"Bonds"),0)</f>
        <v>0</v>
      </c>
      <c r="C268" t="str">
        <f t="shared" si="77"/>
        <v>Light Energia4357044666</v>
      </c>
      <c r="D268">
        <f t="shared" si="78"/>
        <v>23</v>
      </c>
      <c r="E268" s="43" t="s">
        <v>340</v>
      </c>
      <c r="F268" s="43" t="s">
        <v>332</v>
      </c>
      <c r="G268" s="43" t="s">
        <v>25</v>
      </c>
      <c r="H268">
        <f t="shared" si="70"/>
        <v>0</v>
      </c>
      <c r="I268" s="43" t="s">
        <v>347</v>
      </c>
      <c r="J268" s="34">
        <f t="shared" si="79"/>
        <v>14</v>
      </c>
      <c r="K268" s="28">
        <v>43570</v>
      </c>
      <c r="L268" s="28">
        <v>44666</v>
      </c>
      <c r="M268" s="60">
        <f t="shared" si="71"/>
        <v>3.0027397260273974</v>
      </c>
      <c r="N268" s="4">
        <f t="shared" si="72"/>
        <v>0</v>
      </c>
      <c r="O268" s="43" t="s">
        <v>44</v>
      </c>
      <c r="P268" t="str">
        <f t="shared" si="75"/>
        <v>0</v>
      </c>
      <c r="Q268" s="44">
        <v>132500</v>
      </c>
      <c r="R268" s="43">
        <v>1000</v>
      </c>
      <c r="S268" s="34" t="str">
        <f>IF($V268="USD",INDEX('Dólar Spot'!$B:$B,MATCH(Base!$K268,'Dólar Spot'!$A:$A,0)),"")</f>
        <v/>
      </c>
      <c r="T268" s="4">
        <f t="shared" si="81"/>
        <v>132500000</v>
      </c>
      <c r="U268" s="8">
        <f t="shared" si="76"/>
        <v>1.325</v>
      </c>
      <c r="V268" s="43" t="s">
        <v>41</v>
      </c>
      <c r="W268" s="45">
        <v>100</v>
      </c>
      <c r="X268" s="46">
        <v>0.9</v>
      </c>
      <c r="Y268" s="9">
        <f>IF(AND(V268="DI",$W268=100),$X268/100,
IF(AND(V268="DI",$W268&lt;&gt;100,$X268=""),INDEX('Debs %CDI'!$Q:$Q,MATCH(Base!$C268,'Debs %CDI'!$A:$A,0)),
IF($V268="USD",INDEX(Bonds!$AF:$AF,MATCH(Base!$C268,Bonds!$B:$B,0)),
IF($V268="IPCA",INDEX('Debs IPCA'!$Z:$Z,MATCH(Base!$C268,'Debs IPCA'!$A:$A,0))))))</f>
        <v>9.0000000000000011E-3</v>
      </c>
      <c r="Z268" s="43">
        <v>252</v>
      </c>
      <c r="AA268" s="43" t="s">
        <v>30</v>
      </c>
      <c r="AB268" s="43" t="s">
        <v>32</v>
      </c>
      <c r="AC268">
        <f t="shared" si="73"/>
        <v>0</v>
      </c>
      <c r="AD268" s="43" t="s">
        <v>31</v>
      </c>
      <c r="AE268">
        <f t="shared" si="74"/>
        <v>1</v>
      </c>
      <c r="AF268" s="34" t="str" cm="1">
        <f t="array" ref="AF268">INDEX(Ratings!$B$2:$M$40,_xlfn.XMATCH(Base!F268,Ratings!$A$2:$A$40),_xlfn.XMATCH(YEAR(Base!K268),Ratings!$B$1:$M$1))</f>
        <v>BB-</v>
      </c>
      <c r="AG268">
        <f t="shared" si="82"/>
        <v>0</v>
      </c>
      <c r="AH268">
        <f>IFERROR(IFERROR(IFERROR(INDEX('EMBI+'!$B:$B,MATCH(Base!$K268,'EMBI+'!$A:$A,0)),INDEX('EMBI+'!$B:$B,MATCH(Base!$K268+1,'EMBI+'!$A:$A,0))),INDEX('EMBI+'!$B:$B,MATCH(Base!$K268+2,'EMBI+'!$A:$A,0))),INDEX('EMBI+'!$B:$B,MATCH(Base!$K268+3,'EMBI+'!$A:$A,0)))/100</f>
        <v>2.54</v>
      </c>
      <c r="AL268" s="43"/>
      <c r="AM268" s="28"/>
      <c r="AN268" s="28"/>
    </row>
    <row r="269" spans="1:40" x14ac:dyDescent="0.35">
      <c r="A269">
        <f t="shared" si="83"/>
        <v>267</v>
      </c>
      <c r="B269">
        <f>IF(G269="Bonds",COUNTIF($G$3:G269,"Bonds"),0)</f>
        <v>0</v>
      </c>
      <c r="C269" t="str">
        <f t="shared" si="77"/>
        <v>Light Energia4375344849</v>
      </c>
      <c r="D269">
        <f t="shared" si="78"/>
        <v>23</v>
      </c>
      <c r="E269" s="43" t="s">
        <v>340</v>
      </c>
      <c r="F269" s="43" t="s">
        <v>332</v>
      </c>
      <c r="G269" s="43" t="s">
        <v>25</v>
      </c>
      <c r="H269">
        <f t="shared" si="70"/>
        <v>0</v>
      </c>
      <c r="I269" s="43" t="s">
        <v>348</v>
      </c>
      <c r="J269" s="34">
        <f t="shared" si="79"/>
        <v>15</v>
      </c>
      <c r="K269" s="28">
        <v>43753</v>
      </c>
      <c r="L269" s="28">
        <v>44849</v>
      </c>
      <c r="M269" s="60">
        <f t="shared" si="71"/>
        <v>3.0027397260273974</v>
      </c>
      <c r="N269" s="4">
        <f t="shared" si="72"/>
        <v>0</v>
      </c>
      <c r="O269" s="43" t="s">
        <v>44</v>
      </c>
      <c r="P269" t="str">
        <f t="shared" si="75"/>
        <v>0</v>
      </c>
      <c r="Q269" s="44">
        <v>500400</v>
      </c>
      <c r="R269" s="43">
        <v>1000</v>
      </c>
      <c r="S269" s="34" t="str">
        <f>IF($V269="USD",INDEX('Dólar Spot'!$B:$B,MATCH(Base!$K269,'Dólar Spot'!$A:$A,0)),"")</f>
        <v/>
      </c>
      <c r="T269" s="4">
        <f t="shared" si="81"/>
        <v>500400000</v>
      </c>
      <c r="U269" s="8">
        <f t="shared" si="76"/>
        <v>5.0039999999999996</v>
      </c>
      <c r="V269" s="43" t="s">
        <v>41</v>
      </c>
      <c r="W269" s="45">
        <v>100</v>
      </c>
      <c r="X269" s="46">
        <v>1.5</v>
      </c>
      <c r="Y269" s="9">
        <f>IF(AND(V269="DI",$W269=100),$X269/100,
IF(AND(V269="DI",$W269&lt;&gt;100,$X269=""),INDEX('Debs %CDI'!$Q:$Q,MATCH(Base!$C269,'Debs %CDI'!$A:$A,0)),
IF($V269="USD",INDEX(Bonds!$AF:$AF,MATCH(Base!$C269,Bonds!$B:$B,0)),
IF($V269="IPCA",INDEX('Debs IPCA'!$Z:$Z,MATCH(Base!$C269,'Debs IPCA'!$A:$A,0))))))</f>
        <v>1.4999999999999999E-2</v>
      </c>
      <c r="Z269" s="43">
        <v>252</v>
      </c>
      <c r="AA269" s="43" t="s">
        <v>30</v>
      </c>
      <c r="AB269" s="43" t="s">
        <v>32</v>
      </c>
      <c r="AC269">
        <f t="shared" si="73"/>
        <v>0</v>
      </c>
      <c r="AD269" s="43" t="s">
        <v>31</v>
      </c>
      <c r="AE269">
        <f t="shared" si="74"/>
        <v>1</v>
      </c>
      <c r="AF269" s="34" t="str" cm="1">
        <f t="array" ref="AF269">INDEX(Ratings!$B$2:$M$40,_xlfn.XMATCH(Base!F269,Ratings!$A$2:$A$40),_xlfn.XMATCH(YEAR(Base!K269),Ratings!$B$1:$M$1))</f>
        <v>BB-</v>
      </c>
      <c r="AG269">
        <f t="shared" si="82"/>
        <v>0</v>
      </c>
      <c r="AH269">
        <f>IFERROR(IFERROR(IFERROR(INDEX('EMBI+'!$B:$B,MATCH(Base!$K269,'EMBI+'!$A:$A,0)),INDEX('EMBI+'!$B:$B,MATCH(Base!$K269+1,'EMBI+'!$A:$A,0))),INDEX('EMBI+'!$B:$B,MATCH(Base!$K269+2,'EMBI+'!$A:$A,0))),INDEX('EMBI+'!$B:$B,MATCH(Base!$K269+3,'EMBI+'!$A:$A,0)))/100</f>
        <v>2.37</v>
      </c>
      <c r="AL269" s="43"/>
      <c r="AM269" s="28"/>
      <c r="AN269" s="28"/>
    </row>
    <row r="270" spans="1:40" x14ac:dyDescent="0.35">
      <c r="A270">
        <f t="shared" si="83"/>
        <v>268</v>
      </c>
      <c r="B270">
        <f>IF(G270="Bonds",COUNTIF($G$3:G270,"Bonds"),0)</f>
        <v>0</v>
      </c>
      <c r="C270" t="str">
        <f t="shared" si="77"/>
        <v>Light Energia4393644301</v>
      </c>
      <c r="D270">
        <f t="shared" si="78"/>
        <v>23</v>
      </c>
      <c r="E270" s="43" t="s">
        <v>340</v>
      </c>
      <c r="F270" s="43" t="s">
        <v>332</v>
      </c>
      <c r="G270" s="43" t="s">
        <v>25</v>
      </c>
      <c r="H270">
        <f t="shared" si="70"/>
        <v>0</v>
      </c>
      <c r="I270" s="43" t="s">
        <v>349</v>
      </c>
      <c r="J270" s="34">
        <f t="shared" si="79"/>
        <v>16</v>
      </c>
      <c r="K270" s="28">
        <v>43936</v>
      </c>
      <c r="L270" s="28">
        <v>44301</v>
      </c>
      <c r="M270" s="60">
        <f t="shared" si="71"/>
        <v>1</v>
      </c>
      <c r="N270" s="4">
        <f t="shared" si="72"/>
        <v>0</v>
      </c>
      <c r="O270" s="43" t="s">
        <v>44</v>
      </c>
      <c r="P270" t="str">
        <f t="shared" si="75"/>
        <v>0</v>
      </c>
      <c r="Q270" s="44">
        <v>400000</v>
      </c>
      <c r="R270" s="43">
        <v>1000</v>
      </c>
      <c r="S270" s="34" t="str">
        <f>IF($V270="USD",INDEX('Dólar Spot'!$B:$B,MATCH(Base!$K270,'Dólar Spot'!$A:$A,0)),"")</f>
        <v/>
      </c>
      <c r="T270" s="4">
        <f t="shared" si="81"/>
        <v>400000000</v>
      </c>
      <c r="U270" s="8">
        <f t="shared" si="76"/>
        <v>4</v>
      </c>
      <c r="V270" s="43" t="s">
        <v>41</v>
      </c>
      <c r="W270" s="45">
        <v>100</v>
      </c>
      <c r="X270" s="46">
        <v>2.5099999999999998</v>
      </c>
      <c r="Y270" s="9">
        <f>IF(AND(V270="DI",$W270=100),$X270/100,
IF(AND(V270="DI",$W270&lt;&gt;100,$X270=""),INDEX('Debs %CDI'!$Q:$Q,MATCH(Base!$C270,'Debs %CDI'!$A:$A,0)),
IF($V270="USD",INDEX(Bonds!$AF:$AF,MATCH(Base!$C270,Bonds!$B:$B,0)),
IF($V270="IPCA",INDEX('Debs IPCA'!$Z:$Z,MATCH(Base!$C270,'Debs IPCA'!$A:$A,0))))))</f>
        <v>2.5099999999999997E-2</v>
      </c>
      <c r="Z270" s="43">
        <v>252</v>
      </c>
      <c r="AA270" s="43" t="s">
        <v>30</v>
      </c>
      <c r="AB270" s="43" t="s">
        <v>32</v>
      </c>
      <c r="AC270">
        <f t="shared" si="73"/>
        <v>0</v>
      </c>
      <c r="AD270" s="43" t="s">
        <v>31</v>
      </c>
      <c r="AE270">
        <f t="shared" si="74"/>
        <v>1</v>
      </c>
      <c r="AF270" s="34" t="str" cm="1">
        <f t="array" ref="AF270">INDEX(Ratings!$B$2:$M$40,_xlfn.XMATCH(Base!F270,Ratings!$A$2:$A$40),_xlfn.XMATCH(YEAR(Base!K270),Ratings!$B$1:$M$1))</f>
        <v>BB-</v>
      </c>
      <c r="AG270">
        <f t="shared" si="82"/>
        <v>0</v>
      </c>
      <c r="AH270">
        <f>IFERROR(IFERROR(IFERROR(INDEX('EMBI+'!$B:$B,MATCH(Base!$K270,'EMBI+'!$A:$A,0)),INDEX('EMBI+'!$B:$B,MATCH(Base!$K270+1,'EMBI+'!$A:$A,0))),INDEX('EMBI+'!$B:$B,MATCH(Base!$K270+2,'EMBI+'!$A:$A,0))),INDEX('EMBI+'!$B:$B,MATCH(Base!$K270+3,'EMBI+'!$A:$A,0)))/100</f>
        <v>3.94</v>
      </c>
      <c r="AL270" s="43"/>
      <c r="AM270" s="28"/>
      <c r="AN270" s="28"/>
    </row>
    <row r="271" spans="1:40" x14ac:dyDescent="0.35">
      <c r="A271">
        <f t="shared" si="83"/>
        <v>269</v>
      </c>
      <c r="B271">
        <f>IF(G271="Bonds",COUNTIF($G$3:G271,"Bonds"),0)</f>
        <v>0</v>
      </c>
      <c r="C271" t="str">
        <f t="shared" si="77"/>
        <v>Light Energia4404045853</v>
      </c>
      <c r="D271">
        <f t="shared" si="78"/>
        <v>23</v>
      </c>
      <c r="E271" s="43" t="s">
        <v>340</v>
      </c>
      <c r="F271" s="43" t="s">
        <v>332</v>
      </c>
      <c r="G271" s="43" t="s">
        <v>25</v>
      </c>
      <c r="H271">
        <f t="shared" si="70"/>
        <v>0</v>
      </c>
      <c r="I271" s="43" t="s">
        <v>350</v>
      </c>
      <c r="J271" s="34">
        <f t="shared" si="79"/>
        <v>17</v>
      </c>
      <c r="K271" s="28">
        <v>44040</v>
      </c>
      <c r="L271" s="28">
        <v>45853</v>
      </c>
      <c r="M271" s="60">
        <f t="shared" si="71"/>
        <v>4.9671232876712326</v>
      </c>
      <c r="N271" s="4">
        <f t="shared" si="72"/>
        <v>0</v>
      </c>
      <c r="O271" s="43" t="s">
        <v>44</v>
      </c>
      <c r="P271" t="str">
        <f t="shared" si="75"/>
        <v>0</v>
      </c>
      <c r="Q271" s="44">
        <v>500000</v>
      </c>
      <c r="R271" s="43">
        <v>1000</v>
      </c>
      <c r="S271" s="34" t="str">
        <f>IF($V271="USD",INDEX('Dólar Spot'!$B:$B,MATCH(Base!$K271,'Dólar Spot'!$A:$A,0)),"")</f>
        <v/>
      </c>
      <c r="T271" s="4">
        <f t="shared" si="81"/>
        <v>500000000</v>
      </c>
      <c r="U271" s="8">
        <f t="shared" si="76"/>
        <v>5</v>
      </c>
      <c r="V271" s="43" t="s">
        <v>28</v>
      </c>
      <c r="W271" s="45" t="s">
        <v>29</v>
      </c>
      <c r="X271" s="46">
        <v>5.8</v>
      </c>
      <c r="Y271" s="9">
        <f>IF(AND(V271="DI",$W271=100),$X271/100,
IF(AND(V271="DI",$W271&lt;&gt;100,$X271=""),INDEX('Debs %CDI'!$Q:$Q,MATCH(Base!$C271,'Debs %CDI'!$A:$A,0)),
IF($V271="USD",INDEX(Bonds!$AF:$AF,MATCH(Base!$C271,Bonds!$B:$B,0)),
IF($V271="IPCA",INDEX('Debs IPCA'!$Z:$Z,MATCH(Base!$C271,'Debs IPCA'!$A:$A,0))))))</f>
        <v>3.9040698438589816E-2</v>
      </c>
      <c r="Z271" s="43">
        <v>252</v>
      </c>
      <c r="AA271" s="43" t="s">
        <v>30</v>
      </c>
      <c r="AB271" s="43" t="s">
        <v>31</v>
      </c>
      <c r="AC271">
        <f t="shared" si="73"/>
        <v>1</v>
      </c>
      <c r="AD271" s="43" t="s">
        <v>32</v>
      </c>
      <c r="AE271">
        <f t="shared" si="74"/>
        <v>0</v>
      </c>
      <c r="AF271" s="34" t="str" cm="1">
        <f t="array" ref="AF271">INDEX(Ratings!$B$2:$M$40,_xlfn.XMATCH(Base!F271,Ratings!$A$2:$A$40),_xlfn.XMATCH(YEAR(Base!K271),Ratings!$B$1:$M$1))</f>
        <v>BB-</v>
      </c>
      <c r="AG271">
        <f t="shared" si="82"/>
        <v>0</v>
      </c>
      <c r="AH271">
        <f>IFERROR(IFERROR(IFERROR(INDEX('EMBI+'!$B:$B,MATCH(Base!$K271,'EMBI+'!$A:$A,0)),INDEX('EMBI+'!$B:$B,MATCH(Base!$K271+1,'EMBI+'!$A:$A,0))),INDEX('EMBI+'!$B:$B,MATCH(Base!$K271+2,'EMBI+'!$A:$A,0))),INDEX('EMBI+'!$B:$B,MATCH(Base!$K271+3,'EMBI+'!$A:$A,0)))/100</f>
        <v>3.49</v>
      </c>
      <c r="AL271" s="43"/>
      <c r="AM271" s="28"/>
      <c r="AN271" s="28"/>
    </row>
    <row r="272" spans="1:40" x14ac:dyDescent="0.35">
      <c r="A272">
        <f t="shared" si="83"/>
        <v>270</v>
      </c>
      <c r="B272">
        <f>IF(G272="Bonds",COUNTIF($G$3:G272,"Bonds"),0)</f>
        <v>0</v>
      </c>
      <c r="C272" t="str">
        <f t="shared" si="77"/>
        <v>Light Energia4405845884</v>
      </c>
      <c r="D272">
        <f t="shared" si="78"/>
        <v>23</v>
      </c>
      <c r="E272" s="43" t="s">
        <v>340</v>
      </c>
      <c r="F272" s="43" t="s">
        <v>332</v>
      </c>
      <c r="G272" s="43" t="s">
        <v>25</v>
      </c>
      <c r="H272">
        <f t="shared" si="70"/>
        <v>0</v>
      </c>
      <c r="I272" s="43" t="s">
        <v>351</v>
      </c>
      <c r="J272" s="34">
        <f t="shared" si="79"/>
        <v>18</v>
      </c>
      <c r="K272" s="28">
        <v>44058</v>
      </c>
      <c r="L272" s="28">
        <v>45884</v>
      </c>
      <c r="M272" s="60">
        <f t="shared" si="71"/>
        <v>5.0027397260273974</v>
      </c>
      <c r="N272" s="4">
        <f t="shared" si="72"/>
        <v>1</v>
      </c>
      <c r="O272" s="43" t="s">
        <v>44</v>
      </c>
      <c r="P272" t="str">
        <f t="shared" si="75"/>
        <v>0</v>
      </c>
      <c r="Q272" s="44">
        <v>600000</v>
      </c>
      <c r="R272" s="43">
        <v>1000</v>
      </c>
      <c r="S272" s="34" t="str">
        <f>IF($V272="USD",INDEX('Dólar Spot'!$B:$B,MATCH(Base!$K272,'Dólar Spot'!$A:$A,0)),"")</f>
        <v/>
      </c>
      <c r="T272" s="4">
        <f t="shared" si="81"/>
        <v>600000000</v>
      </c>
      <c r="U272" s="8">
        <f t="shared" si="76"/>
        <v>6</v>
      </c>
      <c r="V272" s="43" t="s">
        <v>28</v>
      </c>
      <c r="W272" s="45" t="s">
        <v>29</v>
      </c>
      <c r="X272" s="46">
        <v>5.0867000000000004</v>
      </c>
      <c r="Y272" s="9">
        <f>IF(AND(V272="DI",$W272=100),$X272/100,
IF(AND(V272="DI",$W272&lt;&gt;100,$X272=""),INDEX('Debs %CDI'!$Q:$Q,MATCH(Base!$C272,'Debs %CDI'!$A:$A,0)),
IF($V272="USD",INDEX(Bonds!$AF:$AF,MATCH(Base!$C272,Bonds!$B:$B,0)),
IF($V272="IPCA",INDEX('Debs IPCA'!$Z:$Z,MATCH(Base!$C272,'Debs IPCA'!$A:$A,0))))))</f>
        <v>2.8884797597171996E-2</v>
      </c>
      <c r="Z272" s="43">
        <v>252</v>
      </c>
      <c r="AA272" s="43" t="s">
        <v>30</v>
      </c>
      <c r="AB272" s="43" t="s">
        <v>31</v>
      </c>
      <c r="AC272">
        <f t="shared" si="73"/>
        <v>1</v>
      </c>
      <c r="AD272" s="43" t="s">
        <v>32</v>
      </c>
      <c r="AE272">
        <f t="shared" si="74"/>
        <v>0</v>
      </c>
      <c r="AF272" s="34" t="str" cm="1">
        <f t="array" ref="AF272">INDEX(Ratings!$B$2:$M$40,_xlfn.XMATCH(Base!F272,Ratings!$A$2:$A$40),_xlfn.XMATCH(YEAR(Base!K272),Ratings!$B$1:$M$1))</f>
        <v>BB-</v>
      </c>
      <c r="AG272">
        <f t="shared" si="82"/>
        <v>0</v>
      </c>
      <c r="AH272">
        <f>IFERROR(IFERROR(IFERROR(INDEX('EMBI+'!$B:$B,MATCH(Base!$K272,'EMBI+'!$A:$A,0)),INDEX('EMBI+'!$B:$B,MATCH(Base!$K272+1,'EMBI+'!$A:$A,0))),INDEX('EMBI+'!$B:$B,MATCH(Base!$K272+2,'EMBI+'!$A:$A,0))),INDEX('EMBI+'!$B:$B,MATCH(Base!$K272+3,'EMBI+'!$A:$A,0)))/100</f>
        <v>3.21</v>
      </c>
      <c r="AL272" s="43"/>
      <c r="AM272" s="28"/>
      <c r="AN272" s="28"/>
    </row>
    <row r="273" spans="1:40" x14ac:dyDescent="0.35">
      <c r="A273">
        <f t="shared" si="83"/>
        <v>271</v>
      </c>
      <c r="B273">
        <f>IF(G273="Bonds",COUNTIF($G$3:G273,"Bonds"),0)</f>
        <v>0</v>
      </c>
      <c r="C273" t="str">
        <f t="shared" si="77"/>
        <v>Light Energia4292344027</v>
      </c>
      <c r="D273">
        <f t="shared" si="78"/>
        <v>23</v>
      </c>
      <c r="E273" s="43" t="s">
        <v>340</v>
      </c>
      <c r="F273" s="43" t="s">
        <v>332</v>
      </c>
      <c r="G273" s="43" t="s">
        <v>25</v>
      </c>
      <c r="H273">
        <f t="shared" si="70"/>
        <v>0</v>
      </c>
      <c r="I273" s="43" t="s">
        <v>352</v>
      </c>
      <c r="J273" s="34">
        <f t="shared" si="79"/>
        <v>19</v>
      </c>
      <c r="K273" s="28">
        <v>42923</v>
      </c>
      <c r="L273" s="28">
        <v>44027</v>
      </c>
      <c r="M273" s="60">
        <f t="shared" si="71"/>
        <v>3.0246575342465754</v>
      </c>
      <c r="N273" s="4">
        <f t="shared" si="72"/>
        <v>0</v>
      </c>
      <c r="O273" s="43" t="s">
        <v>44</v>
      </c>
      <c r="P273" t="str">
        <f t="shared" si="75"/>
        <v>0</v>
      </c>
      <c r="Q273" s="44">
        <v>147889</v>
      </c>
      <c r="R273" s="43">
        <v>1000</v>
      </c>
      <c r="S273" s="34" t="str">
        <f>IF($V273="USD",INDEX('Dólar Spot'!$B:$B,MATCH(Base!$K273,'Dólar Spot'!$A:$A,0)),"")</f>
        <v/>
      </c>
      <c r="T273" s="4">
        <f t="shared" si="81"/>
        <v>147889000</v>
      </c>
      <c r="U273" s="8">
        <f t="shared" si="76"/>
        <v>1.47889</v>
      </c>
      <c r="V273" s="43" t="s">
        <v>41</v>
      </c>
      <c r="W273" s="45">
        <v>100</v>
      </c>
      <c r="X273" s="46">
        <v>4.2</v>
      </c>
      <c r="Y273" s="9">
        <f>IF(AND(V273="DI",$W273=100),$X273/100,
IF(AND(V273="DI",$W273&lt;&gt;100,$X273=""),INDEX('Debs %CDI'!$Q:$Q,MATCH(Base!$C273,'Debs %CDI'!$A:$A,0)),
IF($V273="USD",INDEX(Bonds!$AF:$AF,MATCH(Base!$C273,Bonds!$B:$B,0)),
IF($V273="IPCA",INDEX('Debs IPCA'!$Z:$Z,MATCH(Base!$C273,'Debs IPCA'!$A:$A,0))))))</f>
        <v>4.2000000000000003E-2</v>
      </c>
      <c r="Z273" s="43">
        <v>252</v>
      </c>
      <c r="AA273" s="43" t="s">
        <v>30</v>
      </c>
      <c r="AB273" s="43" t="s">
        <v>32</v>
      </c>
      <c r="AC273">
        <f t="shared" si="73"/>
        <v>0</v>
      </c>
      <c r="AD273" s="43" t="s">
        <v>31</v>
      </c>
      <c r="AE273">
        <f t="shared" si="74"/>
        <v>1</v>
      </c>
      <c r="AF273" s="34" t="str" cm="1">
        <f t="array" ref="AF273">INDEX(Ratings!$B$2:$M$40,_xlfn.XMATCH(Base!F273,Ratings!$A$2:$A$40),_xlfn.XMATCH(YEAR(Base!K273),Ratings!$B$1:$M$1))</f>
        <v>NR</v>
      </c>
      <c r="AG273">
        <f t="shared" si="82"/>
        <v>0</v>
      </c>
      <c r="AH273">
        <f>IFERROR(IFERROR(IFERROR(INDEX('EMBI+'!$B:$B,MATCH(Base!$K273,'EMBI+'!$A:$A,0)),INDEX('EMBI+'!$B:$B,MATCH(Base!$K273+1,'EMBI+'!$A:$A,0))),INDEX('EMBI+'!$B:$B,MATCH(Base!$K273+2,'EMBI+'!$A:$A,0))),INDEX('EMBI+'!$B:$B,MATCH(Base!$K273+3,'EMBI+'!$A:$A,0)))/100</f>
        <v>2.93</v>
      </c>
      <c r="AL273" s="43"/>
      <c r="AM273" s="28"/>
      <c r="AN273" s="28"/>
    </row>
    <row r="274" spans="1:40" x14ac:dyDescent="0.35">
      <c r="A274">
        <f t="shared" si="83"/>
        <v>272</v>
      </c>
      <c r="B274">
        <f>IF(G274="Bonds",COUNTIF($G$3:G274,"Bonds"),0)</f>
        <v>0</v>
      </c>
      <c r="C274" t="str">
        <f t="shared" si="77"/>
        <v>Light Energia4338844849</v>
      </c>
      <c r="D274">
        <f t="shared" si="78"/>
        <v>23</v>
      </c>
      <c r="E274" s="43" t="s">
        <v>340</v>
      </c>
      <c r="F274" s="43" t="s">
        <v>332</v>
      </c>
      <c r="G274" s="43" t="s">
        <v>25</v>
      </c>
      <c r="H274">
        <f t="shared" si="70"/>
        <v>0</v>
      </c>
      <c r="I274" s="43" t="s">
        <v>353</v>
      </c>
      <c r="J274" s="34">
        <f t="shared" si="79"/>
        <v>20</v>
      </c>
      <c r="K274" s="28">
        <v>43388</v>
      </c>
      <c r="L274" s="28">
        <v>44849</v>
      </c>
      <c r="M274" s="60">
        <f t="shared" si="71"/>
        <v>4.0027397260273974</v>
      </c>
      <c r="N274" s="4">
        <f t="shared" si="72"/>
        <v>0</v>
      </c>
      <c r="O274" s="43" t="s">
        <v>44</v>
      </c>
      <c r="P274" t="str">
        <f t="shared" si="75"/>
        <v>0</v>
      </c>
      <c r="Q274" s="44">
        <v>160000</v>
      </c>
      <c r="R274" s="43">
        <v>1000</v>
      </c>
      <c r="S274" s="34" t="str">
        <f>IF($V274="USD",INDEX('Dólar Spot'!$B:$B,MATCH(Base!$K274,'Dólar Spot'!$A:$A,0)),"")</f>
        <v/>
      </c>
      <c r="T274" s="4">
        <f t="shared" si="81"/>
        <v>160000000</v>
      </c>
      <c r="U274" s="8">
        <f t="shared" si="76"/>
        <v>1.6</v>
      </c>
      <c r="V274" s="43" t="s">
        <v>41</v>
      </c>
      <c r="W274" s="45">
        <v>100</v>
      </c>
      <c r="X274" s="46">
        <v>2.2000000000000002</v>
      </c>
      <c r="Y274" s="9">
        <f>IF(AND(V274="DI",$W274=100),$X274/100,
IF(AND(V274="DI",$W274&lt;&gt;100,$X274=""),INDEX('Debs %CDI'!$Q:$Q,MATCH(Base!$C274,'Debs %CDI'!$A:$A,0)),
IF($V274="USD",INDEX(Bonds!$AF:$AF,MATCH(Base!$C274,Bonds!$B:$B,0)),
IF($V274="IPCA",INDEX('Debs IPCA'!$Z:$Z,MATCH(Base!$C274,'Debs IPCA'!$A:$A,0))))))</f>
        <v>2.2000000000000002E-2</v>
      </c>
      <c r="Z274" s="43">
        <v>252</v>
      </c>
      <c r="AA274" s="43" t="s">
        <v>30</v>
      </c>
      <c r="AB274" s="43" t="s">
        <v>32</v>
      </c>
      <c r="AC274">
        <f t="shared" si="73"/>
        <v>0</v>
      </c>
      <c r="AD274" s="43" t="s">
        <v>31</v>
      </c>
      <c r="AE274">
        <f t="shared" si="74"/>
        <v>1</v>
      </c>
      <c r="AF274" s="34" t="str" cm="1">
        <f t="array" ref="AF274">INDEX(Ratings!$B$2:$M$40,_xlfn.XMATCH(Base!F274,Ratings!$A$2:$A$40),_xlfn.XMATCH(YEAR(Base!K274),Ratings!$B$1:$M$1))</f>
        <v>BB-</v>
      </c>
      <c r="AG274">
        <f t="shared" si="82"/>
        <v>0</v>
      </c>
      <c r="AH274">
        <f>IFERROR(IFERROR(IFERROR(INDEX('EMBI+'!$B:$B,MATCH(Base!$K274,'EMBI+'!$A:$A,0)),INDEX('EMBI+'!$B:$B,MATCH(Base!$K274+1,'EMBI+'!$A:$A,0))),INDEX('EMBI+'!$B:$B,MATCH(Base!$K274+2,'EMBI+'!$A:$A,0))),INDEX('EMBI+'!$B:$B,MATCH(Base!$K274+3,'EMBI+'!$A:$A,0)))/100</f>
        <v>2.61</v>
      </c>
      <c r="AL274" s="43"/>
      <c r="AM274" s="28"/>
      <c r="AN274" s="28"/>
    </row>
    <row r="275" spans="1:40" x14ac:dyDescent="0.35">
      <c r="A275">
        <f t="shared" si="83"/>
        <v>273</v>
      </c>
      <c r="B275">
        <f>IF(G275="Bonds",COUNTIF($G$3:G275,"Bonds"),0)</f>
        <v>0</v>
      </c>
      <c r="C275" t="str">
        <f t="shared" si="77"/>
        <v>Light Energia4357045397</v>
      </c>
      <c r="D275">
        <f t="shared" si="78"/>
        <v>23</v>
      </c>
      <c r="E275" s="43" t="s">
        <v>340</v>
      </c>
      <c r="F275" s="43" t="s">
        <v>332</v>
      </c>
      <c r="G275" s="43" t="s">
        <v>25</v>
      </c>
      <c r="H275">
        <f t="shared" si="70"/>
        <v>0</v>
      </c>
      <c r="I275" s="43" t="s">
        <v>354</v>
      </c>
      <c r="J275" s="34">
        <f t="shared" si="79"/>
        <v>21</v>
      </c>
      <c r="K275" s="28">
        <v>43570</v>
      </c>
      <c r="L275" s="28">
        <v>45397</v>
      </c>
      <c r="M275" s="60">
        <f t="shared" si="71"/>
        <v>5.0054794520547947</v>
      </c>
      <c r="N275" s="4">
        <f t="shared" si="72"/>
        <v>1</v>
      </c>
      <c r="O275" s="43" t="s">
        <v>44</v>
      </c>
      <c r="P275" t="str">
        <f t="shared" si="75"/>
        <v>0</v>
      </c>
      <c r="Q275" s="44">
        <v>422950</v>
      </c>
      <c r="R275" s="43">
        <v>1000</v>
      </c>
      <c r="S275" s="34" t="str">
        <f>IF($V275="USD",INDEX('Dólar Spot'!$B:$B,MATCH(Base!$K275,'Dólar Spot'!$A:$A,0)),"")</f>
        <v/>
      </c>
      <c r="T275" s="4">
        <f t="shared" si="81"/>
        <v>422950000</v>
      </c>
      <c r="U275" s="8">
        <f t="shared" si="76"/>
        <v>4.2294999999999998</v>
      </c>
      <c r="V275" s="43" t="s">
        <v>41</v>
      </c>
      <c r="W275" s="45">
        <v>100</v>
      </c>
      <c r="X275" s="46">
        <v>1.25</v>
      </c>
      <c r="Y275" s="9">
        <f>IF(AND(V275="DI",$W275=100),$X275/100,
IF(AND(V275="DI",$W275&lt;&gt;100,$X275=""),INDEX('Debs %CDI'!$Q:$Q,MATCH(Base!$C275,'Debs %CDI'!$A:$A,0)),
IF($V275="USD",INDEX(Bonds!$AF:$AF,MATCH(Base!$C275,Bonds!$B:$B,0)),
IF($V275="IPCA",INDEX('Debs IPCA'!$Z:$Z,MATCH(Base!$C275,'Debs IPCA'!$A:$A,0))))))</f>
        <v>1.2500000000000001E-2</v>
      </c>
      <c r="Z275" s="43">
        <v>252</v>
      </c>
      <c r="AA275" s="43" t="s">
        <v>30</v>
      </c>
      <c r="AB275" s="43" t="s">
        <v>32</v>
      </c>
      <c r="AC275">
        <f t="shared" si="73"/>
        <v>0</v>
      </c>
      <c r="AD275" s="43" t="s">
        <v>31</v>
      </c>
      <c r="AE275">
        <f t="shared" si="74"/>
        <v>1</v>
      </c>
      <c r="AF275" s="34" t="str" cm="1">
        <f t="array" ref="AF275">INDEX(Ratings!$B$2:$M$40,_xlfn.XMATCH(Base!F275,Ratings!$A$2:$A$40),_xlfn.XMATCH(YEAR(Base!K275),Ratings!$B$1:$M$1))</f>
        <v>BB-</v>
      </c>
      <c r="AG275">
        <f t="shared" si="82"/>
        <v>0</v>
      </c>
      <c r="AH275">
        <f>IFERROR(IFERROR(IFERROR(INDEX('EMBI+'!$B:$B,MATCH(Base!$K275,'EMBI+'!$A:$A,0)),INDEX('EMBI+'!$B:$B,MATCH(Base!$K275+1,'EMBI+'!$A:$A,0))),INDEX('EMBI+'!$B:$B,MATCH(Base!$K275+2,'EMBI+'!$A:$A,0))),INDEX('EMBI+'!$B:$B,MATCH(Base!$K275+3,'EMBI+'!$A:$A,0)))/100</f>
        <v>2.54</v>
      </c>
      <c r="AL275" s="43"/>
      <c r="AM275" s="28"/>
      <c r="AN275" s="28"/>
    </row>
    <row r="276" spans="1:40" x14ac:dyDescent="0.35">
      <c r="A276">
        <f t="shared" si="83"/>
        <v>274</v>
      </c>
      <c r="B276">
        <f>IF(G276="Bonds",COUNTIF($G$3:G276,"Bonds"),0)</f>
        <v>0</v>
      </c>
      <c r="C276" t="str">
        <f t="shared" ref="C276:C339" si="84">F276&amp;K276&amp;L276</f>
        <v>Light Energia4375345580</v>
      </c>
      <c r="D276">
        <f t="shared" ref="D276:D339" si="85">IF(F276&lt;&gt;F275,D275+1,D275)</f>
        <v>23</v>
      </c>
      <c r="E276" s="43" t="s">
        <v>340</v>
      </c>
      <c r="F276" s="43" t="s">
        <v>332</v>
      </c>
      <c r="G276" s="43" t="s">
        <v>25</v>
      </c>
      <c r="H276">
        <f t="shared" ref="H276:H346" si="86">IF(G276="Bonds",1,0)</f>
        <v>0</v>
      </c>
      <c r="I276" s="43" t="s">
        <v>355</v>
      </c>
      <c r="J276" s="34">
        <f t="shared" ref="J276:J339" si="87">IF(F276=F275,J275+1,1)</f>
        <v>22</v>
      </c>
      <c r="K276" s="28">
        <v>43753</v>
      </c>
      <c r="L276" s="28">
        <v>45580</v>
      </c>
      <c r="M276" s="60">
        <f t="shared" ref="M276:M346" si="88">(L276-K276)/365</f>
        <v>5.0054794520547947</v>
      </c>
      <c r="N276" s="4">
        <f t="shared" ref="N276:N346" si="89">IF(M276&gt;5,1,0)</f>
        <v>1</v>
      </c>
      <c r="O276" s="43" t="s">
        <v>44</v>
      </c>
      <c r="P276" t="str">
        <f t="shared" si="75"/>
        <v>0</v>
      </c>
      <c r="Q276" s="44">
        <v>50000</v>
      </c>
      <c r="R276" s="43">
        <v>1000</v>
      </c>
      <c r="S276" s="34" t="str">
        <f>IF($V276="USD",INDEX('Dólar Spot'!$B:$B,MATCH(Base!$K276,'Dólar Spot'!$A:$A,0)),"")</f>
        <v/>
      </c>
      <c r="T276" s="4">
        <f t="shared" si="81"/>
        <v>50000000</v>
      </c>
      <c r="U276" s="8">
        <f t="shared" si="76"/>
        <v>0.5</v>
      </c>
      <c r="V276" s="43" t="s">
        <v>41</v>
      </c>
      <c r="W276" s="45">
        <v>100</v>
      </c>
      <c r="X276" s="46">
        <v>1.75</v>
      </c>
      <c r="Y276" s="9">
        <f>IF(AND(V276="DI",$W276=100),$X276/100,
IF(AND(V276="DI",$W276&lt;&gt;100,$X276=""),INDEX('Debs %CDI'!$Q:$Q,MATCH(Base!$C276,'Debs %CDI'!$A:$A,0)),
IF($V276="USD",INDEX(Bonds!$AF:$AF,MATCH(Base!$C276,Bonds!$B:$B,0)),
IF($V276="IPCA",INDEX('Debs IPCA'!$Z:$Z,MATCH(Base!$C276,'Debs IPCA'!$A:$A,0))))))</f>
        <v>1.7500000000000002E-2</v>
      </c>
      <c r="Z276" s="43">
        <v>252</v>
      </c>
      <c r="AA276" s="43" t="s">
        <v>30</v>
      </c>
      <c r="AB276" s="43" t="s">
        <v>32</v>
      </c>
      <c r="AC276">
        <f t="shared" ref="AC276:AC346" si="90">IF(AB276="S",1,0)</f>
        <v>0</v>
      </c>
      <c r="AD276" s="43" t="s">
        <v>31</v>
      </c>
      <c r="AE276">
        <f t="shared" ref="AE276:AE346" si="91">IF(OR(AD276="N",AD276="AT MATURITY"),0,1)</f>
        <v>1</v>
      </c>
      <c r="AF276" s="34" t="str" cm="1">
        <f t="array" ref="AF276">INDEX(Ratings!$B$2:$M$40,_xlfn.XMATCH(Base!F276,Ratings!$A$2:$A$40),_xlfn.XMATCH(YEAR(Base!K276),Ratings!$B$1:$M$1))</f>
        <v>BB-</v>
      </c>
      <c r="AG276">
        <f t="shared" si="82"/>
        <v>0</v>
      </c>
      <c r="AH276">
        <f>IFERROR(IFERROR(IFERROR(INDEX('EMBI+'!$B:$B,MATCH(Base!$K276,'EMBI+'!$A:$A,0)),INDEX('EMBI+'!$B:$B,MATCH(Base!$K276+1,'EMBI+'!$A:$A,0))),INDEX('EMBI+'!$B:$B,MATCH(Base!$K276+2,'EMBI+'!$A:$A,0))),INDEX('EMBI+'!$B:$B,MATCH(Base!$K276+3,'EMBI+'!$A:$A,0)))/100</f>
        <v>2.37</v>
      </c>
      <c r="AL276" s="43"/>
      <c r="AM276" s="28"/>
      <c r="AN276" s="28"/>
    </row>
    <row r="277" spans="1:40" x14ac:dyDescent="0.35">
      <c r="A277">
        <f t="shared" si="83"/>
        <v>275</v>
      </c>
      <c r="B277">
        <f>IF(G277="Bonds",COUNTIF($G$3:G277,"Bonds"),0)</f>
        <v>0</v>
      </c>
      <c r="C277" t="str">
        <f t="shared" si="84"/>
        <v>Light Energia4292344027</v>
      </c>
      <c r="D277">
        <f t="shared" si="85"/>
        <v>23</v>
      </c>
      <c r="E277" s="43" t="s">
        <v>340</v>
      </c>
      <c r="F277" s="43" t="s">
        <v>332</v>
      </c>
      <c r="G277" s="43" t="s">
        <v>25</v>
      </c>
      <c r="H277">
        <f t="shared" si="86"/>
        <v>0</v>
      </c>
      <c r="I277" s="43" t="s">
        <v>356</v>
      </c>
      <c r="J277" s="34">
        <f t="shared" si="87"/>
        <v>23</v>
      </c>
      <c r="K277" s="28">
        <v>42923</v>
      </c>
      <c r="L277" s="28">
        <v>44027</v>
      </c>
      <c r="M277" s="60">
        <f t="shared" si="88"/>
        <v>3.0246575342465754</v>
      </c>
      <c r="N277" s="4">
        <f t="shared" si="89"/>
        <v>0</v>
      </c>
      <c r="O277" s="43" t="s">
        <v>44</v>
      </c>
      <c r="P277" t="str">
        <f t="shared" ref="P277:P347" si="92">IF(OR(O277="Real",O277="Flutuante",O277="SR SECURED"),"1","0")</f>
        <v>0</v>
      </c>
      <c r="Q277" s="44">
        <v>53333</v>
      </c>
      <c r="R277" s="43">
        <v>1000</v>
      </c>
      <c r="S277" s="34" t="str">
        <f>IF($V277="USD",INDEX('Dólar Spot'!$B:$B,MATCH(Base!$K277,'Dólar Spot'!$A:$A,0)),"")</f>
        <v/>
      </c>
      <c r="T277" s="4">
        <f t="shared" si="81"/>
        <v>53333000</v>
      </c>
      <c r="U277" s="8">
        <f t="shared" ref="U277:U347" si="93">IF(V277="USD",T277*S277/100000000,Q277*R277/100000000)</f>
        <v>0.53332999999999997</v>
      </c>
      <c r="V277" s="43" t="s">
        <v>28</v>
      </c>
      <c r="W277" s="45" t="s">
        <v>29</v>
      </c>
      <c r="X277" s="46">
        <v>9.0920000000000005</v>
      </c>
      <c r="Y277" s="9">
        <f>IF(AND(V277="DI",$W277=100),$X277/100,
IF(AND(V277="DI",$W277&lt;&gt;100,$X277=""),INDEX('Debs %CDI'!$Q:$Q,MATCH(Base!$C277,'Debs %CDI'!$A:$A,0)),
IF($V277="USD",INDEX(Bonds!$AF:$AF,MATCH(Base!$C277,Bonds!$B:$B,0)),
IF($V277="IPCA",INDEX('Debs IPCA'!$Z:$Z,MATCH(Base!$C277,'Debs IPCA'!$A:$A,0))))))</f>
        <v>3.6142913974750446E-2</v>
      </c>
      <c r="Z277" s="43">
        <v>252</v>
      </c>
      <c r="AA277" s="43" t="s">
        <v>30</v>
      </c>
      <c r="AB277" s="43" t="s">
        <v>32</v>
      </c>
      <c r="AC277">
        <f t="shared" si="90"/>
        <v>0</v>
      </c>
      <c r="AD277" s="43" t="s">
        <v>31</v>
      </c>
      <c r="AE277">
        <f t="shared" si="91"/>
        <v>1</v>
      </c>
      <c r="AF277" s="34" t="str" cm="1">
        <f t="array" ref="AF277">INDEX(Ratings!$B$2:$M$40,_xlfn.XMATCH(Base!F277,Ratings!$A$2:$A$40),_xlfn.XMATCH(YEAR(Base!K277),Ratings!$B$1:$M$1))</f>
        <v>NR</v>
      </c>
      <c r="AG277">
        <f t="shared" si="82"/>
        <v>0</v>
      </c>
      <c r="AH277">
        <f>IFERROR(IFERROR(IFERROR(INDEX('EMBI+'!$B:$B,MATCH(Base!$K277,'EMBI+'!$A:$A,0)),INDEX('EMBI+'!$B:$B,MATCH(Base!$K277+1,'EMBI+'!$A:$A,0))),INDEX('EMBI+'!$B:$B,MATCH(Base!$K277+2,'EMBI+'!$A:$A,0))),INDEX('EMBI+'!$B:$B,MATCH(Base!$K277+3,'EMBI+'!$A:$A,0)))/100</f>
        <v>2.93</v>
      </c>
      <c r="AL277" s="43"/>
      <c r="AM277" s="28"/>
      <c r="AN277" s="28"/>
    </row>
    <row r="278" spans="1:40" x14ac:dyDescent="0.35">
      <c r="A278">
        <f t="shared" si="83"/>
        <v>276</v>
      </c>
      <c r="B278">
        <f>IF(G278="Bonds",COUNTIF($G$3:G278,"Bonds"),0)</f>
        <v>0</v>
      </c>
      <c r="C278" t="str">
        <f t="shared" si="84"/>
        <v>Light Energia4448446310</v>
      </c>
      <c r="D278">
        <f t="shared" si="85"/>
        <v>23</v>
      </c>
      <c r="E278" s="43" t="s">
        <v>340</v>
      </c>
      <c r="F278" s="43" t="s">
        <v>332</v>
      </c>
      <c r="G278" s="43" t="s">
        <v>25</v>
      </c>
      <c r="H278">
        <f t="shared" si="86"/>
        <v>0</v>
      </c>
      <c r="I278" s="43" t="s">
        <v>357</v>
      </c>
      <c r="J278" s="34">
        <f t="shared" si="87"/>
        <v>24</v>
      </c>
      <c r="K278" s="28">
        <v>44484</v>
      </c>
      <c r="L278" s="28">
        <v>46310</v>
      </c>
      <c r="M278" s="60">
        <f t="shared" si="88"/>
        <v>5.0027397260273974</v>
      </c>
      <c r="N278" s="4">
        <f t="shared" si="89"/>
        <v>1</v>
      </c>
      <c r="O278" s="43" t="s">
        <v>44</v>
      </c>
      <c r="P278" t="str">
        <f t="shared" si="92"/>
        <v>0</v>
      </c>
      <c r="Q278" s="44">
        <v>263500</v>
      </c>
      <c r="R278" s="43">
        <v>1000</v>
      </c>
      <c r="S278" s="34" t="str">
        <f>IF($V278="USD",INDEX('Dólar Spot'!$B:$B,MATCH(Base!$K278,'Dólar Spot'!$A:$A,0)),"")</f>
        <v/>
      </c>
      <c r="T278" s="4">
        <f t="shared" si="81"/>
        <v>263500000</v>
      </c>
      <c r="U278" s="8">
        <f t="shared" si="93"/>
        <v>2.6349999999999998</v>
      </c>
      <c r="V278" s="43" t="s">
        <v>41</v>
      </c>
      <c r="W278" s="45">
        <v>100</v>
      </c>
      <c r="X278" s="46">
        <v>1.65</v>
      </c>
      <c r="Y278" s="9">
        <f>IF(AND(V278="DI",$W278=100),$X278/100,
IF(AND(V278="DI",$W278&lt;&gt;100,$X278=""),INDEX('Debs %CDI'!$Q:$Q,MATCH(Base!$C278,'Debs %CDI'!$A:$A,0)),
IF($V278="USD",INDEX(Bonds!$AF:$AF,MATCH(Base!$C278,Bonds!$B:$B,0)),
IF($V278="IPCA",INDEX('Debs IPCA'!$Z:$Z,MATCH(Base!$C278,'Debs IPCA'!$A:$A,0))))))</f>
        <v>1.6500000000000001E-2</v>
      </c>
      <c r="Z278" s="43">
        <v>252</v>
      </c>
      <c r="AA278" s="43" t="s">
        <v>30</v>
      </c>
      <c r="AB278" s="43" t="s">
        <v>32</v>
      </c>
      <c r="AC278">
        <f t="shared" si="90"/>
        <v>0</v>
      </c>
      <c r="AD278" s="43" t="s">
        <v>32</v>
      </c>
      <c r="AE278">
        <f t="shared" si="91"/>
        <v>0</v>
      </c>
      <c r="AF278" s="34" t="str" cm="1">
        <f t="array" ref="AF278">INDEX(Ratings!$B$2:$M$40,_xlfn.XMATCH(Base!F278,Ratings!$A$2:$A$40),_xlfn.XMATCH(YEAR(Base!K278),Ratings!$B$1:$M$1))</f>
        <v>BB-</v>
      </c>
      <c r="AG278">
        <f t="shared" si="82"/>
        <v>0</v>
      </c>
      <c r="AH278">
        <f>IFERROR(IFERROR(IFERROR(INDEX('EMBI+'!$B:$B,MATCH(Base!$K278,'EMBI+'!$A:$A,0)),INDEX('EMBI+'!$B:$B,MATCH(Base!$K278+1,'EMBI+'!$A:$A,0))),INDEX('EMBI+'!$B:$B,MATCH(Base!$K278+2,'EMBI+'!$A:$A,0))),INDEX('EMBI+'!$B:$B,MATCH(Base!$K278+3,'EMBI+'!$A:$A,0)))/100</f>
        <v>3.24</v>
      </c>
      <c r="AL278" s="43"/>
      <c r="AM278" s="28"/>
      <c r="AN278" s="28"/>
    </row>
    <row r="279" spans="1:40" x14ac:dyDescent="0.35">
      <c r="A279">
        <f t="shared" si="83"/>
        <v>277</v>
      </c>
      <c r="B279">
        <f>IF(G279="Bonds",COUNTIF($G$3:G279,"Bonds"),0)</f>
        <v>0</v>
      </c>
      <c r="C279" t="str">
        <f t="shared" si="84"/>
        <v>Light Energia4357045762</v>
      </c>
      <c r="D279">
        <f t="shared" si="85"/>
        <v>23</v>
      </c>
      <c r="E279" s="43" t="s">
        <v>340</v>
      </c>
      <c r="F279" s="43" t="s">
        <v>332</v>
      </c>
      <c r="G279" s="43" t="s">
        <v>25</v>
      </c>
      <c r="H279">
        <f t="shared" si="86"/>
        <v>0</v>
      </c>
      <c r="I279" s="43" t="s">
        <v>358</v>
      </c>
      <c r="J279" s="34">
        <f t="shared" si="87"/>
        <v>25</v>
      </c>
      <c r="K279" s="28">
        <v>43570</v>
      </c>
      <c r="L279" s="28">
        <v>45762</v>
      </c>
      <c r="M279" s="60">
        <f t="shared" si="88"/>
        <v>6.0054794520547947</v>
      </c>
      <c r="N279" s="4">
        <f t="shared" si="89"/>
        <v>1</v>
      </c>
      <c r="O279" s="43" t="s">
        <v>44</v>
      </c>
      <c r="P279" t="str">
        <f t="shared" si="92"/>
        <v>0</v>
      </c>
      <c r="Q279" s="44">
        <v>62500</v>
      </c>
      <c r="R279" s="43">
        <v>1000</v>
      </c>
      <c r="S279" s="34" t="str">
        <f>IF($V279="USD",INDEX('Dólar Spot'!$B:$B,MATCH(Base!$K279,'Dólar Spot'!$A:$A,0)),"")</f>
        <v/>
      </c>
      <c r="T279" s="4">
        <f t="shared" si="81"/>
        <v>62500000</v>
      </c>
      <c r="U279" s="8">
        <f t="shared" si="93"/>
        <v>0.625</v>
      </c>
      <c r="V279" s="43" t="s">
        <v>41</v>
      </c>
      <c r="W279" s="45">
        <v>100</v>
      </c>
      <c r="X279" s="46">
        <v>1.35</v>
      </c>
      <c r="Y279" s="9">
        <f>IF(AND(V279="DI",$W279=100),$X279/100,
IF(AND(V279="DI",$W279&lt;&gt;100,$X279=""),INDEX('Debs %CDI'!$Q:$Q,MATCH(Base!$C279,'Debs %CDI'!$A:$A,0)),
IF($V279="USD",INDEX(Bonds!$AF:$AF,MATCH(Base!$C279,Bonds!$B:$B,0)),
IF($V279="IPCA",INDEX('Debs IPCA'!$Z:$Z,MATCH(Base!$C279,'Debs IPCA'!$A:$A,0))))))</f>
        <v>1.3500000000000002E-2</v>
      </c>
      <c r="Z279" s="43">
        <v>252</v>
      </c>
      <c r="AA279" s="43" t="s">
        <v>30</v>
      </c>
      <c r="AB279" s="43" t="s">
        <v>32</v>
      </c>
      <c r="AC279">
        <f t="shared" si="90"/>
        <v>0</v>
      </c>
      <c r="AD279" s="43" t="s">
        <v>31</v>
      </c>
      <c r="AE279">
        <f t="shared" si="91"/>
        <v>1</v>
      </c>
      <c r="AF279" s="34" t="str" cm="1">
        <f t="array" ref="AF279">INDEX(Ratings!$B$2:$M$40,_xlfn.XMATCH(Base!F279,Ratings!$A$2:$A$40),_xlfn.XMATCH(YEAR(Base!K279),Ratings!$B$1:$M$1))</f>
        <v>BB-</v>
      </c>
      <c r="AG279">
        <f t="shared" si="82"/>
        <v>0</v>
      </c>
      <c r="AH279">
        <f>IFERROR(IFERROR(IFERROR(INDEX('EMBI+'!$B:$B,MATCH(Base!$K279,'EMBI+'!$A:$A,0)),INDEX('EMBI+'!$B:$B,MATCH(Base!$K279+1,'EMBI+'!$A:$A,0))),INDEX('EMBI+'!$B:$B,MATCH(Base!$K279+2,'EMBI+'!$A:$A,0))),INDEX('EMBI+'!$B:$B,MATCH(Base!$K279+3,'EMBI+'!$A:$A,0)))/100</f>
        <v>2.54</v>
      </c>
      <c r="AL279" s="43"/>
      <c r="AM279" s="28"/>
      <c r="AN279" s="28"/>
    </row>
    <row r="280" spans="1:40" x14ac:dyDescent="0.35">
      <c r="A280">
        <f t="shared" si="83"/>
        <v>278</v>
      </c>
      <c r="B280">
        <f>IF(G280="Bonds",COUNTIF($G$3:G280,"Bonds"),0)</f>
        <v>0</v>
      </c>
      <c r="C280" t="str">
        <f t="shared" si="84"/>
        <v>Light Energia4430147953</v>
      </c>
      <c r="D280">
        <f t="shared" si="85"/>
        <v>23</v>
      </c>
      <c r="E280" s="43" t="s">
        <v>340</v>
      </c>
      <c r="F280" s="43" t="s">
        <v>332</v>
      </c>
      <c r="G280" s="43" t="s">
        <v>25</v>
      </c>
      <c r="H280">
        <f t="shared" si="86"/>
        <v>0</v>
      </c>
      <c r="I280" s="43" t="s">
        <v>359</v>
      </c>
      <c r="J280" s="34">
        <f t="shared" si="87"/>
        <v>26</v>
      </c>
      <c r="K280" s="28">
        <v>44301</v>
      </c>
      <c r="L280" s="28">
        <v>47953</v>
      </c>
      <c r="M280" s="60">
        <f t="shared" si="88"/>
        <v>10.005479452054795</v>
      </c>
      <c r="N280" s="4">
        <f t="shared" si="89"/>
        <v>1</v>
      </c>
      <c r="O280" s="43" t="s">
        <v>44</v>
      </c>
      <c r="P280" t="str">
        <f t="shared" si="92"/>
        <v>0</v>
      </c>
      <c r="Q280" s="44">
        <v>916381</v>
      </c>
      <c r="R280" s="43">
        <v>1000</v>
      </c>
      <c r="S280" s="34" t="str">
        <f>IF($V280="USD",INDEX('Dólar Spot'!$B:$B,MATCH(Base!$K280,'Dólar Spot'!$A:$A,0)),"")</f>
        <v/>
      </c>
      <c r="T280" s="4">
        <f t="shared" si="81"/>
        <v>916381000</v>
      </c>
      <c r="U280" s="8">
        <f t="shared" si="93"/>
        <v>9.1638099999999998</v>
      </c>
      <c r="V280" s="43" t="s">
        <v>28</v>
      </c>
      <c r="W280" s="45" t="s">
        <v>29</v>
      </c>
      <c r="X280" s="46">
        <v>4.7542999999999997</v>
      </c>
      <c r="Y280" s="9">
        <f>IF(AND(V280="DI",$W280=100),$X280/100,
IF(AND(V280="DI",$W280&lt;&gt;100,$X280=""),INDEX('Debs %CDI'!$Q:$Q,MATCH(Base!$C280,'Debs %CDI'!$A:$A,0)),
IF($V280="USD",INDEX(Bonds!$AF:$AF,MATCH(Base!$C280,Bonds!$B:$B,0)),
IF($V280="IPCA",INDEX('Debs IPCA'!$Z:$Z,MATCH(Base!$C280,'Debs IPCA'!$A:$A,0))))))</f>
        <v>8.4341361251929481E-3</v>
      </c>
      <c r="Z280" s="43">
        <v>252</v>
      </c>
      <c r="AA280" s="43" t="s">
        <v>30</v>
      </c>
      <c r="AB280" s="43" t="s">
        <v>31</v>
      </c>
      <c r="AC280">
        <f t="shared" si="90"/>
        <v>1</v>
      </c>
      <c r="AD280" s="43" t="s">
        <v>32</v>
      </c>
      <c r="AE280">
        <f t="shared" si="91"/>
        <v>0</v>
      </c>
      <c r="AF280" s="34" t="str" cm="1">
        <f t="array" ref="AF280">INDEX(Ratings!$B$2:$M$40,_xlfn.XMATCH(Base!F280,Ratings!$A$2:$A$40),_xlfn.XMATCH(YEAR(Base!K280),Ratings!$B$1:$M$1))</f>
        <v>BB-</v>
      </c>
      <c r="AG280">
        <f t="shared" si="82"/>
        <v>0</v>
      </c>
      <c r="AH280">
        <f>IFERROR(IFERROR(IFERROR(INDEX('EMBI+'!$B:$B,MATCH(Base!$K280,'EMBI+'!$A:$A,0)),INDEX('EMBI+'!$B:$B,MATCH(Base!$K280+1,'EMBI+'!$A:$A,0))),INDEX('EMBI+'!$B:$B,MATCH(Base!$K280+2,'EMBI+'!$A:$A,0))),INDEX('EMBI+'!$B:$B,MATCH(Base!$K280+3,'EMBI+'!$A:$A,0)))/100</f>
        <v>2.9</v>
      </c>
      <c r="AL280" s="43"/>
      <c r="AM280" s="28"/>
      <c r="AN280" s="28"/>
    </row>
    <row r="281" spans="1:40" x14ac:dyDescent="0.35">
      <c r="A281">
        <f t="shared" si="83"/>
        <v>279</v>
      </c>
      <c r="B281">
        <f>IF(G281="Bonds",COUNTIF($G$3:G281,"Bonds"),0)</f>
        <v>0</v>
      </c>
      <c r="C281" t="str">
        <f t="shared" si="84"/>
        <v>Light Energia4448447041</v>
      </c>
      <c r="D281">
        <f t="shared" si="85"/>
        <v>23</v>
      </c>
      <c r="E281" s="43" t="s">
        <v>340</v>
      </c>
      <c r="F281" s="43" t="s">
        <v>332</v>
      </c>
      <c r="G281" s="43" t="s">
        <v>25</v>
      </c>
      <c r="H281">
        <f t="shared" si="86"/>
        <v>0</v>
      </c>
      <c r="I281" s="43" t="s">
        <v>360</v>
      </c>
      <c r="J281" s="34">
        <f t="shared" si="87"/>
        <v>27</v>
      </c>
      <c r="K281" s="28">
        <v>44484</v>
      </c>
      <c r="L281" s="28">
        <v>47041</v>
      </c>
      <c r="M281" s="60">
        <f t="shared" si="88"/>
        <v>7.0054794520547947</v>
      </c>
      <c r="N281" s="4">
        <f t="shared" si="89"/>
        <v>1</v>
      </c>
      <c r="O281" s="43" t="s">
        <v>44</v>
      </c>
      <c r="P281" t="str">
        <f t="shared" si="92"/>
        <v>0</v>
      </c>
      <c r="Q281" s="44">
        <v>268500</v>
      </c>
      <c r="R281" s="43">
        <v>1000</v>
      </c>
      <c r="S281" s="34" t="str">
        <f>IF($V281="USD",INDEX('Dólar Spot'!$B:$B,MATCH(Base!$K281,'Dólar Spot'!$A:$A,0)),"")</f>
        <v/>
      </c>
      <c r="T281" s="4">
        <f t="shared" si="81"/>
        <v>268500000</v>
      </c>
      <c r="U281" s="8">
        <f t="shared" si="93"/>
        <v>2.6850000000000001</v>
      </c>
      <c r="V281" s="43" t="s">
        <v>41</v>
      </c>
      <c r="W281" s="45">
        <v>100</v>
      </c>
      <c r="X281" s="46">
        <v>1.95</v>
      </c>
      <c r="Y281" s="9">
        <f>IF(AND(V281="DI",$W281=100),$X281/100,
IF(AND(V281="DI",$W281&lt;&gt;100,$X281=""),INDEX('Debs %CDI'!$Q:$Q,MATCH(Base!$C281,'Debs %CDI'!$A:$A,0)),
IF($V281="USD",INDEX(Bonds!$AF:$AF,MATCH(Base!$C281,Bonds!$B:$B,0)),
IF($V281="IPCA",INDEX('Debs IPCA'!$Z:$Z,MATCH(Base!$C281,'Debs IPCA'!$A:$A,0))))))</f>
        <v>1.95E-2</v>
      </c>
      <c r="Z281" s="43">
        <v>252</v>
      </c>
      <c r="AA281" s="43" t="s">
        <v>30</v>
      </c>
      <c r="AB281" s="43" t="s">
        <v>32</v>
      </c>
      <c r="AC281">
        <f t="shared" si="90"/>
        <v>0</v>
      </c>
      <c r="AD281" s="43" t="s">
        <v>32</v>
      </c>
      <c r="AE281">
        <f t="shared" si="91"/>
        <v>0</v>
      </c>
      <c r="AF281" s="34" t="str" cm="1">
        <f t="array" ref="AF281">INDEX(Ratings!$B$2:$M$40,_xlfn.XMATCH(Base!F281,Ratings!$A$2:$A$40),_xlfn.XMATCH(YEAR(Base!K281),Ratings!$B$1:$M$1))</f>
        <v>BB-</v>
      </c>
      <c r="AG281">
        <f t="shared" si="82"/>
        <v>0</v>
      </c>
      <c r="AH281">
        <f>IFERROR(IFERROR(IFERROR(INDEX('EMBI+'!$B:$B,MATCH(Base!$K281,'EMBI+'!$A:$A,0)),INDEX('EMBI+'!$B:$B,MATCH(Base!$K281+1,'EMBI+'!$A:$A,0))),INDEX('EMBI+'!$B:$B,MATCH(Base!$K281+2,'EMBI+'!$A:$A,0))),INDEX('EMBI+'!$B:$B,MATCH(Base!$K281+3,'EMBI+'!$A:$A,0)))/100</f>
        <v>3.24</v>
      </c>
      <c r="AL281" s="43"/>
      <c r="AM281" s="28"/>
      <c r="AN281" s="28"/>
    </row>
    <row r="282" spans="1:40" x14ac:dyDescent="0.35">
      <c r="A282">
        <f t="shared" si="83"/>
        <v>280</v>
      </c>
      <c r="B282">
        <f>IF(G282="Bonds",COUNTIF($G$3:G282,"Bonds"),0)</f>
        <v>0</v>
      </c>
      <c r="C282" t="str">
        <f t="shared" si="84"/>
        <v>Light Energia4375346310</v>
      </c>
      <c r="D282">
        <f t="shared" si="85"/>
        <v>23</v>
      </c>
      <c r="E282" s="43" t="s">
        <v>340</v>
      </c>
      <c r="F282" s="43" t="s">
        <v>332</v>
      </c>
      <c r="G282" s="43" t="s">
        <v>25</v>
      </c>
      <c r="H282">
        <f t="shared" si="86"/>
        <v>0</v>
      </c>
      <c r="I282" s="43" t="s">
        <v>361</v>
      </c>
      <c r="J282" s="34">
        <f t="shared" si="87"/>
        <v>28</v>
      </c>
      <c r="K282" s="28">
        <v>43753</v>
      </c>
      <c r="L282" s="28">
        <v>46310</v>
      </c>
      <c r="M282" s="60">
        <f t="shared" si="88"/>
        <v>7.0054794520547947</v>
      </c>
      <c r="N282" s="4">
        <f t="shared" si="89"/>
        <v>1</v>
      </c>
      <c r="O282" s="43" t="s">
        <v>44</v>
      </c>
      <c r="P282" t="str">
        <f t="shared" si="92"/>
        <v>0</v>
      </c>
      <c r="Q282" s="44">
        <v>149600</v>
      </c>
      <c r="R282" s="43">
        <v>1000</v>
      </c>
      <c r="S282" s="34" t="str">
        <f>IF($V282="USD",INDEX('Dólar Spot'!$B:$B,MATCH(Base!$K282,'Dólar Spot'!$A:$A,0)),"")</f>
        <v/>
      </c>
      <c r="T282" s="4">
        <f t="shared" si="81"/>
        <v>149600000</v>
      </c>
      <c r="U282" s="8">
        <f t="shared" si="93"/>
        <v>1.496</v>
      </c>
      <c r="V282" s="43" t="s">
        <v>28</v>
      </c>
      <c r="W282" s="45" t="s">
        <v>29</v>
      </c>
      <c r="X282" s="46">
        <v>5.25</v>
      </c>
      <c r="Y282" s="9">
        <f>IF(AND(V282="DI",$W282=100),$X282/100,
IF(AND(V282="DI",$W282&lt;&gt;100,$X282=""),INDEX('Debs %CDI'!$Q:$Q,MATCH(Base!$C282,'Debs %CDI'!$A:$A,0)),
IF($V282="USD",INDEX(Bonds!$AF:$AF,MATCH(Base!$C282,Bonds!$B:$B,0)),
IF($V282="IPCA",INDEX('Debs IPCA'!$Z:$Z,MATCH(Base!$C282,'Debs IPCA'!$A:$A,0))))))</f>
        <v>2.349734366634082E-2</v>
      </c>
      <c r="Z282" s="43">
        <v>252</v>
      </c>
      <c r="AA282" s="43" t="s">
        <v>30</v>
      </c>
      <c r="AB282" s="43" t="s">
        <v>32</v>
      </c>
      <c r="AC282">
        <f t="shared" si="90"/>
        <v>0</v>
      </c>
      <c r="AD282" s="43" t="s">
        <v>31</v>
      </c>
      <c r="AE282">
        <f t="shared" si="91"/>
        <v>1</v>
      </c>
      <c r="AF282" s="34" t="str" cm="1">
        <f t="array" ref="AF282">INDEX(Ratings!$B$2:$M$40,_xlfn.XMATCH(Base!F282,Ratings!$A$2:$A$40),_xlfn.XMATCH(YEAR(Base!K282),Ratings!$B$1:$M$1))</f>
        <v>BB-</v>
      </c>
      <c r="AG282">
        <f t="shared" si="82"/>
        <v>0</v>
      </c>
      <c r="AH282">
        <f>IFERROR(IFERROR(IFERROR(INDEX('EMBI+'!$B:$B,MATCH(Base!$K282,'EMBI+'!$A:$A,0)),INDEX('EMBI+'!$B:$B,MATCH(Base!$K282+1,'EMBI+'!$A:$A,0))),INDEX('EMBI+'!$B:$B,MATCH(Base!$K282+2,'EMBI+'!$A:$A,0))),INDEX('EMBI+'!$B:$B,MATCH(Base!$K282+3,'EMBI+'!$A:$A,0)))/100</f>
        <v>2.37</v>
      </c>
      <c r="AL282" s="43"/>
      <c r="AM282" s="28"/>
      <c r="AN282" s="28"/>
    </row>
    <row r="283" spans="1:40" x14ac:dyDescent="0.35">
      <c r="A283">
        <f t="shared" si="83"/>
        <v>281</v>
      </c>
      <c r="B283">
        <f>IF(G283="Bonds",COUNTIF($G$3:G283,"Bonds"),0)</f>
        <v>0</v>
      </c>
      <c r="C283" t="str">
        <f t="shared" si="84"/>
        <v>Light Energia4176843960</v>
      </c>
      <c r="D283">
        <f t="shared" si="85"/>
        <v>23</v>
      </c>
      <c r="E283" s="43" t="s">
        <v>340</v>
      </c>
      <c r="F283" s="43" t="s">
        <v>332</v>
      </c>
      <c r="G283" s="43" t="s">
        <v>25</v>
      </c>
      <c r="H283">
        <f t="shared" si="86"/>
        <v>0</v>
      </c>
      <c r="I283" s="43" t="s">
        <v>362</v>
      </c>
      <c r="J283" s="34">
        <f t="shared" si="87"/>
        <v>29</v>
      </c>
      <c r="K283" s="28">
        <v>41768</v>
      </c>
      <c r="L283" s="28">
        <v>43960</v>
      </c>
      <c r="M283" s="60">
        <f t="shared" si="88"/>
        <v>6.0054794520547947</v>
      </c>
      <c r="N283" s="4">
        <f t="shared" si="89"/>
        <v>1</v>
      </c>
      <c r="O283" s="43" t="s">
        <v>44</v>
      </c>
      <c r="P283" t="str">
        <f t="shared" si="92"/>
        <v>0</v>
      </c>
      <c r="Q283" s="44">
        <v>75000</v>
      </c>
      <c r="R283" s="43">
        <v>10000</v>
      </c>
      <c r="S283" s="34" t="str">
        <f>IF($V283="USD",INDEX('Dólar Spot'!$B:$B,MATCH(Base!$K283,'Dólar Spot'!$A:$A,0)),"")</f>
        <v/>
      </c>
      <c r="T283" s="4">
        <f t="shared" si="81"/>
        <v>750000000</v>
      </c>
      <c r="U283" s="8">
        <f t="shared" si="93"/>
        <v>7.5</v>
      </c>
      <c r="V283" s="43" t="s">
        <v>41</v>
      </c>
      <c r="W283" s="45">
        <v>115</v>
      </c>
      <c r="X283" s="46"/>
      <c r="Y283" s="9">
        <f>IF(AND(V283="DI",$W283=100),$X283/100,
IF(AND(V283="DI",$W283&lt;&gt;100,$X283=""),INDEX('Debs %CDI'!$Q:$Q,MATCH(Base!$C283,'Debs %CDI'!$A:$A,0)),
IF($V283="USD",INDEX(Bonds!$AF:$AF,MATCH(Base!$C283,Bonds!$B:$B,0)),
IF($V283="IPCA",INDEX('Debs IPCA'!$Z:$Z,MATCH(Base!$C283,'Debs IPCA'!$A:$A,0))))))</f>
        <v>1.8529427683058642E-2</v>
      </c>
      <c r="Z283" s="43">
        <v>252</v>
      </c>
      <c r="AA283" s="43" t="s">
        <v>30</v>
      </c>
      <c r="AB283" s="43" t="s">
        <v>32</v>
      </c>
      <c r="AC283">
        <f t="shared" si="90"/>
        <v>0</v>
      </c>
      <c r="AD283" s="43" t="s">
        <v>31</v>
      </c>
      <c r="AE283">
        <f t="shared" si="91"/>
        <v>1</v>
      </c>
      <c r="AF283" s="34" t="str" cm="1">
        <f t="array" ref="AF283">INDEX(Ratings!$B$2:$M$40,_xlfn.XMATCH(Base!F283,Ratings!$A$2:$A$40),_xlfn.XMATCH(YEAR(Base!K283),Ratings!$B$1:$M$1))</f>
        <v>NR</v>
      </c>
      <c r="AG283">
        <f t="shared" si="82"/>
        <v>0</v>
      </c>
      <c r="AH283">
        <f>IFERROR(IFERROR(IFERROR(INDEX('EMBI+'!$B:$B,MATCH(Base!$K283,'EMBI+'!$A:$A,0)),INDEX('EMBI+'!$B:$B,MATCH(Base!$K283+1,'EMBI+'!$A:$A,0))),INDEX('EMBI+'!$B:$B,MATCH(Base!$K283+2,'EMBI+'!$A:$A,0))),INDEX('EMBI+'!$B:$B,MATCH(Base!$K283+3,'EMBI+'!$A:$A,0)))/100</f>
        <v>2.0499999999999998</v>
      </c>
      <c r="AL283" s="43"/>
      <c r="AM283" s="28"/>
      <c r="AN283" s="28"/>
    </row>
    <row r="284" spans="1:40" x14ac:dyDescent="0.35">
      <c r="A284">
        <f t="shared" si="83"/>
        <v>282</v>
      </c>
      <c r="B284">
        <f>IF(G284="Bonds",COUNTIF($G$3:G284,"Bonds"),0)</f>
        <v>0</v>
      </c>
      <c r="C284" t="str">
        <f t="shared" si="84"/>
        <v>Light Energia4066541985</v>
      </c>
      <c r="D284">
        <f t="shared" si="85"/>
        <v>23</v>
      </c>
      <c r="E284" s="43" t="s">
        <v>340</v>
      </c>
      <c r="F284" s="43" t="s">
        <v>332</v>
      </c>
      <c r="G284" s="43" t="s">
        <v>25</v>
      </c>
      <c r="H284">
        <f t="shared" si="86"/>
        <v>0</v>
      </c>
      <c r="I284" s="43" t="s">
        <v>363</v>
      </c>
      <c r="J284" s="34">
        <f t="shared" si="87"/>
        <v>30</v>
      </c>
      <c r="K284" s="28">
        <v>40665</v>
      </c>
      <c r="L284" s="28">
        <v>41985</v>
      </c>
      <c r="M284" s="60">
        <f t="shared" si="88"/>
        <v>3.6164383561643834</v>
      </c>
      <c r="N284" s="4">
        <f t="shared" si="89"/>
        <v>0</v>
      </c>
      <c r="O284" s="43" t="s">
        <v>44</v>
      </c>
      <c r="P284" t="str">
        <f t="shared" si="92"/>
        <v>0</v>
      </c>
      <c r="Q284" s="44">
        <v>65000</v>
      </c>
      <c r="R284" s="43">
        <v>10000</v>
      </c>
      <c r="S284" s="34" t="str">
        <f>IF($V284="USD",INDEX('Dólar Spot'!$B:$B,MATCH(Base!$K284,'Dólar Spot'!$A:$A,0)),"")</f>
        <v/>
      </c>
      <c r="T284" s="4">
        <f t="shared" si="81"/>
        <v>650000000</v>
      </c>
      <c r="U284" s="8">
        <f t="shared" si="93"/>
        <v>6.5</v>
      </c>
      <c r="V284" s="43" t="s">
        <v>41</v>
      </c>
      <c r="W284" s="45">
        <v>100</v>
      </c>
      <c r="X284" s="46">
        <v>1.35</v>
      </c>
      <c r="Y284" s="9">
        <f>IF(AND(V284="DI",$W284=100),$X284/100,
IF(AND(V284="DI",$W284&lt;&gt;100,$X284=""),INDEX('Debs %CDI'!$Q:$Q,MATCH(Base!$C284,'Debs %CDI'!$A:$A,0)),
IF($V284="USD",INDEX(Bonds!$AF:$AF,MATCH(Base!$C284,Bonds!$B:$B,0)),
IF($V284="IPCA",INDEX('Debs IPCA'!$Z:$Z,MATCH(Base!$C284,'Debs IPCA'!$A:$A,0))))))</f>
        <v>1.3500000000000002E-2</v>
      </c>
      <c r="Z284" s="43">
        <v>252</v>
      </c>
      <c r="AA284" s="43" t="s">
        <v>30</v>
      </c>
      <c r="AB284" s="43" t="s">
        <v>32</v>
      </c>
      <c r="AC284">
        <f t="shared" si="90"/>
        <v>0</v>
      </c>
      <c r="AD284" s="43" t="s">
        <v>31</v>
      </c>
      <c r="AE284">
        <f t="shared" si="91"/>
        <v>1</v>
      </c>
      <c r="AF284" s="34" t="str" cm="1">
        <f t="array" ref="AF284">INDEX(Ratings!$B$2:$M$40,_xlfn.XMATCH(Base!F284,Ratings!$A$2:$A$40),_xlfn.XMATCH(YEAR(Base!K284),Ratings!$B$1:$M$1))</f>
        <v>NR</v>
      </c>
      <c r="AG284">
        <f t="shared" si="82"/>
        <v>0</v>
      </c>
      <c r="AH284">
        <f>IFERROR(IFERROR(IFERROR(INDEX('EMBI+'!$B:$B,MATCH(Base!$K284,'EMBI+'!$A:$A,0)),INDEX('EMBI+'!$B:$B,MATCH(Base!$K284+1,'EMBI+'!$A:$A,0))),INDEX('EMBI+'!$B:$B,MATCH(Base!$K284+2,'EMBI+'!$A:$A,0))),INDEX('EMBI+'!$B:$B,MATCH(Base!$K284+3,'EMBI+'!$A:$A,0)))/100</f>
        <v>1.65</v>
      </c>
      <c r="AL284" s="43"/>
      <c r="AM284" s="28"/>
      <c r="AN284" s="28"/>
    </row>
    <row r="285" spans="1:40" x14ac:dyDescent="0.35">
      <c r="A285">
        <f t="shared" si="83"/>
        <v>283</v>
      </c>
      <c r="B285">
        <f>IF(G285="Bonds",COUNTIF($G$3:G285,"Bonds"),0)</f>
        <v>0</v>
      </c>
      <c r="C285" t="str">
        <f t="shared" si="84"/>
        <v>Light Energia4144044331</v>
      </c>
      <c r="D285">
        <f t="shared" si="85"/>
        <v>23</v>
      </c>
      <c r="E285" s="43" t="s">
        <v>340</v>
      </c>
      <c r="F285" s="43" t="s">
        <v>332</v>
      </c>
      <c r="G285" s="43" t="s">
        <v>25</v>
      </c>
      <c r="H285">
        <f t="shared" si="86"/>
        <v>0</v>
      </c>
      <c r="I285" s="43" t="s">
        <v>364</v>
      </c>
      <c r="J285" s="34">
        <f t="shared" si="87"/>
        <v>31</v>
      </c>
      <c r="K285" s="28">
        <v>41440</v>
      </c>
      <c r="L285" s="28">
        <v>44331</v>
      </c>
      <c r="M285" s="60">
        <f t="shared" si="88"/>
        <v>7.9205479452054792</v>
      </c>
      <c r="N285" s="4">
        <f t="shared" si="89"/>
        <v>1</v>
      </c>
      <c r="O285" s="43" t="s">
        <v>44</v>
      </c>
      <c r="P285" t="str">
        <f t="shared" si="92"/>
        <v>0</v>
      </c>
      <c r="Q285" s="44">
        <v>100000</v>
      </c>
      <c r="R285" s="43">
        <v>10000</v>
      </c>
      <c r="S285" s="34" t="str">
        <f>IF($V285="USD",INDEX('Dólar Spot'!$B:$B,MATCH(Base!$K285,'Dólar Spot'!$A:$A,0)),"")</f>
        <v/>
      </c>
      <c r="T285" s="4">
        <f t="shared" si="81"/>
        <v>1000000000</v>
      </c>
      <c r="U285" s="8">
        <f t="shared" si="93"/>
        <v>10</v>
      </c>
      <c r="V285" s="43" t="s">
        <v>41</v>
      </c>
      <c r="W285" s="45">
        <v>100</v>
      </c>
      <c r="X285" s="46">
        <v>1.1499999999999999</v>
      </c>
      <c r="Y285" s="9">
        <f>IF(AND(V285="DI",$W285=100),$X285/100,
IF(AND(V285="DI",$W285&lt;&gt;100,$X285=""),INDEX('Debs %CDI'!$Q:$Q,MATCH(Base!$C285,'Debs %CDI'!$A:$A,0)),
IF($V285="USD",INDEX(Bonds!$AF:$AF,MATCH(Base!$C285,Bonds!$B:$B,0)),
IF($V285="IPCA",INDEX('Debs IPCA'!$Z:$Z,MATCH(Base!$C285,'Debs IPCA'!$A:$A,0))))))</f>
        <v>1.15E-2</v>
      </c>
      <c r="Z285" s="43">
        <v>252</v>
      </c>
      <c r="AA285" s="43" t="s">
        <v>30</v>
      </c>
      <c r="AB285" s="43" t="s">
        <v>32</v>
      </c>
      <c r="AC285">
        <f t="shared" si="90"/>
        <v>0</v>
      </c>
      <c r="AD285" s="43" t="s">
        <v>31</v>
      </c>
      <c r="AE285">
        <f t="shared" si="91"/>
        <v>1</v>
      </c>
      <c r="AF285" s="34" t="str" cm="1">
        <f t="array" ref="AF285">INDEX(Ratings!$B$2:$M$40,_xlfn.XMATCH(Base!F285,Ratings!$A$2:$A$40),_xlfn.XMATCH(YEAR(Base!K285),Ratings!$B$1:$M$1))</f>
        <v>NR</v>
      </c>
      <c r="AG285">
        <f t="shared" si="82"/>
        <v>0</v>
      </c>
      <c r="AH285">
        <f>IFERROR(IFERROR(IFERROR(INDEX('EMBI+'!$B:$B,MATCH(Base!$K285,'EMBI+'!$A:$A,0)),INDEX('EMBI+'!$B:$B,MATCH(Base!$K285+1,'EMBI+'!$A:$A,0))),INDEX('EMBI+'!$B:$B,MATCH(Base!$K285+2,'EMBI+'!$A:$A,0))),INDEX('EMBI+'!$B:$B,MATCH(Base!$K285+3,'EMBI+'!$A:$A,0)))/100</f>
        <v>2.16</v>
      </c>
      <c r="AL285" s="43"/>
      <c r="AM285" s="28"/>
      <c r="AN285" s="28"/>
    </row>
    <row r="286" spans="1:40" x14ac:dyDescent="0.35">
      <c r="A286">
        <f t="shared" si="83"/>
        <v>284</v>
      </c>
      <c r="B286">
        <f>IF(G286="Bonds",COUNTIF($G$3:G286,"Bonds"),0)</f>
        <v>0</v>
      </c>
      <c r="C286" t="str">
        <f t="shared" si="84"/>
        <v>Light Energia4144045061</v>
      </c>
      <c r="D286">
        <f t="shared" si="85"/>
        <v>23</v>
      </c>
      <c r="E286" s="43" t="s">
        <v>340</v>
      </c>
      <c r="F286" s="43" t="s">
        <v>332</v>
      </c>
      <c r="G286" s="43" t="s">
        <v>25</v>
      </c>
      <c r="H286">
        <f t="shared" si="86"/>
        <v>0</v>
      </c>
      <c r="I286" s="43" t="s">
        <v>365</v>
      </c>
      <c r="J286" s="34">
        <f t="shared" si="87"/>
        <v>32</v>
      </c>
      <c r="K286" s="28">
        <v>41440</v>
      </c>
      <c r="L286" s="28">
        <v>45061</v>
      </c>
      <c r="M286" s="60">
        <f t="shared" si="88"/>
        <v>9.9205479452054792</v>
      </c>
      <c r="N286" s="4">
        <f t="shared" si="89"/>
        <v>1</v>
      </c>
      <c r="O286" s="43" t="s">
        <v>44</v>
      </c>
      <c r="P286" t="str">
        <f t="shared" si="92"/>
        <v>0</v>
      </c>
      <c r="Q286" s="44">
        <v>60000</v>
      </c>
      <c r="R286" s="43">
        <v>10000</v>
      </c>
      <c r="S286" s="34" t="str">
        <f>IF($V286="USD",INDEX('Dólar Spot'!$B:$B,MATCH(Base!$K286,'Dólar Spot'!$A:$A,0)),"")</f>
        <v/>
      </c>
      <c r="T286" s="4">
        <f t="shared" si="81"/>
        <v>600000000</v>
      </c>
      <c r="U286" s="8">
        <f t="shared" si="93"/>
        <v>6</v>
      </c>
      <c r="V286" s="43" t="s">
        <v>28</v>
      </c>
      <c r="W286" s="45" t="s">
        <v>29</v>
      </c>
      <c r="X286" s="46">
        <v>5.74</v>
      </c>
      <c r="Y286" s="9">
        <f>IF(AND(V286="DI",$W286=100),$X286/100,
IF(AND(V286="DI",$W286&lt;&gt;100,$X286=""),INDEX('Debs %CDI'!$Q:$Q,MATCH(Base!$C286,'Debs %CDI'!$A:$A,0)),
IF($V286="USD",INDEX(Bonds!$AF:$AF,MATCH(Base!$C286,Bonds!$B:$B,0)),
IF($V286="IPCA",INDEX('Debs IPCA'!$Z:$Z,MATCH(Base!$C286,'Debs IPCA'!$A:$A,0))))))</f>
        <v>3.2883220489348108E-3</v>
      </c>
      <c r="Z286" s="43">
        <v>252</v>
      </c>
      <c r="AA286" s="43" t="s">
        <v>30</v>
      </c>
      <c r="AB286" s="43" t="s">
        <v>32</v>
      </c>
      <c r="AC286">
        <f t="shared" si="90"/>
        <v>0</v>
      </c>
      <c r="AD286" s="43" t="s">
        <v>31</v>
      </c>
      <c r="AE286">
        <f t="shared" si="91"/>
        <v>1</v>
      </c>
      <c r="AF286" s="34" t="str" cm="1">
        <f t="array" ref="AF286">INDEX(Ratings!$B$2:$M$40,_xlfn.XMATCH(Base!F286,Ratings!$A$2:$A$40),_xlfn.XMATCH(YEAR(Base!K286),Ratings!$B$1:$M$1))</f>
        <v>NR</v>
      </c>
      <c r="AG286">
        <f t="shared" si="82"/>
        <v>0</v>
      </c>
      <c r="AH286">
        <f>IFERROR(IFERROR(IFERROR(INDEX('EMBI+'!$B:$B,MATCH(Base!$K286,'EMBI+'!$A:$A,0)),INDEX('EMBI+'!$B:$B,MATCH(Base!$K286+1,'EMBI+'!$A:$A,0))),INDEX('EMBI+'!$B:$B,MATCH(Base!$K286+2,'EMBI+'!$A:$A,0))),INDEX('EMBI+'!$B:$B,MATCH(Base!$K286+3,'EMBI+'!$A:$A,0)))/100</f>
        <v>2.16</v>
      </c>
      <c r="AL286" s="43"/>
      <c r="AM286" s="28"/>
      <c r="AN286" s="28"/>
    </row>
    <row r="287" spans="1:40" x14ac:dyDescent="0.35">
      <c r="A287">
        <f t="shared" si="83"/>
        <v>285</v>
      </c>
      <c r="B287">
        <f>IF(G287="Bonds",COUNTIF($G$3:G287,"Bonds"),0)</f>
        <v>0</v>
      </c>
      <c r="C287" t="str">
        <f t="shared" si="84"/>
        <v>Light Energia4466645397</v>
      </c>
      <c r="D287">
        <f t="shared" si="85"/>
        <v>23</v>
      </c>
      <c r="E287" s="43" t="s">
        <v>340</v>
      </c>
      <c r="F287" s="43" t="s">
        <v>332</v>
      </c>
      <c r="G287" s="43" t="s">
        <v>25</v>
      </c>
      <c r="H287">
        <f t="shared" si="86"/>
        <v>0</v>
      </c>
      <c r="I287" s="43" t="s">
        <v>850</v>
      </c>
      <c r="J287" s="34">
        <f t="shared" si="87"/>
        <v>33</v>
      </c>
      <c r="K287" s="28">
        <v>44666</v>
      </c>
      <c r="L287" s="28">
        <v>45397</v>
      </c>
      <c r="M287" s="60">
        <f t="shared" si="88"/>
        <v>2.0027397260273974</v>
      </c>
      <c r="N287" s="4">
        <f t="shared" si="89"/>
        <v>0</v>
      </c>
      <c r="O287" s="43" t="s">
        <v>44</v>
      </c>
      <c r="P287" t="str">
        <f t="shared" si="92"/>
        <v>0</v>
      </c>
      <c r="Q287" s="44">
        <v>1300000</v>
      </c>
      <c r="R287" s="43">
        <v>1000</v>
      </c>
      <c r="S287" s="34" t="str">
        <f>IF($V287="USD",INDEX('Dólar Spot'!$B:$B,MATCH(Base!$K287,'Dólar Spot'!$A:$A,0)),"")</f>
        <v/>
      </c>
      <c r="T287" s="4">
        <f t="shared" si="81"/>
        <v>1300000000</v>
      </c>
      <c r="U287" s="8">
        <f t="shared" si="93"/>
        <v>13</v>
      </c>
      <c r="V287" s="43" t="s">
        <v>41</v>
      </c>
      <c r="W287" s="45">
        <v>100</v>
      </c>
      <c r="X287" s="46">
        <v>1.95</v>
      </c>
      <c r="Y287" s="9">
        <f>IF(AND(V287="DI",$W287=100),$X287/100,
IF(AND(V287="DI",$W287&lt;&gt;100,$X287=""),INDEX('Debs %CDI'!$Q:$Q,MATCH(Base!$C287,'Debs %CDI'!$A:$A,0)),
IF($V287="USD",INDEX(Bonds!$AF:$AF,MATCH(Base!$C287,Bonds!$B:$B,0)),
IF($V287="IPCA",INDEX('Debs IPCA'!$Z:$Z,MATCH(Base!$C287,'Debs IPCA'!$A:$A,0))))))</f>
        <v>1.95E-2</v>
      </c>
      <c r="Z287" s="43">
        <v>252</v>
      </c>
      <c r="AA287" s="43" t="s">
        <v>30</v>
      </c>
      <c r="AB287" s="43" t="s">
        <v>32</v>
      </c>
      <c r="AC287">
        <f t="shared" si="90"/>
        <v>0</v>
      </c>
      <c r="AD287" s="43" t="s">
        <v>31</v>
      </c>
      <c r="AE287">
        <f t="shared" si="91"/>
        <v>1</v>
      </c>
      <c r="AF287" s="34" t="str" cm="1">
        <f t="array" ref="AF287">INDEX(Ratings!$B$2:$M$40,_xlfn.XMATCH(Base!F287,Ratings!$A$2:$A$40),_xlfn.XMATCH(YEAR(Base!K287),Ratings!$B$1:$M$1))</f>
        <v>BB-</v>
      </c>
      <c r="AG287">
        <f t="shared" si="82"/>
        <v>0</v>
      </c>
      <c r="AH287">
        <f>IFERROR(IFERROR(IFERROR(INDEX('EMBI+'!$B:$B,MATCH(Base!$K287,'EMBI+'!$A:$A,0)),INDEX('EMBI+'!$B:$B,MATCH(Base!$K287+1,'EMBI+'!$A:$A,0))),INDEX('EMBI+'!$B:$B,MATCH(Base!$K287+2,'EMBI+'!$A:$A,0))),INDEX('EMBI+'!$B:$B,MATCH(Base!$K287+3,'EMBI+'!$A:$A,0)))/100</f>
        <v>2.84</v>
      </c>
      <c r="AL287" s="43"/>
      <c r="AM287" s="28"/>
      <c r="AN287" s="28"/>
    </row>
    <row r="288" spans="1:40" x14ac:dyDescent="0.35">
      <c r="A288">
        <f t="shared" si="83"/>
        <v>286</v>
      </c>
      <c r="B288">
        <f>IF(G288="Bonds",COUNTIF($G$3:G288,"Bonds"),0)</f>
        <v>77</v>
      </c>
      <c r="C288" t="str">
        <f t="shared" si="84"/>
        <v>Light Energia4436518/06/2026</v>
      </c>
      <c r="D288">
        <f t="shared" si="85"/>
        <v>23</v>
      </c>
      <c r="E288" s="43" t="s">
        <v>366</v>
      </c>
      <c r="F288" s="43" t="s">
        <v>332</v>
      </c>
      <c r="G288" s="43" t="s">
        <v>34</v>
      </c>
      <c r="H288">
        <f t="shared" si="86"/>
        <v>1</v>
      </c>
      <c r="I288" s="43"/>
      <c r="J288" s="34">
        <f t="shared" si="87"/>
        <v>34</v>
      </c>
      <c r="K288" s="28">
        <v>44365</v>
      </c>
      <c r="L288" s="28" t="s">
        <v>367</v>
      </c>
      <c r="M288" s="60">
        <f t="shared" si="88"/>
        <v>5.0027397260273974</v>
      </c>
      <c r="N288" s="4">
        <f t="shared" si="89"/>
        <v>1</v>
      </c>
      <c r="O288" s="43" t="s">
        <v>36</v>
      </c>
      <c r="P288" t="str">
        <f t="shared" si="92"/>
        <v>0</v>
      </c>
      <c r="Q288" s="43"/>
      <c r="R288" s="43"/>
      <c r="S288" s="34">
        <f>IF($V288="USD",INDEX('Dólar Spot'!$B:$B,MATCH(Base!$K288,'Dólar Spot'!$A:$A,0)),"")</f>
        <v>5.0313999999999997</v>
      </c>
      <c r="T288" s="44">
        <v>600000000</v>
      </c>
      <c r="U288" s="8">
        <f t="shared" si="93"/>
        <v>30.188400000000001</v>
      </c>
      <c r="V288" s="43" t="s">
        <v>651</v>
      </c>
      <c r="W288" s="45" t="s">
        <v>29</v>
      </c>
      <c r="X288" s="53">
        <v>4.375</v>
      </c>
      <c r="Y288" s="9">
        <f>IF(AND(V288="DI",$W288=100),$X288/100,
IF(AND(V288="DI",$W288&lt;&gt;100,$X288=""),INDEX('Debs %CDI'!$Q:$Q,MATCH(Base!$C288,'Debs %CDI'!$A:$A,0)),
IF($V288="USD",INDEX(Bonds!$AF:$AF,MATCH(Base!$C288,Bonds!$B:$B,0)),
IF($V288="IPCA",INDEX('Debs IPCA'!$Z:$Z,MATCH(Base!$C288,'Debs IPCA'!$A:$A,0))))))</f>
        <v>3.0281665583921757E-2</v>
      </c>
      <c r="Z288" s="43">
        <v>360</v>
      </c>
      <c r="AA288" s="43" t="s">
        <v>37</v>
      </c>
      <c r="AB288" s="43" t="s">
        <v>32</v>
      </c>
      <c r="AC288">
        <f t="shared" si="90"/>
        <v>0</v>
      </c>
      <c r="AD288" s="43" t="s">
        <v>31</v>
      </c>
      <c r="AE288">
        <f t="shared" si="91"/>
        <v>1</v>
      </c>
      <c r="AF288" s="34" t="str" cm="1">
        <f t="array" ref="AF288">INDEX(Ratings!$B$2:$M$40,_xlfn.XMATCH(Base!F288,Ratings!$A$2:$A$40),_xlfn.XMATCH(YEAR(Base!K288),Ratings!$B$1:$M$1))</f>
        <v>BB-</v>
      </c>
      <c r="AG288">
        <f t="shared" si="82"/>
        <v>0</v>
      </c>
      <c r="AH288">
        <f>IFERROR(IFERROR(IFERROR(INDEX('EMBI+'!$B:$B,MATCH(Base!$K288,'EMBI+'!$A:$A,0)),INDEX('EMBI+'!$B:$B,MATCH(Base!$K288+1,'EMBI+'!$A:$A,0))),INDEX('EMBI+'!$B:$B,MATCH(Base!$K288+2,'EMBI+'!$A:$A,0))),INDEX('EMBI+'!$B:$B,MATCH(Base!$K288+3,'EMBI+'!$A:$A,0)))/100</f>
        <v>2.67</v>
      </c>
      <c r="AL288" s="43"/>
      <c r="AM288" s="28"/>
      <c r="AN288" s="28"/>
    </row>
    <row r="289" spans="1:40" x14ac:dyDescent="0.35">
      <c r="A289">
        <f t="shared" si="83"/>
        <v>287</v>
      </c>
      <c r="B289">
        <f>IF(G289="Bonds",COUNTIF($G$3:G289,"Bonds"),0)</f>
        <v>78</v>
      </c>
      <c r="C289" t="str">
        <f t="shared" si="84"/>
        <v>Light Energia4322203/05/2023</v>
      </c>
      <c r="D289">
        <f t="shared" si="85"/>
        <v>23</v>
      </c>
      <c r="E289" s="43" t="s">
        <v>366</v>
      </c>
      <c r="F289" s="43" t="s">
        <v>332</v>
      </c>
      <c r="G289" s="43" t="s">
        <v>34</v>
      </c>
      <c r="H289">
        <f t="shared" si="86"/>
        <v>1</v>
      </c>
      <c r="I289" s="43"/>
      <c r="J289" s="34">
        <f t="shared" si="87"/>
        <v>35</v>
      </c>
      <c r="K289" s="28">
        <v>43222</v>
      </c>
      <c r="L289" s="28" t="s">
        <v>368</v>
      </c>
      <c r="M289" s="60">
        <f t="shared" si="88"/>
        <v>5.0054794520547947</v>
      </c>
      <c r="N289" s="4">
        <f t="shared" si="89"/>
        <v>1</v>
      </c>
      <c r="O289" s="43" t="s">
        <v>36</v>
      </c>
      <c r="P289" t="str">
        <f t="shared" si="92"/>
        <v>0</v>
      </c>
      <c r="Q289" s="43"/>
      <c r="R289" s="43"/>
      <c r="S289" s="34">
        <f>IF($V289="USD",INDEX('Dólar Spot'!$B:$B,MATCH(Base!$K289,'Dólar Spot'!$A:$A,0)),"")</f>
        <v>3.5417999999999998</v>
      </c>
      <c r="T289" s="44">
        <v>600000000</v>
      </c>
      <c r="U289" s="8">
        <f t="shared" si="93"/>
        <v>21.250800000000002</v>
      </c>
      <c r="V289" s="43" t="s">
        <v>651</v>
      </c>
      <c r="W289" s="45" t="s">
        <v>29</v>
      </c>
      <c r="X289" s="53">
        <v>7.25</v>
      </c>
      <c r="Y289" s="9">
        <f>IF(AND(V289="DI",$W289=100),$X289/100,
IF(AND(V289="DI",$W289&lt;&gt;100,$X289=""),INDEX('Debs %CDI'!$Q:$Q,MATCH(Base!$C289,'Debs %CDI'!$A:$A,0)),
IF($V289="USD",INDEX(Bonds!$AF:$AF,MATCH(Base!$C289,Bonds!$B:$B,0)),
IF($V289="IPCA",INDEX('Debs IPCA'!$Z:$Z,MATCH(Base!$C289,'Debs IPCA'!$A:$A,0))))))</f>
        <v>3.0164443942955366E-2</v>
      </c>
      <c r="Z289" s="43">
        <v>360</v>
      </c>
      <c r="AA289" s="43" t="s">
        <v>37</v>
      </c>
      <c r="AB289" s="43" t="s">
        <v>32</v>
      </c>
      <c r="AC289">
        <f t="shared" si="90"/>
        <v>0</v>
      </c>
      <c r="AD289" s="43" t="s">
        <v>31</v>
      </c>
      <c r="AE289">
        <f t="shared" si="91"/>
        <v>1</v>
      </c>
      <c r="AF289" s="34" t="str" cm="1">
        <f t="array" ref="AF289">INDEX(Ratings!$B$2:$M$40,_xlfn.XMATCH(Base!F289,Ratings!$A$2:$A$40),_xlfn.XMATCH(YEAR(Base!K289),Ratings!$B$1:$M$1))</f>
        <v>BB-</v>
      </c>
      <c r="AG289">
        <f t="shared" si="82"/>
        <v>0</v>
      </c>
      <c r="AH289">
        <f>IFERROR(IFERROR(IFERROR(INDEX('EMBI+'!$B:$B,MATCH(Base!$K289,'EMBI+'!$A:$A,0)),INDEX('EMBI+'!$B:$B,MATCH(Base!$K289+1,'EMBI+'!$A:$A,0))),INDEX('EMBI+'!$B:$B,MATCH(Base!$K289+2,'EMBI+'!$A:$A,0))),INDEX('EMBI+'!$B:$B,MATCH(Base!$K289+3,'EMBI+'!$A:$A,0)))/100</f>
        <v>2.56</v>
      </c>
      <c r="AL289" s="43"/>
      <c r="AM289" s="28"/>
      <c r="AN289" s="28"/>
    </row>
    <row r="290" spans="1:40" x14ac:dyDescent="0.35">
      <c r="A290">
        <f t="shared" si="83"/>
        <v>288</v>
      </c>
      <c r="B290">
        <f>IF(G290="Bonds",COUNTIF($G$3:G290,"Bonds"),0)</f>
        <v>0</v>
      </c>
      <c r="C290" t="str">
        <f t="shared" si="84"/>
        <v>Marfrig4056142022</v>
      </c>
      <c r="D290">
        <f t="shared" si="85"/>
        <v>24</v>
      </c>
      <c r="E290" s="43" t="s">
        <v>369</v>
      </c>
      <c r="F290" s="43" t="s">
        <v>370</v>
      </c>
      <c r="G290" s="43" t="s">
        <v>25</v>
      </c>
      <c r="H290">
        <f t="shared" si="86"/>
        <v>0</v>
      </c>
      <c r="I290" s="43" t="s">
        <v>371</v>
      </c>
      <c r="J290" s="34">
        <f t="shared" si="87"/>
        <v>1</v>
      </c>
      <c r="K290" s="28">
        <v>40561</v>
      </c>
      <c r="L290" s="28">
        <v>42022</v>
      </c>
      <c r="M290" s="60">
        <f t="shared" si="88"/>
        <v>4.0027397260273974</v>
      </c>
      <c r="N290" s="4">
        <f t="shared" si="89"/>
        <v>0</v>
      </c>
      <c r="O290" s="43" t="s">
        <v>44</v>
      </c>
      <c r="P290" t="str">
        <f t="shared" si="92"/>
        <v>0</v>
      </c>
      <c r="Q290" s="44">
        <v>360000</v>
      </c>
      <c r="R290" s="43">
        <v>1000</v>
      </c>
      <c r="S290" s="34" t="str">
        <f>IF($V290="USD",INDEX('Dólar Spot'!$B:$B,MATCH(Base!$K290,'Dólar Spot'!$A:$A,0)),"")</f>
        <v/>
      </c>
      <c r="T290" s="4">
        <f>Q290*R290</f>
        <v>360000000</v>
      </c>
      <c r="U290" s="8">
        <f t="shared" si="93"/>
        <v>3.6</v>
      </c>
      <c r="V290" s="43" t="s">
        <v>41</v>
      </c>
      <c r="W290" s="45">
        <v>127.6</v>
      </c>
      <c r="X290" s="46"/>
      <c r="Y290" s="9">
        <f>IF(AND(V290="DI",$W290=100),$X290/100,
IF(AND(V290="DI",$W290&lt;&gt;100,$X290=""),INDEX('Debs %CDI'!$Q:$Q,MATCH(Base!$C290,'Debs %CDI'!$A:$A,0)),
IF($V290="USD",INDEX(Bonds!$AF:$AF,MATCH(Base!$C290,Bonds!$B:$B,0)),
IF($V290="IPCA",INDEX('Debs IPCA'!$Z:$Z,MATCH(Base!$C290,'Debs IPCA'!$A:$A,0))))))</f>
        <v>3.465399115130971E-2</v>
      </c>
      <c r="Z290" s="43">
        <v>252</v>
      </c>
      <c r="AA290" s="43" t="s">
        <v>30</v>
      </c>
      <c r="AB290" s="43" t="s">
        <v>32</v>
      </c>
      <c r="AC290">
        <f t="shared" si="90"/>
        <v>0</v>
      </c>
      <c r="AD290" s="43" t="s">
        <v>31</v>
      </c>
      <c r="AE290">
        <f t="shared" si="91"/>
        <v>1</v>
      </c>
      <c r="AF290" s="34" t="str" cm="1">
        <f t="array" ref="AF290">INDEX(Ratings!$B$2:$M$40,_xlfn.XMATCH(Base!F290,Ratings!$A$2:$A$40),_xlfn.XMATCH(YEAR(Base!K290),Ratings!$B$1:$M$1))</f>
        <v>B+</v>
      </c>
      <c r="AG290">
        <f t="shared" si="82"/>
        <v>0</v>
      </c>
      <c r="AH290">
        <f>IFERROR(IFERROR(IFERROR(INDEX('EMBI+'!$B:$B,MATCH(Base!$K290,'EMBI+'!$A:$A,0)),INDEX('EMBI+'!$B:$B,MATCH(Base!$K290+1,'EMBI+'!$A:$A,0))),INDEX('EMBI+'!$B:$B,MATCH(Base!$K290+2,'EMBI+'!$A:$A,0))),INDEX('EMBI+'!$B:$B,MATCH(Base!$K290+3,'EMBI+'!$A:$A,0)))/100</f>
        <v>1.67</v>
      </c>
      <c r="AL290" s="43"/>
      <c r="AM290" s="28"/>
      <c r="AN290" s="28"/>
    </row>
    <row r="291" spans="1:40" x14ac:dyDescent="0.35">
      <c r="A291">
        <f t="shared" si="83"/>
        <v>289</v>
      </c>
      <c r="B291">
        <f>IF(G291="Bonds",COUNTIF($G$3:G291,"Bonds"),0)</f>
        <v>0</v>
      </c>
      <c r="C291" t="str">
        <f t="shared" si="84"/>
        <v>Marfrig4056142022</v>
      </c>
      <c r="D291">
        <f t="shared" si="85"/>
        <v>24</v>
      </c>
      <c r="E291" s="43" t="s">
        <v>369</v>
      </c>
      <c r="F291" s="43" t="s">
        <v>370</v>
      </c>
      <c r="G291" s="43" t="s">
        <v>25</v>
      </c>
      <c r="H291">
        <f t="shared" si="86"/>
        <v>0</v>
      </c>
      <c r="I291" s="43" t="s">
        <v>372</v>
      </c>
      <c r="J291" s="34">
        <f t="shared" si="87"/>
        <v>2</v>
      </c>
      <c r="K291" s="28">
        <v>40561</v>
      </c>
      <c r="L291" s="28">
        <v>42022</v>
      </c>
      <c r="M291" s="60">
        <f t="shared" si="88"/>
        <v>4.0027397260273974</v>
      </c>
      <c r="N291" s="4">
        <f t="shared" si="89"/>
        <v>0</v>
      </c>
      <c r="O291" s="43" t="s">
        <v>44</v>
      </c>
      <c r="P291" t="str">
        <f t="shared" si="92"/>
        <v>0</v>
      </c>
      <c r="Q291" s="44">
        <v>238200</v>
      </c>
      <c r="R291" s="43">
        <v>1000</v>
      </c>
      <c r="S291" s="34" t="str">
        <f>IF($V291="USD",INDEX('Dólar Spot'!$B:$B,MATCH(Base!$K291,'Dólar Spot'!$A:$A,0)),"")</f>
        <v/>
      </c>
      <c r="T291" s="4">
        <f>Q291*R291</f>
        <v>238200000</v>
      </c>
      <c r="U291" s="8">
        <f t="shared" si="93"/>
        <v>2.3820000000000001</v>
      </c>
      <c r="V291" s="43" t="s">
        <v>28</v>
      </c>
      <c r="W291" s="45" t="s">
        <v>29</v>
      </c>
      <c r="X291" s="46">
        <v>9.5</v>
      </c>
      <c r="Y291" s="9">
        <f>IF(AND(V291="DI",$W291=100),$X291/100,
IF(AND(V291="DI",$W291&lt;&gt;100,$X291=""),INDEX('Debs %CDI'!$Q:$Q,MATCH(Base!$C291,'Debs %CDI'!$A:$A,0)),
IF($V291="USD",INDEX(Bonds!$AF:$AF,MATCH(Base!$C291,Bonds!$B:$B,0)),
IF($V291="IPCA",INDEX('Debs IPCA'!$Z:$Z,MATCH(Base!$C291,'Debs IPCA'!$A:$A,0))))))</f>
        <v>2.9883486935029069E-2</v>
      </c>
      <c r="Z291" s="43">
        <v>252</v>
      </c>
      <c r="AA291" s="43" t="s">
        <v>30</v>
      </c>
      <c r="AB291" s="43" t="s">
        <v>32</v>
      </c>
      <c r="AC291">
        <f t="shared" si="90"/>
        <v>0</v>
      </c>
      <c r="AD291" s="43" t="s">
        <v>31</v>
      </c>
      <c r="AE291">
        <f t="shared" si="91"/>
        <v>1</v>
      </c>
      <c r="AF291" s="34" t="str" cm="1">
        <f t="array" ref="AF291">INDEX(Ratings!$B$2:$M$40,_xlfn.XMATCH(Base!F291,Ratings!$A$2:$A$40),_xlfn.XMATCH(YEAR(Base!K291),Ratings!$B$1:$M$1))</f>
        <v>B+</v>
      </c>
      <c r="AG291">
        <f t="shared" si="82"/>
        <v>0</v>
      </c>
      <c r="AH291">
        <f>IFERROR(IFERROR(IFERROR(INDEX('EMBI+'!$B:$B,MATCH(Base!$K291,'EMBI+'!$A:$A,0)),INDEX('EMBI+'!$B:$B,MATCH(Base!$K291+1,'EMBI+'!$A:$A,0))),INDEX('EMBI+'!$B:$B,MATCH(Base!$K291+2,'EMBI+'!$A:$A,0))),INDEX('EMBI+'!$B:$B,MATCH(Base!$K291+3,'EMBI+'!$A:$A,0)))/100</f>
        <v>1.67</v>
      </c>
      <c r="AL291" s="43"/>
      <c r="AM291" s="28"/>
      <c r="AN291" s="28"/>
    </row>
    <row r="292" spans="1:40" x14ac:dyDescent="0.35">
      <c r="A292">
        <f t="shared" si="83"/>
        <v>290</v>
      </c>
      <c r="B292">
        <f>IF(G292="Bonds",COUNTIF($G$3:G292,"Bonds"),0)</f>
        <v>0</v>
      </c>
      <c r="C292" t="str">
        <f t="shared" si="84"/>
        <v>Marfrig4458946037</v>
      </c>
      <c r="D292">
        <f t="shared" si="85"/>
        <v>24</v>
      </c>
      <c r="E292" s="43" t="s">
        <v>369</v>
      </c>
      <c r="F292" s="43" t="s">
        <v>370</v>
      </c>
      <c r="G292" s="43" t="s">
        <v>25</v>
      </c>
      <c r="H292">
        <f t="shared" si="86"/>
        <v>0</v>
      </c>
      <c r="I292" s="43" t="s">
        <v>854</v>
      </c>
      <c r="J292" s="34">
        <f t="shared" si="87"/>
        <v>3</v>
      </c>
      <c r="K292" s="28">
        <v>44589</v>
      </c>
      <c r="L292" s="28">
        <v>46037</v>
      </c>
      <c r="M292" s="60">
        <f t="shared" si="88"/>
        <v>3.967123287671233</v>
      </c>
      <c r="N292" s="4">
        <f t="shared" si="89"/>
        <v>0</v>
      </c>
      <c r="O292" s="43" t="s">
        <v>44</v>
      </c>
      <c r="P292" t="str">
        <f t="shared" si="92"/>
        <v>0</v>
      </c>
      <c r="Q292" s="44">
        <v>500000</v>
      </c>
      <c r="R292" s="43">
        <v>1000</v>
      </c>
      <c r="S292" s="34" t="str">
        <f>IF($V292="USD",INDEX('Dólar Spot'!$B:$B,MATCH(Base!$K292,'Dólar Spot'!$A:$A,0)),"")</f>
        <v/>
      </c>
      <c r="T292" s="4">
        <f t="shared" ref="T292:T294" si="94">Q292*R292</f>
        <v>500000000</v>
      </c>
      <c r="U292" s="8">
        <f t="shared" si="93"/>
        <v>5</v>
      </c>
      <c r="V292" s="43" t="s">
        <v>41</v>
      </c>
      <c r="W292" s="45">
        <v>100</v>
      </c>
      <c r="X292" s="46">
        <v>1.73</v>
      </c>
      <c r="Y292" s="9">
        <f>IF(AND(V292="DI",$W292=100),$X292/100,
IF(AND(V292="DI",$W292&lt;&gt;100,$X292=""),INDEX('Debs %CDI'!$Q:$Q,MATCH(Base!$C292,'Debs %CDI'!$A:$A,0)),
IF($V292="USD",INDEX(Bonds!$AF:$AF,MATCH(Base!$C292,Bonds!$B:$B,0)),
IF($V292="IPCA",INDEX('Debs IPCA'!$Z:$Z,MATCH(Base!$C292,'Debs IPCA'!$A:$A,0))))))</f>
        <v>1.7299999999999999E-2</v>
      </c>
      <c r="Z292" s="43">
        <v>252</v>
      </c>
      <c r="AA292" s="43" t="s">
        <v>30</v>
      </c>
      <c r="AB292" s="43" t="s">
        <v>32</v>
      </c>
      <c r="AC292">
        <f t="shared" si="90"/>
        <v>0</v>
      </c>
      <c r="AD292" s="43" t="s">
        <v>31</v>
      </c>
      <c r="AE292">
        <f t="shared" si="91"/>
        <v>1</v>
      </c>
      <c r="AF292" s="34" t="str" cm="1">
        <f t="array" ref="AF292">INDEX(Ratings!$B$2:$M$40,_xlfn.XMATCH(Base!F292,Ratings!$A$2:$A$40),_xlfn.XMATCH(YEAR(Base!K292),Ratings!$B$1:$M$1))</f>
        <v>BB</v>
      </c>
      <c r="AG292">
        <f t="shared" si="82"/>
        <v>0</v>
      </c>
      <c r="AH292">
        <f>IFERROR(IFERROR(IFERROR(INDEX('EMBI+'!$B:$B,MATCH(Base!$K292,'EMBI+'!$A:$A,0)),INDEX('EMBI+'!$B:$B,MATCH(Base!$K292+1,'EMBI+'!$A:$A,0))),INDEX('EMBI+'!$B:$B,MATCH(Base!$K292+2,'EMBI+'!$A:$A,0))),INDEX('EMBI+'!$B:$B,MATCH(Base!$K292+3,'EMBI+'!$A:$A,0)))/100</f>
        <v>3.39</v>
      </c>
      <c r="AL292" s="43"/>
      <c r="AM292" s="28"/>
      <c r="AN292" s="28"/>
    </row>
    <row r="293" spans="1:40" x14ac:dyDescent="0.35">
      <c r="A293">
        <f t="shared" si="83"/>
        <v>291</v>
      </c>
      <c r="B293">
        <f>IF(G293="Bonds",COUNTIF($G$3:G293,"Bonds"),0)</f>
        <v>0</v>
      </c>
      <c r="C293" t="str">
        <f t="shared" si="84"/>
        <v>Marfrig4487646702</v>
      </c>
      <c r="D293">
        <f t="shared" si="85"/>
        <v>24</v>
      </c>
      <c r="E293" s="43" t="s">
        <v>369</v>
      </c>
      <c r="F293" s="43" t="s">
        <v>370</v>
      </c>
      <c r="G293" s="43" t="s">
        <v>25</v>
      </c>
      <c r="H293">
        <f t="shared" si="86"/>
        <v>0</v>
      </c>
      <c r="I293" s="43" t="s">
        <v>855</v>
      </c>
      <c r="J293" s="34">
        <f t="shared" si="87"/>
        <v>4</v>
      </c>
      <c r="K293" s="28">
        <v>44876</v>
      </c>
      <c r="L293" s="28">
        <v>46702</v>
      </c>
      <c r="M293" s="60">
        <f t="shared" si="88"/>
        <v>5.0027397260273974</v>
      </c>
      <c r="N293" s="4">
        <f t="shared" si="89"/>
        <v>1</v>
      </c>
      <c r="O293" s="43" t="s">
        <v>44</v>
      </c>
      <c r="P293" t="str">
        <f t="shared" si="92"/>
        <v>0</v>
      </c>
      <c r="Q293" s="44">
        <v>750000</v>
      </c>
      <c r="R293" s="43">
        <v>1000</v>
      </c>
      <c r="S293" s="34" t="str">
        <f>IF($V293="USD",INDEX('Dólar Spot'!$B:$B,MATCH(Base!$K293,'Dólar Spot'!$A:$A,0)),"")</f>
        <v/>
      </c>
      <c r="T293" s="4">
        <f t="shared" si="94"/>
        <v>750000000</v>
      </c>
      <c r="U293" s="8">
        <f t="shared" si="93"/>
        <v>7.5</v>
      </c>
      <c r="V293" s="43" t="s">
        <v>41</v>
      </c>
      <c r="W293" s="45">
        <v>100</v>
      </c>
      <c r="X293" s="46">
        <v>1.55</v>
      </c>
      <c r="Y293" s="9">
        <f>IF(AND(V293="DI",$W293=100),$X293/100,
IF(AND(V293="DI",$W293&lt;&gt;100,$X293=""),INDEX('Debs %CDI'!$Q:$Q,MATCH(Base!$C293,'Debs %CDI'!$A:$A,0)),
IF($V293="USD",INDEX(Bonds!$AF:$AF,MATCH(Base!$C293,Bonds!$B:$B,0)),
IF($V293="IPCA",INDEX('Debs IPCA'!$Z:$Z,MATCH(Base!$C293,'Debs IPCA'!$A:$A,0))))))</f>
        <v>1.55E-2</v>
      </c>
      <c r="Z293" s="43">
        <v>252</v>
      </c>
      <c r="AA293" s="43" t="s">
        <v>30</v>
      </c>
      <c r="AB293" s="43" t="s">
        <v>32</v>
      </c>
      <c r="AC293">
        <f t="shared" si="90"/>
        <v>0</v>
      </c>
      <c r="AD293" s="43" t="s">
        <v>31</v>
      </c>
      <c r="AE293">
        <f t="shared" si="91"/>
        <v>1</v>
      </c>
      <c r="AF293" s="34" t="str" cm="1">
        <f t="array" ref="AF293">INDEX(Ratings!$B$2:$M$40,_xlfn.XMATCH(Base!F293,Ratings!$A$2:$A$40),_xlfn.XMATCH(YEAR(Base!K293),Ratings!$B$1:$M$1))</f>
        <v>BB</v>
      </c>
      <c r="AG293">
        <f t="shared" si="82"/>
        <v>0</v>
      </c>
      <c r="AH293">
        <f>IFERROR(IFERROR(IFERROR(INDEX('EMBI+'!$B:$B,MATCH(Base!$K293,'EMBI+'!$A:$A,0)),INDEX('EMBI+'!$B:$B,MATCH(Base!$K293+1,'EMBI+'!$A:$A,0))),INDEX('EMBI+'!$B:$B,MATCH(Base!$K293+2,'EMBI+'!$A:$A,0))),INDEX('EMBI+'!$B:$B,MATCH(Base!$K293+3,'EMBI+'!$A:$A,0)))/100</f>
        <v>2.77</v>
      </c>
      <c r="AL293" s="43"/>
      <c r="AM293" s="28"/>
      <c r="AN293" s="28"/>
    </row>
    <row r="294" spans="1:40" x14ac:dyDescent="0.35">
      <c r="A294">
        <f t="shared" si="83"/>
        <v>292</v>
      </c>
      <c r="B294">
        <f>IF(G294="Bonds",COUNTIF($G$3:G294,"Bonds"),0)</f>
        <v>0</v>
      </c>
      <c r="C294" t="str">
        <f t="shared" si="84"/>
        <v>Marfrig4487647433</v>
      </c>
      <c r="D294">
        <f t="shared" si="85"/>
        <v>24</v>
      </c>
      <c r="E294" s="43" t="s">
        <v>369</v>
      </c>
      <c r="F294" s="43" t="s">
        <v>370</v>
      </c>
      <c r="G294" s="43" t="s">
        <v>25</v>
      </c>
      <c r="H294">
        <f t="shared" si="86"/>
        <v>0</v>
      </c>
      <c r="I294" s="43" t="s">
        <v>856</v>
      </c>
      <c r="J294" s="34">
        <f t="shared" si="87"/>
        <v>5</v>
      </c>
      <c r="K294" s="28">
        <v>44876</v>
      </c>
      <c r="L294" s="28">
        <v>47433</v>
      </c>
      <c r="M294" s="60">
        <f t="shared" si="88"/>
        <v>7.0054794520547947</v>
      </c>
      <c r="N294" s="4">
        <f t="shared" si="89"/>
        <v>1</v>
      </c>
      <c r="O294" s="43" t="s">
        <v>44</v>
      </c>
      <c r="P294" t="str">
        <f t="shared" si="92"/>
        <v>0</v>
      </c>
      <c r="Q294" s="44">
        <v>150000</v>
      </c>
      <c r="R294" s="43">
        <v>1000</v>
      </c>
      <c r="S294" s="34" t="str">
        <f>IF($V294="USD",INDEX('Dólar Spot'!$B:$B,MATCH(Base!$K294,'Dólar Spot'!$A:$A,0)),"")</f>
        <v/>
      </c>
      <c r="T294" s="4">
        <f t="shared" si="94"/>
        <v>150000000</v>
      </c>
      <c r="U294" s="8">
        <f t="shared" si="93"/>
        <v>1.5</v>
      </c>
      <c r="V294" s="43" t="s">
        <v>41</v>
      </c>
      <c r="W294" s="45">
        <v>100</v>
      </c>
      <c r="X294" s="46">
        <v>1.7</v>
      </c>
      <c r="Y294" s="9">
        <f>IF(AND(V294="DI",$W294=100),$X294/100,
IF(AND(V294="DI",$W294&lt;&gt;100,$X294=""),INDEX('Debs %CDI'!$Q:$Q,MATCH(Base!$C294,'Debs %CDI'!$A:$A,0)),
IF($V294="USD",INDEX(Bonds!$AF:$AF,MATCH(Base!$C294,Bonds!$B:$B,0)),
IF($V294="IPCA",INDEX('Debs IPCA'!$Z:$Z,MATCH(Base!$C294,'Debs IPCA'!$A:$A,0))))))</f>
        <v>1.7000000000000001E-2</v>
      </c>
      <c r="Z294" s="43">
        <v>252</v>
      </c>
      <c r="AA294" s="43" t="s">
        <v>30</v>
      </c>
      <c r="AB294" s="43" t="s">
        <v>32</v>
      </c>
      <c r="AC294">
        <f t="shared" si="90"/>
        <v>0</v>
      </c>
      <c r="AD294" s="43" t="s">
        <v>31</v>
      </c>
      <c r="AE294">
        <f t="shared" si="91"/>
        <v>1</v>
      </c>
      <c r="AF294" s="34" t="str" cm="1">
        <f t="array" ref="AF294">INDEX(Ratings!$B$2:$M$40,_xlfn.XMATCH(Base!F294,Ratings!$A$2:$A$40),_xlfn.XMATCH(YEAR(Base!K294),Ratings!$B$1:$M$1))</f>
        <v>BB</v>
      </c>
      <c r="AG294">
        <f t="shared" si="82"/>
        <v>0</v>
      </c>
      <c r="AH294">
        <f>IFERROR(IFERROR(IFERROR(INDEX('EMBI+'!$B:$B,MATCH(Base!$K294,'EMBI+'!$A:$A,0)),INDEX('EMBI+'!$B:$B,MATCH(Base!$K294+1,'EMBI+'!$A:$A,0))),INDEX('EMBI+'!$B:$B,MATCH(Base!$K294+2,'EMBI+'!$A:$A,0))),INDEX('EMBI+'!$B:$B,MATCH(Base!$K294+3,'EMBI+'!$A:$A,0)))/100</f>
        <v>2.77</v>
      </c>
      <c r="AL294" s="43"/>
      <c r="AM294" s="28"/>
      <c r="AN294" s="28"/>
    </row>
    <row r="295" spans="1:40" x14ac:dyDescent="0.35">
      <c r="A295">
        <f t="shared" si="83"/>
        <v>293</v>
      </c>
      <c r="B295">
        <f>IF(G295="Bonds",COUNTIF($G$3:G295,"Bonds"),0)</f>
        <v>79</v>
      </c>
      <c r="C295" t="str">
        <f t="shared" si="84"/>
        <v>Marfrig4422529/01/2031</v>
      </c>
      <c r="D295">
        <f t="shared" si="85"/>
        <v>24</v>
      </c>
      <c r="E295" s="43" t="s">
        <v>373</v>
      </c>
      <c r="F295" s="43" t="s">
        <v>370</v>
      </c>
      <c r="G295" s="43" t="s">
        <v>34</v>
      </c>
      <c r="H295">
        <f t="shared" si="86"/>
        <v>1</v>
      </c>
      <c r="I295" s="43"/>
      <c r="J295" s="34">
        <f t="shared" si="87"/>
        <v>6</v>
      </c>
      <c r="K295" s="28">
        <v>44225</v>
      </c>
      <c r="L295" s="28" t="s">
        <v>374</v>
      </c>
      <c r="M295" s="60">
        <f t="shared" si="88"/>
        <v>10.005479452054795</v>
      </c>
      <c r="N295" s="4">
        <f t="shared" si="89"/>
        <v>1</v>
      </c>
      <c r="O295" s="43" t="s">
        <v>36</v>
      </c>
      <c r="P295" t="str">
        <f t="shared" si="92"/>
        <v>0</v>
      </c>
      <c r="Q295" s="43"/>
      <c r="R295" s="43"/>
      <c r="S295" s="34">
        <f>IF($V295="USD",INDEX('Dólar Spot'!$B:$B,MATCH(Base!$K295,'Dólar Spot'!$A:$A,0)),"")</f>
        <v>5.4752999999999998</v>
      </c>
      <c r="T295" s="44">
        <v>1500000000</v>
      </c>
      <c r="U295" s="8">
        <f t="shared" si="93"/>
        <v>82.129499999999993</v>
      </c>
      <c r="V295" s="43" t="s">
        <v>651</v>
      </c>
      <c r="W295" s="45" t="s">
        <v>29</v>
      </c>
      <c r="X295" s="53">
        <v>3.95</v>
      </c>
      <c r="Y295" s="9">
        <f>IF(AND(V295="DI",$W295=100),$X295/100,
IF(AND(V295="DI",$W295&lt;&gt;100,$X295=""),INDEX('Debs %CDI'!$Q:$Q,MATCH(Base!$C295,'Debs %CDI'!$A:$A,0)),
IF($V295="USD",INDEX(Bonds!$AF:$AF,MATCH(Base!$C295,Bonds!$B:$B,0)),
IF($V295="IPCA",INDEX('Debs IPCA'!$Z:$Z,MATCH(Base!$C295,'Debs IPCA'!$A:$A,0))))))</f>
        <v>2.424881051711214E-2</v>
      </c>
      <c r="Z295" s="43">
        <v>360</v>
      </c>
      <c r="AA295" s="43" t="s">
        <v>37</v>
      </c>
      <c r="AB295" s="43" t="s">
        <v>32</v>
      </c>
      <c r="AC295">
        <f t="shared" si="90"/>
        <v>0</v>
      </c>
      <c r="AD295" s="43" t="s">
        <v>31</v>
      </c>
      <c r="AE295">
        <f t="shared" si="91"/>
        <v>1</v>
      </c>
      <c r="AF295" s="34" t="str" cm="1">
        <f t="array" ref="AF295">INDEX(Ratings!$B$2:$M$40,_xlfn.XMATCH(Base!F295,Ratings!$A$2:$A$40),_xlfn.XMATCH(YEAR(Base!K295),Ratings!$B$1:$M$1))</f>
        <v>BB</v>
      </c>
      <c r="AG295">
        <f t="shared" si="82"/>
        <v>0</v>
      </c>
      <c r="AH295">
        <f>IFERROR(IFERROR(IFERROR(INDEX('EMBI+'!$B:$B,MATCH(Base!$K295,'EMBI+'!$A:$A,0)),INDEX('EMBI+'!$B:$B,MATCH(Base!$K295+1,'EMBI+'!$A:$A,0))),INDEX('EMBI+'!$B:$B,MATCH(Base!$K295+2,'EMBI+'!$A:$A,0))),INDEX('EMBI+'!$B:$B,MATCH(Base!$K295+3,'EMBI+'!$A:$A,0)))/100</f>
        <v>2.88</v>
      </c>
      <c r="AL295" s="43"/>
      <c r="AM295" s="28"/>
      <c r="AN295" s="28"/>
    </row>
    <row r="296" spans="1:40" x14ac:dyDescent="0.35">
      <c r="A296">
        <f t="shared" si="83"/>
        <v>294</v>
      </c>
      <c r="B296">
        <f>IF(G296="Bonds",COUNTIF($G$3:G296,"Bonds"),0)</f>
        <v>80</v>
      </c>
      <c r="C296" t="str">
        <f t="shared" si="84"/>
        <v>Marfrig4311919/01/2025</v>
      </c>
      <c r="D296">
        <f t="shared" si="85"/>
        <v>24</v>
      </c>
      <c r="E296" s="43" t="s">
        <v>373</v>
      </c>
      <c r="F296" s="43" t="s">
        <v>370</v>
      </c>
      <c r="G296" s="43" t="s">
        <v>34</v>
      </c>
      <c r="H296">
        <f t="shared" si="86"/>
        <v>1</v>
      </c>
      <c r="I296" s="43"/>
      <c r="J296" s="34">
        <f t="shared" si="87"/>
        <v>7</v>
      </c>
      <c r="K296" s="28">
        <v>43119</v>
      </c>
      <c r="L296" s="28" t="s">
        <v>375</v>
      </c>
      <c r="M296" s="60">
        <f t="shared" si="88"/>
        <v>7.0054794520547947</v>
      </c>
      <c r="N296" s="4">
        <f t="shared" si="89"/>
        <v>1</v>
      </c>
      <c r="O296" s="43" t="s">
        <v>36</v>
      </c>
      <c r="P296" t="str">
        <f t="shared" si="92"/>
        <v>0</v>
      </c>
      <c r="Q296" s="43"/>
      <c r="R296" s="43"/>
      <c r="S296" s="34">
        <f>IF($V296="USD",INDEX('Dólar Spot'!$B:$B,MATCH(Base!$K296,'Dólar Spot'!$A:$A,0)),"")</f>
        <v>3.2081</v>
      </c>
      <c r="T296" s="44">
        <v>1000000000</v>
      </c>
      <c r="U296" s="8">
        <f t="shared" si="93"/>
        <v>32.081000000000003</v>
      </c>
      <c r="V296" s="43" t="s">
        <v>651</v>
      </c>
      <c r="W296" s="45" t="s">
        <v>29</v>
      </c>
      <c r="X296" s="53">
        <v>6.875</v>
      </c>
      <c r="Y296" s="9">
        <f>IF(AND(V296="DI",$W296=100),$X296/100,
IF(AND(V296="DI",$W296&lt;&gt;100,$X296=""),INDEX('Debs %CDI'!$Q:$Q,MATCH(Base!$C296,'Debs %CDI'!$A:$A,0)),
IF($V296="USD",INDEX(Bonds!$AF:$AF,MATCH(Base!$C296,Bonds!$B:$B,0)),
IF($V296="IPCA",INDEX('Debs IPCA'!$Z:$Z,MATCH(Base!$C296,'Debs IPCA'!$A:$A,0))))))</f>
        <v>3.3068475659474794E-2</v>
      </c>
      <c r="Z296" s="43">
        <v>360</v>
      </c>
      <c r="AA296" s="43" t="s">
        <v>37</v>
      </c>
      <c r="AB296" s="43" t="s">
        <v>32</v>
      </c>
      <c r="AC296">
        <f t="shared" si="90"/>
        <v>0</v>
      </c>
      <c r="AD296" s="43" t="s">
        <v>31</v>
      </c>
      <c r="AE296">
        <f t="shared" si="91"/>
        <v>1</v>
      </c>
      <c r="AF296" s="34" t="str" cm="1">
        <f t="array" ref="AF296">INDEX(Ratings!$B$2:$M$40,_xlfn.XMATCH(Base!F296,Ratings!$A$2:$A$40),_xlfn.XMATCH(YEAR(Base!K296),Ratings!$B$1:$M$1))</f>
        <v>BB-</v>
      </c>
      <c r="AG296">
        <f t="shared" si="82"/>
        <v>0</v>
      </c>
      <c r="AH296">
        <f>IFERROR(IFERROR(IFERROR(INDEX('EMBI+'!$B:$B,MATCH(Base!$K296,'EMBI+'!$A:$A,0)),INDEX('EMBI+'!$B:$B,MATCH(Base!$K296+1,'EMBI+'!$A:$A,0))),INDEX('EMBI+'!$B:$B,MATCH(Base!$K296+2,'EMBI+'!$A:$A,0))),INDEX('EMBI+'!$B:$B,MATCH(Base!$K296+3,'EMBI+'!$A:$A,0)))/100</f>
        <v>2.31</v>
      </c>
      <c r="AL296" s="43"/>
      <c r="AM296" s="28"/>
      <c r="AN296" s="28"/>
    </row>
    <row r="297" spans="1:40" x14ac:dyDescent="0.35">
      <c r="A297">
        <f t="shared" si="83"/>
        <v>295</v>
      </c>
      <c r="B297">
        <f>IF(G297="Bonds",COUNTIF($G$3:G297,"Bonds"),0)</f>
        <v>81</v>
      </c>
      <c r="C297" t="str">
        <f t="shared" si="84"/>
        <v>Marfrig4280915/03/2024</v>
      </c>
      <c r="D297">
        <f t="shared" si="85"/>
        <v>24</v>
      </c>
      <c r="E297" s="43" t="s">
        <v>373</v>
      </c>
      <c r="F297" s="43" t="s">
        <v>370</v>
      </c>
      <c r="G297" s="43" t="s">
        <v>34</v>
      </c>
      <c r="H297">
        <f t="shared" si="86"/>
        <v>1</v>
      </c>
      <c r="I297" s="43"/>
      <c r="J297" s="34">
        <f t="shared" si="87"/>
        <v>8</v>
      </c>
      <c r="K297" s="28">
        <v>42809</v>
      </c>
      <c r="L297" s="28" t="s">
        <v>376</v>
      </c>
      <c r="M297" s="60">
        <f t="shared" si="88"/>
        <v>7.0054794520547947</v>
      </c>
      <c r="N297" s="4">
        <f t="shared" si="89"/>
        <v>1</v>
      </c>
      <c r="O297" s="43" t="s">
        <v>36</v>
      </c>
      <c r="P297" t="str">
        <f t="shared" si="92"/>
        <v>0</v>
      </c>
      <c r="Q297" s="43"/>
      <c r="R297" s="43"/>
      <c r="S297" s="34">
        <f>IF($V297="USD",INDEX('Dólar Spot'!$B:$B,MATCH(Base!$K297,'Dólar Spot'!$A:$A,0)),"")</f>
        <v>3.1623000000000001</v>
      </c>
      <c r="T297" s="44">
        <v>750000000</v>
      </c>
      <c r="U297" s="8">
        <f t="shared" si="93"/>
        <v>23.71725</v>
      </c>
      <c r="V297" s="43" t="s">
        <v>651</v>
      </c>
      <c r="W297" s="45" t="s">
        <v>29</v>
      </c>
      <c r="X297" s="53">
        <v>7</v>
      </c>
      <c r="Y297" s="9">
        <f>IF(AND(V297="DI",$W297=100),$X297/100,
IF(AND(V297="DI",$W297&lt;&gt;100,$X297=""),INDEX('Debs %CDI'!$Q:$Q,MATCH(Base!$C297,'Debs %CDI'!$A:$A,0)),
IF($V297="USD",INDEX(Bonds!$AF:$AF,MATCH(Base!$C297,Bonds!$B:$B,0)),
IF($V297="IPCA",INDEX('Debs IPCA'!$Z:$Z,MATCH(Base!$C297,'Debs IPCA'!$A:$A,0))))))</f>
        <v>2.6399463532976508E-2</v>
      </c>
      <c r="Z297" s="43">
        <v>360</v>
      </c>
      <c r="AA297" s="43" t="s">
        <v>37</v>
      </c>
      <c r="AB297" s="43" t="s">
        <v>32</v>
      </c>
      <c r="AC297">
        <f t="shared" si="90"/>
        <v>0</v>
      </c>
      <c r="AD297" s="43" t="s">
        <v>31</v>
      </c>
      <c r="AE297">
        <f t="shared" si="91"/>
        <v>1</v>
      </c>
      <c r="AF297" s="34" t="str" cm="1">
        <f t="array" ref="AF297">INDEX(Ratings!$B$2:$M$40,_xlfn.XMATCH(Base!F297,Ratings!$A$2:$A$40),_xlfn.XMATCH(YEAR(Base!K297),Ratings!$B$1:$M$1))</f>
        <v>BB-</v>
      </c>
      <c r="AG297">
        <f t="shared" si="82"/>
        <v>0</v>
      </c>
      <c r="AH297">
        <f>IFERROR(IFERROR(IFERROR(INDEX('EMBI+'!$B:$B,MATCH(Base!$K297,'EMBI+'!$A:$A,0)),INDEX('EMBI+'!$B:$B,MATCH(Base!$K297+1,'EMBI+'!$A:$A,0))),INDEX('EMBI+'!$B:$B,MATCH(Base!$K297+2,'EMBI+'!$A:$A,0))),INDEX('EMBI+'!$B:$B,MATCH(Base!$K297+3,'EMBI+'!$A:$A,0)))/100</f>
        <v>2.82</v>
      </c>
      <c r="AL297" s="43"/>
      <c r="AM297" s="28"/>
      <c r="AN297" s="28"/>
    </row>
    <row r="298" spans="1:40" x14ac:dyDescent="0.35">
      <c r="A298">
        <f t="shared" si="83"/>
        <v>296</v>
      </c>
      <c r="B298">
        <f>IF(G298="Bonds",COUNTIF($G$3:G298,"Bonds"),0)</f>
        <v>82</v>
      </c>
      <c r="C298" t="str">
        <f t="shared" si="84"/>
        <v>Marfrig4252908/06/2023</v>
      </c>
      <c r="D298">
        <f t="shared" si="85"/>
        <v>24</v>
      </c>
      <c r="E298" s="43" t="s">
        <v>377</v>
      </c>
      <c r="F298" s="43" t="s">
        <v>370</v>
      </c>
      <c r="G298" s="43" t="s">
        <v>34</v>
      </c>
      <c r="H298">
        <f t="shared" si="86"/>
        <v>1</v>
      </c>
      <c r="I298" s="43"/>
      <c r="J298" s="34">
        <f t="shared" si="87"/>
        <v>9</v>
      </c>
      <c r="K298" s="28">
        <v>42529</v>
      </c>
      <c r="L298" s="28" t="s">
        <v>378</v>
      </c>
      <c r="M298" s="60">
        <f t="shared" si="88"/>
        <v>7.0027397260273974</v>
      </c>
      <c r="N298" s="4">
        <f t="shared" si="89"/>
        <v>1</v>
      </c>
      <c r="O298" s="43" t="s">
        <v>36</v>
      </c>
      <c r="P298" t="str">
        <f t="shared" si="92"/>
        <v>0</v>
      </c>
      <c r="Q298" s="43"/>
      <c r="R298" s="43"/>
      <c r="S298" s="34">
        <f>IF($V298="USD",INDEX('Dólar Spot'!$B:$B,MATCH(Base!$K298,'Dólar Spot'!$A:$A,0)),"")</f>
        <v>3.3892000000000002</v>
      </c>
      <c r="T298" s="44">
        <v>750000000</v>
      </c>
      <c r="U298" s="8">
        <f t="shared" si="93"/>
        <v>25.419</v>
      </c>
      <c r="V298" s="43" t="s">
        <v>651</v>
      </c>
      <c r="W298" s="45" t="s">
        <v>29</v>
      </c>
      <c r="X298" s="53">
        <v>8</v>
      </c>
      <c r="Y298" s="9">
        <f>IF(AND(V298="DI",$W298=100),$X298/100,
IF(AND(V298="DI",$W298&lt;&gt;100,$X298=""),INDEX('Debs %CDI'!$Q:$Q,MATCH(Base!$C298,'Debs %CDI'!$A:$A,0)),
IF($V298="USD",INDEX(Bonds!$AF:$AF,MATCH(Base!$C298,Bonds!$B:$B,0)),
IF($V298="IPCA",INDEX('Debs IPCA'!$Z:$Z,MATCH(Base!$C298,'Debs IPCA'!$A:$A,0))))))</f>
        <v>3.2679352680916152E-2</v>
      </c>
      <c r="Z298" s="43">
        <v>360</v>
      </c>
      <c r="AA298" s="43" t="s">
        <v>37</v>
      </c>
      <c r="AB298" s="43" t="s">
        <v>32</v>
      </c>
      <c r="AC298">
        <f t="shared" si="90"/>
        <v>0</v>
      </c>
      <c r="AD298" s="43" t="s">
        <v>31</v>
      </c>
      <c r="AE298">
        <f t="shared" si="91"/>
        <v>1</v>
      </c>
      <c r="AF298" s="34" t="str" cm="1">
        <f t="array" ref="AF298">INDEX(Ratings!$B$2:$M$40,_xlfn.XMATCH(Base!F298,Ratings!$A$2:$A$40),_xlfn.XMATCH(YEAR(Base!K298),Ratings!$B$1:$M$1))</f>
        <v>B+</v>
      </c>
      <c r="AG298">
        <f t="shared" si="82"/>
        <v>0</v>
      </c>
      <c r="AH298">
        <f>IFERROR(IFERROR(IFERROR(INDEX('EMBI+'!$B:$B,MATCH(Base!$K298,'EMBI+'!$A:$A,0)),INDEX('EMBI+'!$B:$B,MATCH(Base!$K298+1,'EMBI+'!$A:$A,0))),INDEX('EMBI+'!$B:$B,MATCH(Base!$K298+2,'EMBI+'!$A:$A,0))),INDEX('EMBI+'!$B:$B,MATCH(Base!$K298+3,'EMBI+'!$A:$A,0)))/100</f>
        <v>3.71</v>
      </c>
      <c r="AL298" s="43"/>
      <c r="AM298" s="28"/>
      <c r="AN298" s="28"/>
    </row>
    <row r="299" spans="1:40" x14ac:dyDescent="0.35">
      <c r="A299">
        <f t="shared" si="83"/>
        <v>297</v>
      </c>
      <c r="B299">
        <f>IF(G299="Bonds",COUNTIF($G$3:G299,"Bonds"),0)</f>
        <v>83</v>
      </c>
      <c r="C299" t="str">
        <f t="shared" si="84"/>
        <v>Marfrig4181424/06/2019</v>
      </c>
      <c r="D299">
        <f t="shared" si="85"/>
        <v>24</v>
      </c>
      <c r="E299" s="43" t="s">
        <v>377</v>
      </c>
      <c r="F299" s="43" t="s">
        <v>370</v>
      </c>
      <c r="G299" s="43" t="s">
        <v>34</v>
      </c>
      <c r="H299">
        <f t="shared" si="86"/>
        <v>1</v>
      </c>
      <c r="I299" s="43"/>
      <c r="J299" s="34">
        <f t="shared" si="87"/>
        <v>10</v>
      </c>
      <c r="K299" s="28">
        <v>41814</v>
      </c>
      <c r="L299" s="28" t="s">
        <v>379</v>
      </c>
      <c r="M299" s="60">
        <f t="shared" si="88"/>
        <v>5.0027397260273974</v>
      </c>
      <c r="N299" s="4">
        <f t="shared" si="89"/>
        <v>1</v>
      </c>
      <c r="O299" s="43" t="s">
        <v>36</v>
      </c>
      <c r="P299" t="str">
        <f t="shared" si="92"/>
        <v>0</v>
      </c>
      <c r="Q299" s="43"/>
      <c r="R299" s="43"/>
      <c r="S299" s="34">
        <f>IF($V299="USD",INDEX('Dólar Spot'!$B:$B,MATCH(Base!$K299,'Dólar Spot'!$A:$A,0)),"")</f>
        <v>2.2210999999999999</v>
      </c>
      <c r="T299" s="44">
        <v>850000000</v>
      </c>
      <c r="U299" s="8">
        <f t="shared" si="93"/>
        <v>18.879349999999999</v>
      </c>
      <c r="V299" s="43" t="s">
        <v>651</v>
      </c>
      <c r="W299" s="45" t="s">
        <v>29</v>
      </c>
      <c r="X299" s="53">
        <v>6.875</v>
      </c>
      <c r="Y299" s="9">
        <f>IF(AND(V299="DI",$W299=100),$X299/100,
IF(AND(V299="DI",$W299&lt;&gt;100,$X299=""),INDEX('Debs %CDI'!$Q:$Q,MATCH(Base!$C299,'Debs %CDI'!$A:$A,0)),
IF($V299="USD",INDEX(Bonds!$AF:$AF,MATCH(Base!$C299,Bonds!$B:$B,0)),
IF($V299="IPCA",INDEX('Debs IPCA'!$Z:$Z,MATCH(Base!$C299,'Debs IPCA'!$A:$A,0))))))</f>
        <v>3.7083175447063077E-2</v>
      </c>
      <c r="Z299" s="43">
        <v>360</v>
      </c>
      <c r="AA299" s="43" t="s">
        <v>37</v>
      </c>
      <c r="AB299" s="43" t="s">
        <v>32</v>
      </c>
      <c r="AC299">
        <f t="shared" si="90"/>
        <v>0</v>
      </c>
      <c r="AD299" s="43" t="s">
        <v>31</v>
      </c>
      <c r="AE299">
        <f t="shared" si="91"/>
        <v>1</v>
      </c>
      <c r="AF299" s="34" t="str" cm="1">
        <f t="array" ref="AF299">INDEX(Ratings!$B$2:$M$40,_xlfn.XMATCH(Base!F299,Ratings!$A$2:$A$40),_xlfn.XMATCH(YEAR(Base!K299),Ratings!$B$1:$M$1))</f>
        <v>B</v>
      </c>
      <c r="AG299">
        <f t="shared" si="82"/>
        <v>0</v>
      </c>
      <c r="AH299">
        <f>IFERROR(IFERROR(IFERROR(INDEX('EMBI+'!$B:$B,MATCH(Base!$K299,'EMBI+'!$A:$A,0)),INDEX('EMBI+'!$B:$B,MATCH(Base!$K299+1,'EMBI+'!$A:$A,0))),INDEX('EMBI+'!$B:$B,MATCH(Base!$K299+2,'EMBI+'!$A:$A,0))),INDEX('EMBI+'!$B:$B,MATCH(Base!$K299+3,'EMBI+'!$A:$A,0)))/100</f>
        <v>2.0699999999999998</v>
      </c>
      <c r="AL299" s="43"/>
      <c r="AM299" s="28"/>
      <c r="AN299" s="28"/>
    </row>
    <row r="300" spans="1:40" x14ac:dyDescent="0.35">
      <c r="A300">
        <f t="shared" si="83"/>
        <v>298</v>
      </c>
      <c r="B300">
        <f>IF(G300="Bonds",COUNTIF($G$3:G300,"Bonds"),0)</f>
        <v>84</v>
      </c>
      <c r="C300" t="str">
        <f t="shared" si="84"/>
        <v>Marfrig4067209/05/2018</v>
      </c>
      <c r="D300">
        <f t="shared" si="85"/>
        <v>24</v>
      </c>
      <c r="E300" s="43" t="s">
        <v>377</v>
      </c>
      <c r="F300" s="43" t="s">
        <v>370</v>
      </c>
      <c r="G300" s="43" t="s">
        <v>34</v>
      </c>
      <c r="H300">
        <f t="shared" si="86"/>
        <v>1</v>
      </c>
      <c r="I300" s="43"/>
      <c r="J300" s="34">
        <f t="shared" si="87"/>
        <v>11</v>
      </c>
      <c r="K300" s="28">
        <v>40672</v>
      </c>
      <c r="L300" s="28" t="s">
        <v>380</v>
      </c>
      <c r="M300" s="60">
        <f t="shared" si="88"/>
        <v>7.0054794520547947</v>
      </c>
      <c r="N300" s="4">
        <f t="shared" si="89"/>
        <v>1</v>
      </c>
      <c r="O300" s="43" t="s">
        <v>36</v>
      </c>
      <c r="P300" t="str">
        <f t="shared" si="92"/>
        <v>0</v>
      </c>
      <c r="Q300" s="43"/>
      <c r="R300" s="43"/>
      <c r="S300" s="34">
        <f>IF($V300="USD",INDEX('Dólar Spot'!$B:$B,MATCH(Base!$K300,'Dólar Spot'!$A:$A,0)),"")</f>
        <v>1.6191</v>
      </c>
      <c r="T300" s="44">
        <v>750000000</v>
      </c>
      <c r="U300" s="8">
        <f t="shared" si="93"/>
        <v>12.14325</v>
      </c>
      <c r="V300" s="43" t="s">
        <v>651</v>
      </c>
      <c r="W300" s="45" t="s">
        <v>29</v>
      </c>
      <c r="X300" s="53">
        <v>8.375</v>
      </c>
      <c r="Y300" s="9">
        <f>IF(AND(V300="DI",$W300=100),$X300/100,
IF(AND(V300="DI",$W300&lt;&gt;100,$X300=""),INDEX('Debs %CDI'!$Q:$Q,MATCH(Base!$C300,'Debs %CDI'!$A:$A,0)),
IF($V300="USD",INDEX(Bonds!$AF:$AF,MATCH(Base!$C300,Bonds!$B:$B,0)),
IF($V300="IPCA",INDEX('Debs IPCA'!$Z:$Z,MATCH(Base!$C300,'Debs IPCA'!$A:$A,0))))))</f>
        <v>3.8252856066533836E-2</v>
      </c>
      <c r="Z300" s="43">
        <v>360</v>
      </c>
      <c r="AA300" s="43" t="s">
        <v>37</v>
      </c>
      <c r="AB300" s="43" t="s">
        <v>32</v>
      </c>
      <c r="AC300">
        <f t="shared" si="90"/>
        <v>0</v>
      </c>
      <c r="AD300" s="43" t="s">
        <v>32</v>
      </c>
      <c r="AE300">
        <f t="shared" si="91"/>
        <v>0</v>
      </c>
      <c r="AF300" s="34" t="str" cm="1">
        <f t="array" ref="AF300">INDEX(Ratings!$B$2:$M$40,_xlfn.XMATCH(Base!F300,Ratings!$A$2:$A$40),_xlfn.XMATCH(YEAR(Base!K300),Ratings!$B$1:$M$1))</f>
        <v>B+</v>
      </c>
      <c r="AG300">
        <f t="shared" si="82"/>
        <v>0</v>
      </c>
      <c r="AH300">
        <f>IFERROR(IFERROR(IFERROR(INDEX('EMBI+'!$B:$B,MATCH(Base!$K300,'EMBI+'!$A:$A,0)),INDEX('EMBI+'!$B:$B,MATCH(Base!$K300+1,'EMBI+'!$A:$A,0))),INDEX('EMBI+'!$B:$B,MATCH(Base!$K300+2,'EMBI+'!$A:$A,0))),INDEX('EMBI+'!$B:$B,MATCH(Base!$K300+3,'EMBI+'!$A:$A,0)))/100</f>
        <v>1.68</v>
      </c>
      <c r="AL300" s="43"/>
      <c r="AM300" s="28"/>
      <c r="AN300" s="28"/>
    </row>
    <row r="301" spans="1:40" x14ac:dyDescent="0.35">
      <c r="A301">
        <f t="shared" si="83"/>
        <v>299</v>
      </c>
      <c r="B301">
        <f>IF(G301="Bonds",COUNTIF($G$3:G301,"Bonds"),0)</f>
        <v>85</v>
      </c>
      <c r="C301" t="str">
        <f t="shared" si="84"/>
        <v>Marfrig4153720/09/2021</v>
      </c>
      <c r="D301">
        <f t="shared" si="85"/>
        <v>24</v>
      </c>
      <c r="E301" s="43" t="s">
        <v>377</v>
      </c>
      <c r="F301" s="43" t="s">
        <v>370</v>
      </c>
      <c r="G301" s="43" t="s">
        <v>34</v>
      </c>
      <c r="H301">
        <f t="shared" si="86"/>
        <v>1</v>
      </c>
      <c r="I301" s="43"/>
      <c r="J301" s="34">
        <f t="shared" si="87"/>
        <v>12</v>
      </c>
      <c r="K301" s="28">
        <v>41537</v>
      </c>
      <c r="L301" s="28" t="s">
        <v>381</v>
      </c>
      <c r="M301" s="60">
        <f t="shared" si="88"/>
        <v>8.0054794520547947</v>
      </c>
      <c r="N301" s="4">
        <f t="shared" si="89"/>
        <v>1</v>
      </c>
      <c r="O301" s="43" t="s">
        <v>36</v>
      </c>
      <c r="P301" t="str">
        <f t="shared" si="92"/>
        <v>0</v>
      </c>
      <c r="Q301" s="43"/>
      <c r="R301" s="43"/>
      <c r="S301" s="34">
        <f>IF($V301="USD",INDEX('Dólar Spot'!$B:$B,MATCH(Base!$K301,'Dólar Spot'!$A:$A,0)),"")</f>
        <v>2.2046999999999999</v>
      </c>
      <c r="T301" s="44">
        <v>400000000</v>
      </c>
      <c r="U301" s="8">
        <f t="shared" si="93"/>
        <v>8.8187999999999995</v>
      </c>
      <c r="V301" s="43" t="s">
        <v>651</v>
      </c>
      <c r="W301" s="45" t="s">
        <v>29</v>
      </c>
      <c r="X301" s="53">
        <v>11.25</v>
      </c>
      <c r="Y301" s="9">
        <f>IF(AND(V301="DI",$W301=100),$X301/100,
IF(AND(V301="DI",$W301&lt;&gt;100,$X301=""),INDEX('Debs %CDI'!$Q:$Q,MATCH(Base!$C301,'Debs %CDI'!$A:$A,0)),
IF($V301="USD",INDEX(Bonds!$AF:$AF,MATCH(Base!$C301,Bonds!$B:$B,0)),
IF($V301="IPCA",INDEX('Debs IPCA'!$Z:$Z,MATCH(Base!$C301,'Debs IPCA'!$A:$A,0))))))</f>
        <v>6.9273082454898605E-2</v>
      </c>
      <c r="Z301" s="43">
        <v>360</v>
      </c>
      <c r="AA301" s="43" t="s">
        <v>37</v>
      </c>
      <c r="AB301" s="43" t="s">
        <v>32</v>
      </c>
      <c r="AC301">
        <f t="shared" si="90"/>
        <v>0</v>
      </c>
      <c r="AD301" s="43" t="s">
        <v>31</v>
      </c>
      <c r="AE301">
        <f t="shared" si="91"/>
        <v>1</v>
      </c>
      <c r="AF301" s="34" t="str" cm="1">
        <f t="array" ref="AF301">INDEX(Ratings!$B$2:$M$40,_xlfn.XMATCH(Base!F301,Ratings!$A$2:$A$40),_xlfn.XMATCH(YEAR(Base!K301),Ratings!$B$1:$M$1))</f>
        <v>B</v>
      </c>
      <c r="AG301">
        <f t="shared" si="82"/>
        <v>0</v>
      </c>
      <c r="AH301">
        <f>IFERROR(IFERROR(IFERROR(INDEX('EMBI+'!$B:$B,MATCH(Base!$K301,'EMBI+'!$A:$A,0)),INDEX('EMBI+'!$B:$B,MATCH(Base!$K301+1,'EMBI+'!$A:$A,0))),INDEX('EMBI+'!$B:$B,MATCH(Base!$K301+2,'EMBI+'!$A:$A,0))),INDEX('EMBI+'!$B:$B,MATCH(Base!$K301+3,'EMBI+'!$A:$A,0)))/100</f>
        <v>2.13</v>
      </c>
      <c r="AL301" s="43"/>
      <c r="AM301" s="28"/>
      <c r="AN301" s="28"/>
    </row>
    <row r="302" spans="1:40" x14ac:dyDescent="0.35">
      <c r="A302">
        <f t="shared" si="83"/>
        <v>300</v>
      </c>
      <c r="B302">
        <f>IF(G302="Bonds",COUNTIF($G$3:G302,"Bonds"),0)</f>
        <v>86</v>
      </c>
      <c r="C302" t="str">
        <f t="shared" si="84"/>
        <v>Marfrig4129824/07/2017</v>
      </c>
      <c r="D302">
        <f t="shared" si="85"/>
        <v>24</v>
      </c>
      <c r="E302" s="43" t="s">
        <v>377</v>
      </c>
      <c r="F302" s="43" t="s">
        <v>370</v>
      </c>
      <c r="G302" s="43" t="s">
        <v>34</v>
      </c>
      <c r="H302">
        <f t="shared" si="86"/>
        <v>1</v>
      </c>
      <c r="I302" s="43"/>
      <c r="J302" s="34">
        <f t="shared" si="87"/>
        <v>13</v>
      </c>
      <c r="K302" s="28">
        <v>41298</v>
      </c>
      <c r="L302" s="28" t="s">
        <v>382</v>
      </c>
      <c r="M302" s="60">
        <f t="shared" si="88"/>
        <v>4.4986301369863018</v>
      </c>
      <c r="N302" s="4">
        <f t="shared" si="89"/>
        <v>0</v>
      </c>
      <c r="O302" s="43" t="s">
        <v>36</v>
      </c>
      <c r="P302" t="str">
        <f t="shared" si="92"/>
        <v>0</v>
      </c>
      <c r="Q302" s="43"/>
      <c r="R302" s="43"/>
      <c r="S302" s="34">
        <f>IF($V302="USD",INDEX('Dólar Spot'!$B:$B,MATCH(Base!$K302,'Dólar Spot'!$A:$A,0)),"")</f>
        <v>2.0337999999999998</v>
      </c>
      <c r="T302" s="44">
        <v>600000000</v>
      </c>
      <c r="U302" s="8">
        <f t="shared" si="93"/>
        <v>12.2028</v>
      </c>
      <c r="V302" s="43" t="s">
        <v>651</v>
      </c>
      <c r="W302" s="45" t="s">
        <v>29</v>
      </c>
      <c r="X302" s="53">
        <v>9.875</v>
      </c>
      <c r="Y302" s="9">
        <f>IF(AND(V302="DI",$W302=100),$X302/100,
IF(AND(V302="DI",$W302&lt;&gt;100,$X302=""),INDEX('Debs %CDI'!$Q:$Q,MATCH(Base!$C302,'Debs %CDI'!$A:$A,0)),
IF($V302="USD",INDEX(Bonds!$AF:$AF,MATCH(Base!$C302,Bonds!$B:$B,0)),
IF($V302="IPCA",INDEX('Debs IPCA'!$Z:$Z,MATCH(Base!$C302,'Debs IPCA'!$A:$A,0))))))</f>
        <v>7.405760536218442E-2</v>
      </c>
      <c r="Z302" s="43">
        <v>360</v>
      </c>
      <c r="AA302" s="43" t="s">
        <v>37</v>
      </c>
      <c r="AB302" s="43" t="s">
        <v>32</v>
      </c>
      <c r="AC302">
        <f t="shared" si="90"/>
        <v>0</v>
      </c>
      <c r="AD302" s="43" t="s">
        <v>31</v>
      </c>
      <c r="AE302">
        <f t="shared" si="91"/>
        <v>1</v>
      </c>
      <c r="AF302" s="34" t="str" cm="1">
        <f t="array" ref="AF302">INDEX(Ratings!$B$2:$M$40,_xlfn.XMATCH(Base!F302,Ratings!$A$2:$A$40),_xlfn.XMATCH(YEAR(Base!K302),Ratings!$B$1:$M$1))</f>
        <v>B</v>
      </c>
      <c r="AG302">
        <f t="shared" si="82"/>
        <v>0</v>
      </c>
      <c r="AH302">
        <f>IFERROR(IFERROR(IFERROR(INDEX('EMBI+'!$B:$B,MATCH(Base!$K302,'EMBI+'!$A:$A,0)),INDEX('EMBI+'!$B:$B,MATCH(Base!$K302+1,'EMBI+'!$A:$A,0))),INDEX('EMBI+'!$B:$B,MATCH(Base!$K302+2,'EMBI+'!$A:$A,0))),INDEX('EMBI+'!$B:$B,MATCH(Base!$K302+3,'EMBI+'!$A:$A,0)))/100</f>
        <v>1.51</v>
      </c>
      <c r="AL302" s="43"/>
      <c r="AM302" s="28"/>
      <c r="AN302" s="28"/>
    </row>
    <row r="303" spans="1:40" x14ac:dyDescent="0.35">
      <c r="A303">
        <f t="shared" si="83"/>
        <v>301</v>
      </c>
      <c r="B303">
        <f>IF(G303="Bonds",COUNTIF($G$3:G303,"Bonds"),0)</f>
        <v>87</v>
      </c>
      <c r="C303" t="str">
        <f t="shared" si="84"/>
        <v>Marfrig4359914/05/2026</v>
      </c>
      <c r="D303">
        <f t="shared" si="85"/>
        <v>24</v>
      </c>
      <c r="E303" s="43" t="s">
        <v>383</v>
      </c>
      <c r="F303" s="43" t="s">
        <v>370</v>
      </c>
      <c r="G303" s="43" t="s">
        <v>34</v>
      </c>
      <c r="H303">
        <f t="shared" si="86"/>
        <v>1</v>
      </c>
      <c r="I303" s="43"/>
      <c r="J303" s="34">
        <f t="shared" si="87"/>
        <v>14</v>
      </c>
      <c r="K303" s="28">
        <v>43599</v>
      </c>
      <c r="L303" s="28" t="s">
        <v>384</v>
      </c>
      <c r="M303" s="60">
        <f t="shared" si="88"/>
        <v>7.0054794520547947</v>
      </c>
      <c r="N303" s="4">
        <f t="shared" si="89"/>
        <v>1</v>
      </c>
      <c r="O303" s="43" t="s">
        <v>36</v>
      </c>
      <c r="P303" t="str">
        <f t="shared" si="92"/>
        <v>0</v>
      </c>
      <c r="Q303" s="43"/>
      <c r="R303" s="43"/>
      <c r="S303" s="34">
        <f>IF($V303="USD",INDEX('Dólar Spot'!$B:$B,MATCH(Base!$K303,'Dólar Spot'!$A:$A,0)),"")</f>
        <v>3.9782000000000002</v>
      </c>
      <c r="T303" s="44">
        <v>1000000000</v>
      </c>
      <c r="U303" s="8">
        <f t="shared" si="93"/>
        <v>39.781999999999996</v>
      </c>
      <c r="V303" s="43" t="s">
        <v>651</v>
      </c>
      <c r="W303" s="45" t="s">
        <v>29</v>
      </c>
      <c r="X303" s="53">
        <v>7</v>
      </c>
      <c r="Y303" s="9">
        <f>IF(AND(V303="DI",$W303=100),$X303/100,
IF(AND(V303="DI",$W303&lt;&gt;100,$X303=""),INDEX('Debs %CDI'!$Q:$Q,MATCH(Base!$C303,'Debs %CDI'!$A:$A,0)),
IF($V303="USD",INDEX(Bonds!$AF:$AF,MATCH(Base!$C303,Bonds!$B:$B,0)),
IF($V303="IPCA",INDEX('Debs IPCA'!$Z:$Z,MATCH(Base!$C303,'Debs IPCA'!$A:$A,0))))))</f>
        <v>3.3568350216095499E-2</v>
      </c>
      <c r="Z303" s="43">
        <v>360</v>
      </c>
      <c r="AA303" s="43" t="s">
        <v>37</v>
      </c>
      <c r="AB303" s="43" t="s">
        <v>32</v>
      </c>
      <c r="AC303">
        <f t="shared" si="90"/>
        <v>0</v>
      </c>
      <c r="AD303" s="43" t="s">
        <v>31</v>
      </c>
      <c r="AE303">
        <f t="shared" si="91"/>
        <v>1</v>
      </c>
      <c r="AF303" s="34" t="str" cm="1">
        <f t="array" ref="AF303">INDEX(Ratings!$B$2:$M$40,_xlfn.XMATCH(Base!F303,Ratings!$A$2:$A$40),_xlfn.XMATCH(YEAR(Base!K303),Ratings!$B$1:$M$1))</f>
        <v>BB-</v>
      </c>
      <c r="AG303">
        <f t="shared" si="82"/>
        <v>0</v>
      </c>
      <c r="AH303">
        <f>IFERROR(IFERROR(IFERROR(INDEX('EMBI+'!$B:$B,MATCH(Base!$K303,'EMBI+'!$A:$A,0)),INDEX('EMBI+'!$B:$B,MATCH(Base!$K303+1,'EMBI+'!$A:$A,0))),INDEX('EMBI+'!$B:$B,MATCH(Base!$K303+2,'EMBI+'!$A:$A,0))),INDEX('EMBI+'!$B:$B,MATCH(Base!$K303+3,'EMBI+'!$A:$A,0)))/100</f>
        <v>2.56</v>
      </c>
      <c r="AL303" s="43"/>
      <c r="AM303" s="28"/>
      <c r="AN303" s="28"/>
    </row>
    <row r="304" spans="1:40" x14ac:dyDescent="0.35">
      <c r="A304">
        <f t="shared" si="83"/>
        <v>302</v>
      </c>
      <c r="B304">
        <f>IF(G304="Bonds",COUNTIF($G$3:G304,"Bonds"),0)</f>
        <v>88</v>
      </c>
      <c r="C304" t="str">
        <f t="shared" si="84"/>
        <v>Marfrig4368306/08/2029</v>
      </c>
      <c r="D304">
        <f t="shared" si="85"/>
        <v>24</v>
      </c>
      <c r="E304" s="43" t="s">
        <v>383</v>
      </c>
      <c r="F304" s="43" t="s">
        <v>370</v>
      </c>
      <c r="G304" s="43" t="s">
        <v>34</v>
      </c>
      <c r="H304">
        <f t="shared" si="86"/>
        <v>1</v>
      </c>
      <c r="I304" s="43"/>
      <c r="J304" s="34">
        <f t="shared" si="87"/>
        <v>15</v>
      </c>
      <c r="K304" s="28">
        <v>43683</v>
      </c>
      <c r="L304" s="28" t="s">
        <v>385</v>
      </c>
      <c r="M304" s="60">
        <f t="shared" si="88"/>
        <v>10.008219178082191</v>
      </c>
      <c r="N304" s="4">
        <f t="shared" si="89"/>
        <v>1</v>
      </c>
      <c r="O304" s="43" t="s">
        <v>36</v>
      </c>
      <c r="P304" t="str">
        <f t="shared" si="92"/>
        <v>0</v>
      </c>
      <c r="Q304" s="43"/>
      <c r="R304" s="43"/>
      <c r="S304" s="34">
        <f>IF($V304="USD",INDEX('Dólar Spot'!$B:$B,MATCH(Base!$K304,'Dólar Spot'!$A:$A,0)),"")</f>
        <v>3.9636999999999998</v>
      </c>
      <c r="T304" s="44">
        <v>500000000</v>
      </c>
      <c r="U304" s="8">
        <f t="shared" si="93"/>
        <v>19.8185</v>
      </c>
      <c r="V304" s="43" t="s">
        <v>651</v>
      </c>
      <c r="W304" s="45" t="s">
        <v>29</v>
      </c>
      <c r="X304" s="53">
        <v>6.625</v>
      </c>
      <c r="Y304" s="9">
        <f>IF(AND(V304="DI",$W304=100),$X304/100,
IF(AND(V304="DI",$W304&lt;&gt;100,$X304=""),INDEX('Debs %CDI'!$Q:$Q,MATCH(Base!$C304,'Debs %CDI'!$A:$A,0)),
IF($V304="USD",INDEX(Bonds!$AF:$AF,MATCH(Base!$C304,Bonds!$B:$B,0)),
IF($V304="IPCA",INDEX('Debs IPCA'!$Z:$Z,MATCH(Base!$C304,'Debs IPCA'!$A:$A,0))))))</f>
        <v>4.1031330001819244E-2</v>
      </c>
      <c r="Z304" s="43">
        <v>360</v>
      </c>
      <c r="AA304" s="43" t="s">
        <v>37</v>
      </c>
      <c r="AB304" s="43" t="s">
        <v>32</v>
      </c>
      <c r="AC304">
        <f t="shared" si="90"/>
        <v>0</v>
      </c>
      <c r="AD304" s="43" t="s">
        <v>31</v>
      </c>
      <c r="AE304">
        <f t="shared" si="91"/>
        <v>1</v>
      </c>
      <c r="AF304" s="34" t="str" cm="1">
        <f t="array" ref="AF304">INDEX(Ratings!$B$2:$M$40,_xlfn.XMATCH(Base!F304,Ratings!$A$2:$A$40),_xlfn.XMATCH(YEAR(Base!K304),Ratings!$B$1:$M$1))</f>
        <v>BB-</v>
      </c>
      <c r="AG304">
        <f t="shared" si="82"/>
        <v>0</v>
      </c>
      <c r="AH304">
        <f>IFERROR(IFERROR(IFERROR(INDEX('EMBI+'!$B:$B,MATCH(Base!$K304,'EMBI+'!$A:$A,0)),INDEX('EMBI+'!$B:$B,MATCH(Base!$K304+1,'EMBI+'!$A:$A,0))),INDEX('EMBI+'!$B:$B,MATCH(Base!$K304+2,'EMBI+'!$A:$A,0))),INDEX('EMBI+'!$B:$B,MATCH(Base!$K304+3,'EMBI+'!$A:$A,0)))/100</f>
        <v>2.33</v>
      </c>
      <c r="AL304" s="43"/>
      <c r="AM304" s="28"/>
      <c r="AN304" s="28"/>
    </row>
    <row r="305" spans="1:40" x14ac:dyDescent="0.35">
      <c r="A305">
        <f t="shared" si="83"/>
        <v>303</v>
      </c>
      <c r="B305">
        <f>IF(G305="Bonds",COUNTIF($G$3:G305,"Bonds"),0)</f>
        <v>0</v>
      </c>
      <c r="C305" t="str">
        <f t="shared" si="84"/>
        <v>Minerva4144043266</v>
      </c>
      <c r="D305">
        <f t="shared" si="85"/>
        <v>25</v>
      </c>
      <c r="E305" s="43" t="s">
        <v>386</v>
      </c>
      <c r="F305" s="43" t="s">
        <v>387</v>
      </c>
      <c r="G305" s="43" t="s">
        <v>25</v>
      </c>
      <c r="H305">
        <f t="shared" si="86"/>
        <v>0</v>
      </c>
      <c r="I305" s="43" t="s">
        <v>388</v>
      </c>
      <c r="J305" s="34">
        <f t="shared" si="87"/>
        <v>1</v>
      </c>
      <c r="K305" s="28">
        <v>41440</v>
      </c>
      <c r="L305" s="28">
        <v>43266</v>
      </c>
      <c r="M305" s="60">
        <f t="shared" si="88"/>
        <v>5.0027397260273974</v>
      </c>
      <c r="N305" s="4">
        <f t="shared" si="89"/>
        <v>1</v>
      </c>
      <c r="O305" s="43" t="s">
        <v>44</v>
      </c>
      <c r="P305" t="str">
        <f t="shared" si="92"/>
        <v>0</v>
      </c>
      <c r="Q305" s="44">
        <v>30000</v>
      </c>
      <c r="R305" s="43">
        <v>10000</v>
      </c>
      <c r="S305" s="34" t="str">
        <f>IF($V305="USD",INDEX('Dólar Spot'!$B:$B,MATCH(Base!$K305,'Dólar Spot'!$A:$A,0)),"")</f>
        <v/>
      </c>
      <c r="T305" s="4">
        <f>Q305*R305</f>
        <v>300000000</v>
      </c>
      <c r="U305" s="8">
        <f t="shared" si="93"/>
        <v>3</v>
      </c>
      <c r="V305" s="43" t="s">
        <v>41</v>
      </c>
      <c r="W305" s="45">
        <v>100</v>
      </c>
      <c r="X305" s="46">
        <v>1.75</v>
      </c>
      <c r="Y305" s="9">
        <f>IF(AND(V305="DI",$W305=100),$X305/100,
IF(AND(V305="DI",$W305&lt;&gt;100,$X305=""),INDEX('Debs %CDI'!$Q:$Q,MATCH(Base!$C305,'Debs %CDI'!$A:$A,0)),
IF($V305="USD",INDEX(Bonds!$AF:$AF,MATCH(Base!$C305,Bonds!$B:$B,0)),
IF($V305="IPCA",INDEX('Debs IPCA'!$Z:$Z,MATCH(Base!$C305,'Debs IPCA'!$A:$A,0))))))</f>
        <v>1.7500000000000002E-2</v>
      </c>
      <c r="Z305" s="43">
        <v>252</v>
      </c>
      <c r="AA305" s="43" t="s">
        <v>30</v>
      </c>
      <c r="AB305" s="43" t="s">
        <v>32</v>
      </c>
      <c r="AC305">
        <f t="shared" si="90"/>
        <v>0</v>
      </c>
      <c r="AD305" s="43" t="s">
        <v>31</v>
      </c>
      <c r="AE305">
        <f t="shared" si="91"/>
        <v>1</v>
      </c>
      <c r="AF305" s="34" t="str" cm="1">
        <f t="array" ref="AF305">INDEX(Ratings!$B$2:$M$40,_xlfn.XMATCH(Base!F305,Ratings!$A$2:$A$40),_xlfn.XMATCH(YEAR(Base!K305),Ratings!$B$1:$M$1))</f>
        <v>B+</v>
      </c>
      <c r="AG305">
        <f t="shared" si="82"/>
        <v>0</v>
      </c>
      <c r="AH305">
        <f>IFERROR(IFERROR(IFERROR(INDEX('EMBI+'!$B:$B,MATCH(Base!$K305,'EMBI+'!$A:$A,0)),INDEX('EMBI+'!$B:$B,MATCH(Base!$K305+1,'EMBI+'!$A:$A,0))),INDEX('EMBI+'!$B:$B,MATCH(Base!$K305+2,'EMBI+'!$A:$A,0))),INDEX('EMBI+'!$B:$B,MATCH(Base!$K305+3,'EMBI+'!$A:$A,0)))/100</f>
        <v>2.16</v>
      </c>
      <c r="AL305" s="43"/>
      <c r="AM305" s="28"/>
      <c r="AN305" s="28"/>
    </row>
    <row r="306" spans="1:40" x14ac:dyDescent="0.35">
      <c r="A306">
        <f t="shared" si="83"/>
        <v>304</v>
      </c>
      <c r="B306">
        <f>IF(G306="Bonds",COUNTIF($G$3:G306,"Bonds"),0)</f>
        <v>0</v>
      </c>
      <c r="C306" t="str">
        <f t="shared" si="84"/>
        <v>Minerva4360044696</v>
      </c>
      <c r="D306">
        <f t="shared" si="85"/>
        <v>25</v>
      </c>
      <c r="E306" s="43" t="s">
        <v>386</v>
      </c>
      <c r="F306" s="43" t="s">
        <v>387</v>
      </c>
      <c r="G306" s="43" t="s">
        <v>25</v>
      </c>
      <c r="H306">
        <f t="shared" si="86"/>
        <v>0</v>
      </c>
      <c r="I306" s="43" t="s">
        <v>389</v>
      </c>
      <c r="J306" s="34">
        <f t="shared" si="87"/>
        <v>2</v>
      </c>
      <c r="K306" s="28">
        <v>43600</v>
      </c>
      <c r="L306" s="28">
        <v>44696</v>
      </c>
      <c r="M306" s="60">
        <f t="shared" si="88"/>
        <v>3.0027397260273974</v>
      </c>
      <c r="N306" s="4">
        <f t="shared" si="89"/>
        <v>0</v>
      </c>
      <c r="O306" s="43" t="s">
        <v>44</v>
      </c>
      <c r="P306" t="str">
        <f t="shared" si="92"/>
        <v>0</v>
      </c>
      <c r="Q306" s="44">
        <v>400000</v>
      </c>
      <c r="R306" s="43">
        <v>1000</v>
      </c>
      <c r="S306" s="34" t="str">
        <f>IF($V306="USD",INDEX('Dólar Spot'!$B:$B,MATCH(Base!$K306,'Dólar Spot'!$A:$A,0)),"")</f>
        <v/>
      </c>
      <c r="T306" s="4">
        <f>Q306*R306</f>
        <v>400000000</v>
      </c>
      <c r="U306" s="8">
        <f t="shared" si="93"/>
        <v>4</v>
      </c>
      <c r="V306" s="43" t="s">
        <v>41</v>
      </c>
      <c r="W306" s="45">
        <v>100</v>
      </c>
      <c r="X306" s="46">
        <v>1.8</v>
      </c>
      <c r="Y306" s="9">
        <f>IF(AND(V306="DI",$W306=100),$X306/100,
IF(AND(V306="DI",$W306&lt;&gt;100,$X306=""),INDEX('Debs %CDI'!$Q:$Q,MATCH(Base!$C306,'Debs %CDI'!$A:$A,0)),
IF($V306="USD",INDEX(Bonds!$AF:$AF,MATCH(Base!$C306,Bonds!$B:$B,0)),
IF($V306="IPCA",INDEX('Debs IPCA'!$Z:$Z,MATCH(Base!$C306,'Debs IPCA'!$A:$A,0))))))</f>
        <v>1.8000000000000002E-2</v>
      </c>
      <c r="Z306" s="43">
        <v>252</v>
      </c>
      <c r="AA306" s="43" t="s">
        <v>30</v>
      </c>
      <c r="AB306" s="43" t="s">
        <v>32</v>
      </c>
      <c r="AC306">
        <f t="shared" si="90"/>
        <v>0</v>
      </c>
      <c r="AD306" s="43" t="s">
        <v>31</v>
      </c>
      <c r="AE306">
        <f t="shared" si="91"/>
        <v>1</v>
      </c>
      <c r="AF306" s="34" t="str" cm="1">
        <f t="array" ref="AF306">INDEX(Ratings!$B$2:$M$40,_xlfn.XMATCH(Base!F306,Ratings!$A$2:$A$40),_xlfn.XMATCH(YEAR(Base!K306),Ratings!$B$1:$M$1))</f>
        <v>BB-</v>
      </c>
      <c r="AG306">
        <f t="shared" si="82"/>
        <v>0</v>
      </c>
      <c r="AH306">
        <f>IFERROR(IFERROR(IFERROR(INDEX('EMBI+'!$B:$B,MATCH(Base!$K306,'EMBI+'!$A:$A,0)),INDEX('EMBI+'!$B:$B,MATCH(Base!$K306+1,'EMBI+'!$A:$A,0))),INDEX('EMBI+'!$B:$B,MATCH(Base!$K306+2,'EMBI+'!$A:$A,0))),INDEX('EMBI+'!$B:$B,MATCH(Base!$K306+3,'EMBI+'!$A:$A,0)))/100</f>
        <v>2.6</v>
      </c>
      <c r="AL306" s="43"/>
      <c r="AM306" s="28"/>
      <c r="AN306" s="28"/>
    </row>
    <row r="307" spans="1:40" x14ac:dyDescent="0.35">
      <c r="A307">
        <f t="shared" si="83"/>
        <v>305</v>
      </c>
      <c r="B307">
        <f>IF(G307="Bonds",COUNTIF($G$3:G307,"Bonds"),0)</f>
        <v>0</v>
      </c>
      <c r="C307" t="str">
        <f t="shared" si="84"/>
        <v>Minerva4448446310</v>
      </c>
      <c r="D307">
        <f t="shared" si="85"/>
        <v>25</v>
      </c>
      <c r="E307" s="43" t="s">
        <v>386</v>
      </c>
      <c r="F307" s="43" t="s">
        <v>387</v>
      </c>
      <c r="G307" s="43" t="s">
        <v>25</v>
      </c>
      <c r="H307">
        <f t="shared" si="86"/>
        <v>0</v>
      </c>
      <c r="I307" s="43" t="s">
        <v>390</v>
      </c>
      <c r="J307" s="34">
        <f t="shared" si="87"/>
        <v>3</v>
      </c>
      <c r="K307" s="28">
        <v>44484</v>
      </c>
      <c r="L307" s="28">
        <v>46310</v>
      </c>
      <c r="M307" s="60">
        <f t="shared" si="88"/>
        <v>5.0027397260273974</v>
      </c>
      <c r="N307" s="4">
        <f t="shared" si="89"/>
        <v>1</v>
      </c>
      <c r="O307" s="43" t="s">
        <v>44</v>
      </c>
      <c r="P307" t="str">
        <f t="shared" si="92"/>
        <v>0</v>
      </c>
      <c r="Q307" s="44">
        <v>400000</v>
      </c>
      <c r="R307" s="43">
        <v>1000</v>
      </c>
      <c r="S307" s="34" t="str">
        <f>IF($V307="USD",INDEX('Dólar Spot'!$B:$B,MATCH(Base!$K307,'Dólar Spot'!$A:$A,0)),"")</f>
        <v/>
      </c>
      <c r="T307" s="4">
        <f>Q307*R307</f>
        <v>400000000</v>
      </c>
      <c r="U307" s="8">
        <f t="shared" si="93"/>
        <v>4</v>
      </c>
      <c r="V307" s="43" t="s">
        <v>41</v>
      </c>
      <c r="W307" s="45">
        <v>100</v>
      </c>
      <c r="X307" s="46">
        <v>1.6</v>
      </c>
      <c r="Y307" s="9">
        <f>IF(AND(V307="DI",$W307=100),$X307/100,
IF(AND(V307="DI",$W307&lt;&gt;100,$X307=""),INDEX('Debs %CDI'!$Q:$Q,MATCH(Base!$C307,'Debs %CDI'!$A:$A,0)),
IF($V307="USD",INDEX(Bonds!$AF:$AF,MATCH(Base!$C307,Bonds!$B:$B,0)),
IF($V307="IPCA",INDEX('Debs IPCA'!$Z:$Z,MATCH(Base!$C307,'Debs IPCA'!$A:$A,0))))))</f>
        <v>1.6E-2</v>
      </c>
      <c r="Z307" s="43">
        <v>252</v>
      </c>
      <c r="AA307" s="43" t="s">
        <v>30</v>
      </c>
      <c r="AB307" s="43" t="s">
        <v>32</v>
      </c>
      <c r="AC307">
        <f t="shared" si="90"/>
        <v>0</v>
      </c>
      <c r="AD307" s="43" t="s">
        <v>31</v>
      </c>
      <c r="AE307">
        <f t="shared" si="91"/>
        <v>1</v>
      </c>
      <c r="AF307" s="34" t="str" cm="1">
        <f t="array" ref="AF307">INDEX(Ratings!$B$2:$M$40,_xlfn.XMATCH(Base!F307,Ratings!$A$2:$A$40),_xlfn.XMATCH(YEAR(Base!K307),Ratings!$B$1:$M$1))</f>
        <v>BB</v>
      </c>
      <c r="AG307">
        <f t="shared" si="82"/>
        <v>0</v>
      </c>
      <c r="AH307">
        <f>IFERROR(IFERROR(IFERROR(INDEX('EMBI+'!$B:$B,MATCH(Base!$K307,'EMBI+'!$A:$A,0)),INDEX('EMBI+'!$B:$B,MATCH(Base!$K307+1,'EMBI+'!$A:$A,0))),INDEX('EMBI+'!$B:$B,MATCH(Base!$K307+2,'EMBI+'!$A:$A,0))),INDEX('EMBI+'!$B:$B,MATCH(Base!$K307+3,'EMBI+'!$A:$A,0)))/100</f>
        <v>3.24</v>
      </c>
      <c r="AL307" s="43"/>
      <c r="AM307" s="28"/>
      <c r="AN307" s="28"/>
    </row>
    <row r="308" spans="1:40" x14ac:dyDescent="0.35">
      <c r="A308">
        <f t="shared" si="83"/>
        <v>306</v>
      </c>
      <c r="B308">
        <f>IF(G308="Bonds",COUNTIF($G$3:G308,"Bonds"),0)</f>
        <v>89</v>
      </c>
      <c r="C308" t="str">
        <f t="shared" si="84"/>
        <v>Minerva4427318/03/2031</v>
      </c>
      <c r="D308">
        <f t="shared" si="85"/>
        <v>25</v>
      </c>
      <c r="E308" s="43" t="s">
        <v>391</v>
      </c>
      <c r="F308" s="43" t="s">
        <v>387</v>
      </c>
      <c r="G308" s="43" t="s">
        <v>34</v>
      </c>
      <c r="H308">
        <f t="shared" si="86"/>
        <v>1</v>
      </c>
      <c r="I308" s="43"/>
      <c r="J308" s="34">
        <f t="shared" si="87"/>
        <v>4</v>
      </c>
      <c r="K308" s="28">
        <v>44273</v>
      </c>
      <c r="L308" s="28" t="s">
        <v>392</v>
      </c>
      <c r="M308" s="60">
        <f t="shared" si="88"/>
        <v>10.005479452054795</v>
      </c>
      <c r="N308" s="4">
        <f t="shared" si="89"/>
        <v>1</v>
      </c>
      <c r="O308" s="43" t="s">
        <v>36</v>
      </c>
      <c r="P308" t="str">
        <f t="shared" si="92"/>
        <v>0</v>
      </c>
      <c r="Q308" s="43"/>
      <c r="R308" s="43"/>
      <c r="S308" s="34">
        <f>IF($V308="USD",INDEX('Dólar Spot'!$B:$B,MATCH(Base!$K308,'Dólar Spot'!$A:$A,0)),"")</f>
        <v>5.5468000000000002</v>
      </c>
      <c r="T308" s="44">
        <v>1000000000</v>
      </c>
      <c r="U308" s="8">
        <f t="shared" si="93"/>
        <v>55.468000000000004</v>
      </c>
      <c r="V308" s="43" t="s">
        <v>651</v>
      </c>
      <c r="W308" s="45" t="s">
        <v>29</v>
      </c>
      <c r="X308" s="53">
        <v>4.375</v>
      </c>
      <c r="Y308" s="9">
        <f>IF(AND(V308="DI",$W308=100),$X308/100,
IF(AND(V308="DI",$W308&lt;&gt;100,$X308=""),INDEX('Debs %CDI'!$Q:$Q,MATCH(Base!$C308,'Debs %CDI'!$A:$A,0)),
IF($V308="USD",INDEX(Bonds!$AF:$AF,MATCH(Base!$C308,Bonds!$B:$B,0)),
IF($V308="IPCA",INDEX('Debs IPCA'!$Z:$Z,MATCH(Base!$C308,'Debs IPCA'!$A:$A,0))))))</f>
        <v>2.143565323755614E-2</v>
      </c>
      <c r="Z308" s="43">
        <v>360</v>
      </c>
      <c r="AA308" s="43" t="s">
        <v>37</v>
      </c>
      <c r="AB308" s="43" t="s">
        <v>32</v>
      </c>
      <c r="AC308">
        <f t="shared" si="90"/>
        <v>0</v>
      </c>
      <c r="AD308" s="43" t="s">
        <v>31</v>
      </c>
      <c r="AE308">
        <f t="shared" si="91"/>
        <v>1</v>
      </c>
      <c r="AF308" s="34" t="str" cm="1">
        <f t="array" ref="AF308">INDEX(Ratings!$B$2:$M$40,_xlfn.XMATCH(Base!F308,Ratings!$A$2:$A$40),_xlfn.XMATCH(YEAR(Base!K308),Ratings!$B$1:$M$1))</f>
        <v>BB</v>
      </c>
      <c r="AG308">
        <f t="shared" si="82"/>
        <v>0</v>
      </c>
      <c r="AH308">
        <f>IFERROR(IFERROR(IFERROR(INDEX('EMBI+'!$B:$B,MATCH(Base!$K308,'EMBI+'!$A:$A,0)),INDEX('EMBI+'!$B:$B,MATCH(Base!$K308+1,'EMBI+'!$A:$A,0))),INDEX('EMBI+'!$B:$B,MATCH(Base!$K308+2,'EMBI+'!$A:$A,0))),INDEX('EMBI+'!$B:$B,MATCH(Base!$K308+3,'EMBI+'!$A:$A,0)))/100</f>
        <v>2.89</v>
      </c>
      <c r="AL308" s="43"/>
      <c r="AM308" s="28"/>
      <c r="AN308" s="28"/>
    </row>
    <row r="309" spans="1:40" x14ac:dyDescent="0.35">
      <c r="A309">
        <f t="shared" si="83"/>
        <v>307</v>
      </c>
      <c r="B309">
        <f>IF(G309="Bonds",COUNTIF($G$3:G309,"Bonds"),0)</f>
        <v>90</v>
      </c>
      <c r="C309" t="str">
        <f t="shared" si="84"/>
        <v>Minerva4308819/01/2028</v>
      </c>
      <c r="D309">
        <f t="shared" si="85"/>
        <v>25</v>
      </c>
      <c r="E309" s="43" t="s">
        <v>391</v>
      </c>
      <c r="F309" s="43" t="s">
        <v>387</v>
      </c>
      <c r="G309" s="43" t="s">
        <v>34</v>
      </c>
      <c r="H309">
        <f t="shared" si="86"/>
        <v>1</v>
      </c>
      <c r="I309" s="43"/>
      <c r="J309" s="34">
        <f t="shared" si="87"/>
        <v>5</v>
      </c>
      <c r="K309" s="28">
        <v>43088</v>
      </c>
      <c r="L309" s="28" t="s">
        <v>393</v>
      </c>
      <c r="M309" s="60">
        <f t="shared" si="88"/>
        <v>10.09041095890411</v>
      </c>
      <c r="N309" s="4">
        <f t="shared" si="89"/>
        <v>1</v>
      </c>
      <c r="O309" s="43" t="s">
        <v>36</v>
      </c>
      <c r="P309" t="str">
        <f t="shared" si="92"/>
        <v>0</v>
      </c>
      <c r="Q309" s="43"/>
      <c r="R309" s="43"/>
      <c r="S309" s="34">
        <f>IF($V309="USD",INDEX('Dólar Spot'!$B:$B,MATCH(Base!$K309,'Dólar Spot'!$A:$A,0)),"")</f>
        <v>3.2877000000000001</v>
      </c>
      <c r="T309" s="44">
        <v>500000000</v>
      </c>
      <c r="U309" s="8">
        <f t="shared" si="93"/>
        <v>16.438500000000001</v>
      </c>
      <c r="V309" s="43" t="s">
        <v>651</v>
      </c>
      <c r="W309" s="45" t="s">
        <v>29</v>
      </c>
      <c r="X309" s="53">
        <v>5.875</v>
      </c>
      <c r="Y309" s="9">
        <f>IF(AND(V309="DI",$W309=100),$X309/100,
IF(AND(V309="DI",$W309&lt;&gt;100,$X309=""),INDEX('Debs %CDI'!$Q:$Q,MATCH(Base!$C309,'Debs %CDI'!$A:$A,0)),
IF($V309="USD",INDEX(Bonds!$AF:$AF,MATCH(Base!$C309,Bonds!$B:$B,0)),
IF($V309="IPCA",INDEX('Debs IPCA'!$Z:$Z,MATCH(Base!$C309,'Debs IPCA'!$A:$A,0))))))</f>
        <v>1.9129053004034224E-2</v>
      </c>
      <c r="Z309" s="43">
        <v>360</v>
      </c>
      <c r="AA309" s="43" t="s">
        <v>37</v>
      </c>
      <c r="AB309" s="43" t="s">
        <v>32</v>
      </c>
      <c r="AC309">
        <f t="shared" si="90"/>
        <v>0</v>
      </c>
      <c r="AD309" s="43" t="s">
        <v>31</v>
      </c>
      <c r="AE309">
        <f t="shared" si="91"/>
        <v>1</v>
      </c>
      <c r="AF309" s="34" t="str" cm="1">
        <f t="array" ref="AF309">INDEX(Ratings!$B$2:$M$40,_xlfn.XMATCH(Base!F309,Ratings!$A$2:$A$40),_xlfn.XMATCH(YEAR(Base!K309),Ratings!$B$1:$M$1))</f>
        <v>BB-</v>
      </c>
      <c r="AG309">
        <f t="shared" si="82"/>
        <v>0</v>
      </c>
      <c r="AH309">
        <f>IFERROR(IFERROR(IFERROR(INDEX('EMBI+'!$B:$B,MATCH(Base!$K309,'EMBI+'!$A:$A,0)),INDEX('EMBI+'!$B:$B,MATCH(Base!$K309+1,'EMBI+'!$A:$A,0))),INDEX('EMBI+'!$B:$B,MATCH(Base!$K309+2,'EMBI+'!$A:$A,0))),INDEX('EMBI+'!$B:$B,MATCH(Base!$K309+3,'EMBI+'!$A:$A,0)))/100</f>
        <v>2.34</v>
      </c>
      <c r="AL309" s="43"/>
      <c r="AM309" s="28"/>
      <c r="AN309" s="28"/>
    </row>
    <row r="310" spans="1:40" x14ac:dyDescent="0.35">
      <c r="A310">
        <f t="shared" si="83"/>
        <v>308</v>
      </c>
      <c r="B310">
        <f>IF(G310="Bonds",COUNTIF($G$3:G310,"Bonds"),0)</f>
        <v>91</v>
      </c>
      <c r="C310" t="str">
        <f t="shared" si="84"/>
        <v>Minerva4263320/09/2026</v>
      </c>
      <c r="D310">
        <f t="shared" si="85"/>
        <v>25</v>
      </c>
      <c r="E310" s="43" t="s">
        <v>391</v>
      </c>
      <c r="F310" s="43" t="s">
        <v>387</v>
      </c>
      <c r="G310" s="43" t="s">
        <v>34</v>
      </c>
      <c r="H310">
        <f t="shared" si="86"/>
        <v>1</v>
      </c>
      <c r="I310" s="43"/>
      <c r="J310" s="34">
        <f t="shared" si="87"/>
        <v>6</v>
      </c>
      <c r="K310" s="28">
        <v>42633</v>
      </c>
      <c r="L310" s="28" t="s">
        <v>394</v>
      </c>
      <c r="M310" s="60">
        <f t="shared" si="88"/>
        <v>10.005479452054795</v>
      </c>
      <c r="N310" s="4">
        <f t="shared" si="89"/>
        <v>1</v>
      </c>
      <c r="O310" s="43" t="s">
        <v>36</v>
      </c>
      <c r="P310" t="str">
        <f t="shared" si="92"/>
        <v>0</v>
      </c>
      <c r="Q310" s="43"/>
      <c r="R310" s="43"/>
      <c r="S310" s="34">
        <f>IF($V310="USD",INDEX('Dólar Spot'!$B:$B,MATCH(Base!$K310,'Dólar Spot'!$A:$A,0)),"")</f>
        <v>3.2534000000000001</v>
      </c>
      <c r="T310" s="44">
        <v>1000000000</v>
      </c>
      <c r="U310" s="8">
        <f t="shared" si="93"/>
        <v>32.533999999999999</v>
      </c>
      <c r="V310" s="43" t="s">
        <v>651</v>
      </c>
      <c r="W310" s="45" t="s">
        <v>29</v>
      </c>
      <c r="X310" s="53">
        <v>6.5</v>
      </c>
      <c r="Y310" s="9">
        <f>IF(AND(V310="DI",$W310=100),$X310/100,
IF(AND(V310="DI",$W310&lt;&gt;100,$X310=""),INDEX('Debs %CDI'!$Q:$Q,MATCH(Base!$C310,'Debs %CDI'!$A:$A,0)),
IF($V310="USD",INDEX(Bonds!$AF:$AF,MATCH(Base!$C310,Bonds!$B:$B,0)),
IF($V310="IPCA",INDEX('Debs IPCA'!$Z:$Z,MATCH(Base!$C310,'Debs IPCA'!$A:$A,0))))))</f>
        <v>1.7976200985041269E-2</v>
      </c>
      <c r="Z310" s="43">
        <v>360</v>
      </c>
      <c r="AA310" s="43" t="s">
        <v>37</v>
      </c>
      <c r="AB310" s="43" t="s">
        <v>32</v>
      </c>
      <c r="AC310">
        <f t="shared" si="90"/>
        <v>0</v>
      </c>
      <c r="AD310" s="43" t="s">
        <v>31</v>
      </c>
      <c r="AE310">
        <f t="shared" si="91"/>
        <v>1</v>
      </c>
      <c r="AF310" s="34" t="str" cm="1">
        <f t="array" ref="AF310">INDEX(Ratings!$B$2:$M$40,_xlfn.XMATCH(Base!F310,Ratings!$A$2:$A$40),_xlfn.XMATCH(YEAR(Base!K310),Ratings!$B$1:$M$1))</f>
        <v>BB-</v>
      </c>
      <c r="AG310">
        <f t="shared" si="82"/>
        <v>0</v>
      </c>
      <c r="AH310">
        <f>IFERROR(IFERROR(IFERROR(INDEX('EMBI+'!$B:$B,MATCH(Base!$K310,'EMBI+'!$A:$A,0)),INDEX('EMBI+'!$B:$B,MATCH(Base!$K310+1,'EMBI+'!$A:$A,0))),INDEX('EMBI+'!$B:$B,MATCH(Base!$K310+2,'EMBI+'!$A:$A,0))),INDEX('EMBI+'!$B:$B,MATCH(Base!$K310+3,'EMBI+'!$A:$A,0)))/100</f>
        <v>3.28</v>
      </c>
      <c r="AL310" s="43"/>
      <c r="AM310" s="28"/>
      <c r="AN310" s="28"/>
    </row>
    <row r="311" spans="1:40" x14ac:dyDescent="0.35">
      <c r="A311">
        <f t="shared" si="83"/>
        <v>309</v>
      </c>
      <c r="B311">
        <f>IF(G311="Bonds",COUNTIF($G$3:G311,"Bonds"),0)</f>
        <v>92</v>
      </c>
      <c r="C311" t="str">
        <f t="shared" si="84"/>
        <v>Minerva4439018/03/2031</v>
      </c>
      <c r="D311">
        <f t="shared" si="85"/>
        <v>25</v>
      </c>
      <c r="E311" s="43" t="s">
        <v>391</v>
      </c>
      <c r="F311" s="43" t="s">
        <v>387</v>
      </c>
      <c r="G311" s="43" t="s">
        <v>34</v>
      </c>
      <c r="H311">
        <f t="shared" si="86"/>
        <v>1</v>
      </c>
      <c r="I311" s="43"/>
      <c r="J311" s="34">
        <f t="shared" si="87"/>
        <v>7</v>
      </c>
      <c r="K311" s="28">
        <v>44390</v>
      </c>
      <c r="L311" s="28" t="s">
        <v>392</v>
      </c>
      <c r="M311" s="60">
        <f t="shared" si="88"/>
        <v>9.6849315068493151</v>
      </c>
      <c r="N311" s="4">
        <f t="shared" si="89"/>
        <v>1</v>
      </c>
      <c r="O311" s="43" t="s">
        <v>36</v>
      </c>
      <c r="P311" t="str">
        <f t="shared" si="92"/>
        <v>0</v>
      </c>
      <c r="Q311" s="43"/>
      <c r="R311" s="43"/>
      <c r="S311" s="34">
        <f>IF($V311="USD",INDEX('Dólar Spot'!$B:$B,MATCH(Base!$K311,'Dólar Spot'!$A:$A,0)),"")</f>
        <v>5.1764000000000001</v>
      </c>
      <c r="T311" s="44">
        <v>400000000</v>
      </c>
      <c r="U311" s="8">
        <f t="shared" si="93"/>
        <v>20.7056</v>
      </c>
      <c r="V311" s="43" t="s">
        <v>651</v>
      </c>
      <c r="W311" s="45" t="s">
        <v>29</v>
      </c>
      <c r="X311" s="53">
        <v>4.375</v>
      </c>
      <c r="Y311" s="9">
        <f>IF(AND(V311="DI",$W311=100),$X311/100,
IF(AND(V311="DI",$W311&lt;&gt;100,$X311=""),INDEX('Debs %CDI'!$Q:$Q,MATCH(Base!$C311,'Debs %CDI'!$A:$A,0)),
IF($V311="USD",INDEX(Bonds!$AF:$AF,MATCH(Base!$C311,Bonds!$B:$B,0)),
IF($V311="IPCA",INDEX('Debs IPCA'!$Z:$Z,MATCH(Base!$C311,'Debs IPCA'!$A:$A,0))))))</f>
        <v>2.5288359312976905E-2</v>
      </c>
      <c r="Z311" s="43">
        <v>360</v>
      </c>
      <c r="AA311" s="43" t="s">
        <v>37</v>
      </c>
      <c r="AB311" s="43" t="s">
        <v>32</v>
      </c>
      <c r="AC311">
        <f t="shared" si="90"/>
        <v>0</v>
      </c>
      <c r="AD311" s="43" t="s">
        <v>31</v>
      </c>
      <c r="AE311">
        <f t="shared" si="91"/>
        <v>1</v>
      </c>
      <c r="AF311" s="34" t="str" cm="1">
        <f t="array" ref="AF311">INDEX(Ratings!$B$2:$M$40,_xlfn.XMATCH(Base!F311,Ratings!$A$2:$A$40),_xlfn.XMATCH(YEAR(Base!K311),Ratings!$B$1:$M$1))</f>
        <v>BB</v>
      </c>
      <c r="AG311">
        <f t="shared" si="82"/>
        <v>0</v>
      </c>
      <c r="AH311">
        <f>IFERROR(IFERROR(IFERROR(INDEX('EMBI+'!$B:$B,MATCH(Base!$K311,'EMBI+'!$A:$A,0)),INDEX('EMBI+'!$B:$B,MATCH(Base!$K311+1,'EMBI+'!$A:$A,0))),INDEX('EMBI+'!$B:$B,MATCH(Base!$K311+2,'EMBI+'!$A:$A,0))),INDEX('EMBI+'!$B:$B,MATCH(Base!$K311+3,'EMBI+'!$A:$A,0)))/100</f>
        <v>2.85</v>
      </c>
      <c r="AL311" s="43"/>
      <c r="AM311" s="28"/>
      <c r="AN311" s="28"/>
    </row>
    <row r="312" spans="1:40" x14ac:dyDescent="0.35">
      <c r="A312">
        <f t="shared" si="83"/>
        <v>310</v>
      </c>
      <c r="B312">
        <f>IF(G312="Bonds",COUNTIF($G$3:G312,"Bonds"),0)</f>
        <v>93</v>
      </c>
      <c r="C312" t="str">
        <f t="shared" si="84"/>
        <v>Minerva4130531/01/2023</v>
      </c>
      <c r="D312">
        <f t="shared" si="85"/>
        <v>25</v>
      </c>
      <c r="E312" s="43" t="s">
        <v>391</v>
      </c>
      <c r="F312" s="43" t="s">
        <v>387</v>
      </c>
      <c r="G312" s="43" t="s">
        <v>34</v>
      </c>
      <c r="H312">
        <f t="shared" si="86"/>
        <v>1</v>
      </c>
      <c r="I312" s="43"/>
      <c r="J312" s="34">
        <f t="shared" si="87"/>
        <v>8</v>
      </c>
      <c r="K312" s="28">
        <v>41305</v>
      </c>
      <c r="L312" s="28" t="s">
        <v>395</v>
      </c>
      <c r="M312" s="60">
        <f t="shared" si="88"/>
        <v>10.005479452054795</v>
      </c>
      <c r="N312" s="4">
        <f t="shared" si="89"/>
        <v>1</v>
      </c>
      <c r="O312" s="43" t="s">
        <v>36</v>
      </c>
      <c r="P312" t="str">
        <f t="shared" si="92"/>
        <v>0</v>
      </c>
      <c r="Q312" s="43"/>
      <c r="R312" s="43"/>
      <c r="S312" s="34">
        <f>IF($V312="USD",INDEX('Dólar Spot'!$B:$B,MATCH(Base!$K312,'Dólar Spot'!$A:$A,0)),"")</f>
        <v>1.9877</v>
      </c>
      <c r="T312" s="44">
        <v>850000000</v>
      </c>
      <c r="U312" s="8">
        <f t="shared" si="93"/>
        <v>16.89545</v>
      </c>
      <c r="V312" s="43" t="s">
        <v>651</v>
      </c>
      <c r="W312" s="45" t="s">
        <v>29</v>
      </c>
      <c r="X312" s="53">
        <v>7.75</v>
      </c>
      <c r="Y312" s="9">
        <f>IF(AND(V312="DI",$W312=100),$X312/100,
IF(AND(V312="DI",$W312&lt;&gt;100,$X312=""),INDEX('Debs %CDI'!$Q:$Q,MATCH(Base!$C312,'Debs %CDI'!$A:$A,0)),
IF($V312="USD",INDEX(Bonds!$AF:$AF,MATCH(Base!$C312,Bonds!$B:$B,0)),
IF($V312="IPCA",INDEX('Debs IPCA'!$Z:$Z,MATCH(Base!$C312,'Debs IPCA'!$A:$A,0))))))</f>
        <v>4.1470649175676666E-2</v>
      </c>
      <c r="Z312" s="43">
        <v>360</v>
      </c>
      <c r="AA312" s="43" t="s">
        <v>37</v>
      </c>
      <c r="AB312" s="43" t="s">
        <v>32</v>
      </c>
      <c r="AC312">
        <f t="shared" si="90"/>
        <v>0</v>
      </c>
      <c r="AD312" s="43" t="s">
        <v>31</v>
      </c>
      <c r="AE312">
        <f t="shared" si="91"/>
        <v>1</v>
      </c>
      <c r="AF312" s="34" t="str" cm="1">
        <f t="array" ref="AF312">INDEX(Ratings!$B$2:$M$40,_xlfn.XMATCH(Base!F312,Ratings!$A$2:$A$40),_xlfn.XMATCH(YEAR(Base!K312),Ratings!$B$1:$M$1))</f>
        <v>B+</v>
      </c>
      <c r="AG312">
        <f t="shared" si="82"/>
        <v>0</v>
      </c>
      <c r="AH312">
        <f>IFERROR(IFERROR(IFERROR(INDEX('EMBI+'!$B:$B,MATCH(Base!$K312,'EMBI+'!$A:$A,0)),INDEX('EMBI+'!$B:$B,MATCH(Base!$K312+1,'EMBI+'!$A:$A,0))),INDEX('EMBI+'!$B:$B,MATCH(Base!$K312+2,'EMBI+'!$A:$A,0))),INDEX('EMBI+'!$B:$B,MATCH(Base!$K312+3,'EMBI+'!$A:$A,0)))/100</f>
        <v>1.55</v>
      </c>
      <c r="AL312" s="43"/>
      <c r="AM312" s="28"/>
      <c r="AN312" s="28"/>
    </row>
    <row r="313" spans="1:40" x14ac:dyDescent="0.35">
      <c r="A313">
        <f t="shared" si="83"/>
        <v>311</v>
      </c>
      <c r="B313">
        <f>IF(G313="Bonds",COUNTIF($G$3:G313,"Bonds"),0)</f>
        <v>94</v>
      </c>
      <c r="C313" t="str">
        <f t="shared" si="84"/>
        <v>Minerva4290220/09/2026</v>
      </c>
      <c r="D313">
        <f t="shared" si="85"/>
        <v>25</v>
      </c>
      <c r="E313" s="43" t="s">
        <v>391</v>
      </c>
      <c r="F313" s="43" t="s">
        <v>387</v>
      </c>
      <c r="G313" s="43" t="s">
        <v>34</v>
      </c>
      <c r="H313">
        <f t="shared" si="86"/>
        <v>1</v>
      </c>
      <c r="I313" s="43"/>
      <c r="J313" s="34">
        <f t="shared" si="87"/>
        <v>9</v>
      </c>
      <c r="K313" s="28">
        <v>42902</v>
      </c>
      <c r="L313" s="28" t="s">
        <v>394</v>
      </c>
      <c r="M313" s="60">
        <f t="shared" si="88"/>
        <v>9.2684931506849306</v>
      </c>
      <c r="N313" s="4">
        <f t="shared" si="89"/>
        <v>1</v>
      </c>
      <c r="O313" s="43" t="s">
        <v>36</v>
      </c>
      <c r="P313" t="str">
        <f t="shared" si="92"/>
        <v>0</v>
      </c>
      <c r="Q313" s="43"/>
      <c r="R313" s="43"/>
      <c r="S313" s="34">
        <f>IF($V313="USD",INDEX('Dólar Spot'!$B:$B,MATCH(Base!$K313,'Dólar Spot'!$A:$A,0)),"")</f>
        <v>3.2886000000000002</v>
      </c>
      <c r="T313" s="44">
        <v>350000000</v>
      </c>
      <c r="U313" s="8">
        <f t="shared" si="93"/>
        <v>11.5101</v>
      </c>
      <c r="V313" s="43" t="s">
        <v>651</v>
      </c>
      <c r="W313" s="45" t="s">
        <v>29</v>
      </c>
      <c r="X313" s="53">
        <v>6.5</v>
      </c>
      <c r="Y313" s="9">
        <f>IF(AND(V313="DI",$W313=100),$X313/100,
IF(AND(V313="DI",$W313&lt;&gt;100,$X313=""),INDEX('Debs %CDI'!$Q:$Q,MATCH(Base!$C313,'Debs %CDI'!$A:$A,0)),
IF($V313="USD",INDEX(Bonds!$AF:$AF,MATCH(Base!$C313,Bonds!$B:$B,0)),
IF($V313="IPCA",INDEX('Debs IPCA'!$Z:$Z,MATCH(Base!$C313,'Debs IPCA'!$A:$A,0))))))</f>
        <v>1.8719447467970385E-2</v>
      </c>
      <c r="Z313" s="43">
        <v>360</v>
      </c>
      <c r="AA313" s="43" t="s">
        <v>37</v>
      </c>
      <c r="AB313" s="43" t="s">
        <v>32</v>
      </c>
      <c r="AC313">
        <f t="shared" si="90"/>
        <v>0</v>
      </c>
      <c r="AD313" s="43" t="s">
        <v>31</v>
      </c>
      <c r="AE313">
        <f t="shared" si="91"/>
        <v>1</v>
      </c>
      <c r="AF313" s="34" t="str" cm="1">
        <f t="array" ref="AF313">INDEX(Ratings!$B$2:$M$40,_xlfn.XMATCH(Base!F313,Ratings!$A$2:$A$40),_xlfn.XMATCH(YEAR(Base!K313),Ratings!$B$1:$M$1))</f>
        <v>BB-</v>
      </c>
      <c r="AG313">
        <f t="shared" si="82"/>
        <v>0</v>
      </c>
      <c r="AH313">
        <f>IFERROR(IFERROR(IFERROR(INDEX('EMBI+'!$B:$B,MATCH(Base!$K313,'EMBI+'!$A:$A,0)),INDEX('EMBI+'!$B:$B,MATCH(Base!$K313+1,'EMBI+'!$A:$A,0))),INDEX('EMBI+'!$B:$B,MATCH(Base!$K313+2,'EMBI+'!$A:$A,0))),INDEX('EMBI+'!$B:$B,MATCH(Base!$K313+3,'EMBI+'!$A:$A,0)))/100</f>
        <v>2.86</v>
      </c>
      <c r="AL313" s="43"/>
      <c r="AM313" s="28"/>
      <c r="AN313" s="28"/>
    </row>
    <row r="314" spans="1:40" x14ac:dyDescent="0.35">
      <c r="A314">
        <f t="shared" si="83"/>
        <v>312</v>
      </c>
      <c r="B314">
        <f>IF(G314="Bonds",COUNTIF($G$3:G314,"Bonds"),0)</f>
        <v>95</v>
      </c>
      <c r="C314" t="str">
        <f t="shared" si="84"/>
        <v>Minerva4099710/02/2022</v>
      </c>
      <c r="D314">
        <f t="shared" si="85"/>
        <v>25</v>
      </c>
      <c r="E314" s="43" t="s">
        <v>391</v>
      </c>
      <c r="F314" s="43" t="s">
        <v>387</v>
      </c>
      <c r="G314" s="43" t="s">
        <v>34</v>
      </c>
      <c r="H314">
        <f t="shared" si="86"/>
        <v>1</v>
      </c>
      <c r="I314" s="43"/>
      <c r="J314" s="34">
        <f t="shared" si="87"/>
        <v>10</v>
      </c>
      <c r="K314" s="28">
        <v>40997</v>
      </c>
      <c r="L314" s="28" t="s">
        <v>396</v>
      </c>
      <c r="M314" s="60">
        <f t="shared" si="88"/>
        <v>9.8767123287671232</v>
      </c>
      <c r="N314" s="4">
        <f t="shared" si="89"/>
        <v>1</v>
      </c>
      <c r="O314" s="43" t="s">
        <v>36</v>
      </c>
      <c r="P314" t="str">
        <f t="shared" si="92"/>
        <v>0</v>
      </c>
      <c r="Q314" s="43"/>
      <c r="R314" s="43"/>
      <c r="S314" s="34">
        <f>IF($V314="USD",INDEX('Dólar Spot'!$B:$B,MATCH(Base!$K314,'Dólar Spot'!$A:$A,0)),"")</f>
        <v>1.8327</v>
      </c>
      <c r="T314" s="44">
        <v>100000000</v>
      </c>
      <c r="U314" s="8">
        <f t="shared" si="93"/>
        <v>1.8327</v>
      </c>
      <c r="V314" s="43" t="s">
        <v>651</v>
      </c>
      <c r="W314" s="45" t="s">
        <v>29</v>
      </c>
      <c r="X314" s="53">
        <v>12.25</v>
      </c>
      <c r="Y314" s="9">
        <f>IF(AND(V314="DI",$W314=100),$X314/100,
IF(AND(V314="DI",$W314&lt;&gt;100,$X314=""),INDEX('Debs %CDI'!$Q:$Q,MATCH(Base!$C314,'Debs %CDI'!$A:$A,0)),
IF($V314="USD",INDEX(Bonds!$AF:$AF,MATCH(Base!$C314,Bonds!$B:$B,0)),
IF($V314="IPCA",INDEX('Debs IPCA'!$Z:$Z,MATCH(Base!$C314,'Debs IPCA'!$A:$A,0))))))</f>
        <v>7.8918372935750769E-2</v>
      </c>
      <c r="Z314" s="43">
        <v>360</v>
      </c>
      <c r="AA314" s="43" t="s">
        <v>37</v>
      </c>
      <c r="AB314" s="43" t="s">
        <v>32</v>
      </c>
      <c r="AC314">
        <f t="shared" si="90"/>
        <v>0</v>
      </c>
      <c r="AD314" s="43" t="s">
        <v>31</v>
      </c>
      <c r="AE314">
        <f t="shared" si="91"/>
        <v>1</v>
      </c>
      <c r="AF314" s="34" t="str" cm="1">
        <f t="array" ref="AF314">INDEX(Ratings!$B$2:$M$40,_xlfn.XMATCH(Base!F314,Ratings!$A$2:$A$40),_xlfn.XMATCH(YEAR(Base!K314),Ratings!$B$1:$M$1))</f>
        <v>B+</v>
      </c>
      <c r="AG314">
        <f t="shared" si="82"/>
        <v>0</v>
      </c>
      <c r="AH314">
        <f>IFERROR(IFERROR(IFERROR(INDEX('EMBI+'!$B:$B,MATCH(Base!$K314,'EMBI+'!$A:$A,0)),INDEX('EMBI+'!$B:$B,MATCH(Base!$K314+1,'EMBI+'!$A:$A,0))),INDEX('EMBI+'!$B:$B,MATCH(Base!$K314+2,'EMBI+'!$A:$A,0))),INDEX('EMBI+'!$B:$B,MATCH(Base!$K314+3,'EMBI+'!$A:$A,0)))/100</f>
        <v>1.83</v>
      </c>
      <c r="AL314" s="43"/>
      <c r="AM314" s="28"/>
      <c r="AN314" s="28"/>
    </row>
    <row r="315" spans="1:40" x14ac:dyDescent="0.35">
      <c r="A315">
        <f t="shared" si="83"/>
        <v>313</v>
      </c>
      <c r="B315">
        <f>IF(G315="Bonds",COUNTIF($G$3:G315,"Bonds"),0)</f>
        <v>96</v>
      </c>
      <c r="C315" t="str">
        <f t="shared" si="84"/>
        <v>Minerva4187131/01/2023</v>
      </c>
      <c r="D315">
        <f t="shared" si="85"/>
        <v>25</v>
      </c>
      <c r="E315" s="43" t="s">
        <v>391</v>
      </c>
      <c r="F315" s="43" t="s">
        <v>387</v>
      </c>
      <c r="G315" s="43" t="s">
        <v>34</v>
      </c>
      <c r="H315">
        <f t="shared" si="86"/>
        <v>1</v>
      </c>
      <c r="I315" s="43"/>
      <c r="J315" s="34">
        <f t="shared" si="87"/>
        <v>11</v>
      </c>
      <c r="K315" s="28">
        <v>41871</v>
      </c>
      <c r="L315" s="28" t="s">
        <v>395</v>
      </c>
      <c r="M315" s="60">
        <f t="shared" si="88"/>
        <v>8.4547945205479458</v>
      </c>
      <c r="N315" s="4">
        <f t="shared" si="89"/>
        <v>1</v>
      </c>
      <c r="O315" s="43" t="s">
        <v>36</v>
      </c>
      <c r="P315" t="str">
        <f t="shared" si="92"/>
        <v>0</v>
      </c>
      <c r="Q315" s="43"/>
      <c r="R315" s="43"/>
      <c r="S315" s="34">
        <f>IF($V315="USD",INDEX('Dólar Spot'!$B:$B,MATCH(Base!$K315,'Dólar Spot'!$A:$A,0)),"")</f>
        <v>2.2544</v>
      </c>
      <c r="T315" s="44">
        <v>200000000</v>
      </c>
      <c r="U315" s="8">
        <f t="shared" si="93"/>
        <v>4.5087999999999999</v>
      </c>
      <c r="V315" s="43" t="s">
        <v>651</v>
      </c>
      <c r="W315" s="45" t="s">
        <v>29</v>
      </c>
      <c r="X315" s="53">
        <v>7.75</v>
      </c>
      <c r="Y315" s="9">
        <f>IF(AND(V315="DI",$W315=100),$X315/100,
IF(AND(V315="DI",$W315&lt;&gt;100,$X315=""),INDEX('Debs %CDI'!$Q:$Q,MATCH(Base!$C315,'Debs %CDI'!$A:$A,0)),
IF($V315="USD",INDEX(Bonds!$AF:$AF,MATCH(Base!$C315,Bonds!$B:$B,0)),
IF($V315="IPCA",INDEX('Debs IPCA'!$Z:$Z,MATCH(Base!$C315,'Debs IPCA'!$A:$A,0))))))</f>
        <v>3.7178928481767404E-2</v>
      </c>
      <c r="Z315" s="43">
        <v>360</v>
      </c>
      <c r="AA315" s="43" t="s">
        <v>37</v>
      </c>
      <c r="AB315" s="43" t="s">
        <v>32</v>
      </c>
      <c r="AC315">
        <f t="shared" si="90"/>
        <v>0</v>
      </c>
      <c r="AD315" s="43" t="s">
        <v>31</v>
      </c>
      <c r="AE315">
        <f t="shared" si="91"/>
        <v>1</v>
      </c>
      <c r="AF315" s="34" t="str" cm="1">
        <f t="array" ref="AF315">INDEX(Ratings!$B$2:$M$40,_xlfn.XMATCH(Base!F315,Ratings!$A$2:$A$40),_xlfn.XMATCH(YEAR(Base!K315),Ratings!$B$1:$M$1))</f>
        <v>BB-</v>
      </c>
      <c r="AG315">
        <f t="shared" si="82"/>
        <v>0</v>
      </c>
      <c r="AH315">
        <f>IFERROR(IFERROR(IFERROR(INDEX('EMBI+'!$B:$B,MATCH(Base!$K315,'EMBI+'!$A:$A,0)),INDEX('EMBI+'!$B:$B,MATCH(Base!$K315+1,'EMBI+'!$A:$A,0))),INDEX('EMBI+'!$B:$B,MATCH(Base!$K315+2,'EMBI+'!$A:$A,0))),INDEX('EMBI+'!$B:$B,MATCH(Base!$K315+3,'EMBI+'!$A:$A,0)))/100</f>
        <v>2.13</v>
      </c>
      <c r="AL315" s="43"/>
      <c r="AM315" s="28"/>
      <c r="AN315" s="28"/>
    </row>
    <row r="316" spans="1:40" x14ac:dyDescent="0.35">
      <c r="A316">
        <f t="shared" si="83"/>
        <v>314</v>
      </c>
      <c r="B316">
        <f>IF(G316="Bonds",COUNTIF($G$3:G316,"Bonds"),0)</f>
        <v>97</v>
      </c>
      <c r="C316" t="str">
        <f t="shared" si="84"/>
        <v>Minerva4094910/02/2022</v>
      </c>
      <c r="D316">
        <f t="shared" si="85"/>
        <v>25</v>
      </c>
      <c r="E316" s="43" t="s">
        <v>391</v>
      </c>
      <c r="F316" s="43" t="s">
        <v>387</v>
      </c>
      <c r="G316" s="43" t="s">
        <v>34</v>
      </c>
      <c r="H316">
        <f t="shared" si="86"/>
        <v>1</v>
      </c>
      <c r="I316" s="43"/>
      <c r="J316" s="34">
        <f t="shared" si="87"/>
        <v>12</v>
      </c>
      <c r="K316" s="28">
        <v>40949</v>
      </c>
      <c r="L316" s="28" t="s">
        <v>396</v>
      </c>
      <c r="M316" s="60">
        <f t="shared" si="88"/>
        <v>10.008219178082191</v>
      </c>
      <c r="N316" s="4">
        <f t="shared" si="89"/>
        <v>1</v>
      </c>
      <c r="O316" s="43" t="s">
        <v>36</v>
      </c>
      <c r="P316" t="str">
        <f t="shared" si="92"/>
        <v>0</v>
      </c>
      <c r="Q316" s="43"/>
      <c r="R316" s="43"/>
      <c r="S316" s="34">
        <f>IF($V316="USD",INDEX('Dólar Spot'!$B:$B,MATCH(Base!$K316,'Dólar Spot'!$A:$A,0)),"")</f>
        <v>1.7254</v>
      </c>
      <c r="T316" s="44">
        <v>350000000</v>
      </c>
      <c r="U316" s="8">
        <f t="shared" si="93"/>
        <v>6.0388999999999999</v>
      </c>
      <c r="V316" s="43" t="s">
        <v>651</v>
      </c>
      <c r="W316" s="45" t="s">
        <v>29</v>
      </c>
      <c r="X316" s="53">
        <v>12.25</v>
      </c>
      <c r="Y316" s="9">
        <f>IF(AND(V316="DI",$W316=100),$X316/100,
IF(AND(V316="DI",$W316&lt;&gt;100,$X316=""),INDEX('Debs %CDI'!$Q:$Q,MATCH(Base!$C316,'Debs %CDI'!$A:$A,0)),
IF($V316="USD",INDEX(Bonds!$AF:$AF,MATCH(Base!$C316,Bonds!$B:$B,0)),
IF($V316="IPCA",INDEX('Debs IPCA'!$Z:$Z,MATCH(Base!$C316,'Debs IPCA'!$A:$A,0))))))</f>
        <v>8.0867187505597959E-2</v>
      </c>
      <c r="Z316" s="43">
        <v>360</v>
      </c>
      <c r="AA316" s="43" t="s">
        <v>37</v>
      </c>
      <c r="AB316" s="43" t="s">
        <v>32</v>
      </c>
      <c r="AC316">
        <f t="shared" si="90"/>
        <v>0</v>
      </c>
      <c r="AD316" s="43" t="s">
        <v>31</v>
      </c>
      <c r="AE316">
        <f t="shared" si="91"/>
        <v>1</v>
      </c>
      <c r="AF316" s="34" t="str" cm="1">
        <f t="array" ref="AF316">INDEX(Ratings!$B$2:$M$40,_xlfn.XMATCH(Base!F316,Ratings!$A$2:$A$40),_xlfn.XMATCH(YEAR(Base!K316),Ratings!$B$1:$M$1))</f>
        <v>B+</v>
      </c>
      <c r="AG316">
        <f t="shared" si="82"/>
        <v>0</v>
      </c>
      <c r="AH316">
        <f>IFERROR(IFERROR(IFERROR(INDEX('EMBI+'!$B:$B,MATCH(Base!$K316,'EMBI+'!$A:$A,0)),INDEX('EMBI+'!$B:$B,MATCH(Base!$K316+1,'EMBI+'!$A:$A,0))),INDEX('EMBI+'!$B:$B,MATCH(Base!$K316+2,'EMBI+'!$A:$A,0))),INDEX('EMBI+'!$B:$B,MATCH(Base!$K316+3,'EMBI+'!$A:$A,0)))/100</f>
        <v>2.0099999999999998</v>
      </c>
      <c r="AL316" s="43"/>
      <c r="AM316" s="28"/>
      <c r="AN316" s="28"/>
    </row>
    <row r="317" spans="1:40" x14ac:dyDescent="0.35">
      <c r="A317">
        <f t="shared" si="83"/>
        <v>315</v>
      </c>
      <c r="B317">
        <f>IF(G317="Bonds",COUNTIF($G$3:G317,"Bonds"),0)</f>
        <v>0</v>
      </c>
      <c r="C317" t="str">
        <f t="shared" si="84"/>
        <v>Movida4227143367</v>
      </c>
      <c r="D317">
        <f t="shared" si="85"/>
        <v>26</v>
      </c>
      <c r="E317" s="43" t="s">
        <v>397</v>
      </c>
      <c r="F317" s="43" t="s">
        <v>398</v>
      </c>
      <c r="G317" s="43" t="s">
        <v>25</v>
      </c>
      <c r="H317">
        <f t="shared" si="86"/>
        <v>0</v>
      </c>
      <c r="I317" s="43" t="s">
        <v>399</v>
      </c>
      <c r="J317" s="34">
        <f t="shared" si="87"/>
        <v>1</v>
      </c>
      <c r="K317" s="28">
        <v>42271</v>
      </c>
      <c r="L317" s="28">
        <v>43367</v>
      </c>
      <c r="M317" s="60">
        <f t="shared" si="88"/>
        <v>3.0027397260273974</v>
      </c>
      <c r="N317" s="4">
        <f t="shared" si="89"/>
        <v>0</v>
      </c>
      <c r="O317" s="43" t="s">
        <v>44</v>
      </c>
      <c r="P317" t="str">
        <f t="shared" si="92"/>
        <v>0</v>
      </c>
      <c r="Q317" s="44">
        <v>30000</v>
      </c>
      <c r="R317" s="43">
        <v>10000</v>
      </c>
      <c r="S317" s="34" t="str">
        <f>IF($V317="USD",INDEX('Dólar Spot'!$B:$B,MATCH(Base!$K317,'Dólar Spot'!$A:$A,0)),"")</f>
        <v/>
      </c>
      <c r="T317" s="4">
        <f t="shared" ref="T317:T350" si="95">Q317*R317</f>
        <v>300000000</v>
      </c>
      <c r="U317" s="8">
        <f t="shared" si="93"/>
        <v>3</v>
      </c>
      <c r="V317" s="43" t="s">
        <v>41</v>
      </c>
      <c r="W317" s="45">
        <v>100</v>
      </c>
      <c r="X317" s="46">
        <v>1.93</v>
      </c>
      <c r="Y317" s="9">
        <f>IF(AND(V317="DI",$W317=100),$X317/100,
IF(AND(V317="DI",$W317&lt;&gt;100,$X317=""),INDEX('Debs %CDI'!$Q:$Q,MATCH(Base!$C317,'Debs %CDI'!$A:$A,0)),
IF($V317="USD",INDEX(Bonds!$AF:$AF,MATCH(Base!$C317,Bonds!$B:$B,0)),
IF($V317="IPCA",INDEX('Debs IPCA'!$Z:$Z,MATCH(Base!$C317,'Debs IPCA'!$A:$A,0))))))</f>
        <v>1.9299999999999998E-2</v>
      </c>
      <c r="Z317" s="43">
        <v>252</v>
      </c>
      <c r="AA317" s="43" t="s">
        <v>30</v>
      </c>
      <c r="AB317" s="43" t="s">
        <v>32</v>
      </c>
      <c r="AC317">
        <f t="shared" si="90"/>
        <v>0</v>
      </c>
      <c r="AD317" s="43" t="s">
        <v>32</v>
      </c>
      <c r="AE317">
        <f t="shared" si="91"/>
        <v>0</v>
      </c>
      <c r="AF317" s="34" t="str" cm="1">
        <f t="array" ref="AF317">INDEX(Ratings!$B$2:$M$40,_xlfn.XMATCH(Base!F317,Ratings!$A$2:$A$40),_xlfn.XMATCH(YEAR(Base!K317),Ratings!$B$1:$M$1))</f>
        <v>NR</v>
      </c>
      <c r="AG317">
        <f t="shared" si="82"/>
        <v>0</v>
      </c>
      <c r="AH317">
        <f>IFERROR(IFERROR(IFERROR(INDEX('EMBI+'!$B:$B,MATCH(Base!$K317,'EMBI+'!$A:$A,0)),INDEX('EMBI+'!$B:$B,MATCH(Base!$K317+1,'EMBI+'!$A:$A,0))),INDEX('EMBI+'!$B:$B,MATCH(Base!$K317+2,'EMBI+'!$A:$A,0))),INDEX('EMBI+'!$B:$B,MATCH(Base!$K317+3,'EMBI+'!$A:$A,0)))/100</f>
        <v>4.5</v>
      </c>
      <c r="AL317" s="43"/>
      <c r="AM317" s="28"/>
      <c r="AN317" s="28"/>
    </row>
    <row r="318" spans="1:40" x14ac:dyDescent="0.35">
      <c r="A318">
        <f t="shared" si="83"/>
        <v>316</v>
      </c>
      <c r="B318">
        <f>IF(G318="Bonds",COUNTIF($G$3:G318,"Bonds"),0)</f>
        <v>0</v>
      </c>
      <c r="C318" t="str">
        <f t="shared" si="84"/>
        <v>Movida4417546001</v>
      </c>
      <c r="D318">
        <f t="shared" si="85"/>
        <v>26</v>
      </c>
      <c r="E318" s="43" t="s">
        <v>400</v>
      </c>
      <c r="F318" s="43" t="s">
        <v>398</v>
      </c>
      <c r="G318" s="43" t="s">
        <v>25</v>
      </c>
      <c r="H318">
        <f t="shared" si="86"/>
        <v>0</v>
      </c>
      <c r="I318" s="43" t="s">
        <v>401</v>
      </c>
      <c r="J318" s="34">
        <f t="shared" si="87"/>
        <v>2</v>
      </c>
      <c r="K318" s="28">
        <v>44175</v>
      </c>
      <c r="L318" s="28">
        <v>46001</v>
      </c>
      <c r="M318" s="60">
        <f t="shared" si="88"/>
        <v>5.0027397260273974</v>
      </c>
      <c r="N318" s="4">
        <f t="shared" si="89"/>
        <v>1</v>
      </c>
      <c r="O318" s="43" t="s">
        <v>44</v>
      </c>
      <c r="P318" t="str">
        <f t="shared" si="92"/>
        <v>0</v>
      </c>
      <c r="Q318" s="44">
        <v>600000</v>
      </c>
      <c r="R318" s="43">
        <v>1000</v>
      </c>
      <c r="S318" s="34" t="str">
        <f>IF($V318="USD",INDEX('Dólar Spot'!$B:$B,MATCH(Base!$K318,'Dólar Spot'!$A:$A,0)),"")</f>
        <v/>
      </c>
      <c r="T318" s="4">
        <f t="shared" si="95"/>
        <v>600000000</v>
      </c>
      <c r="U318" s="8">
        <f t="shared" si="93"/>
        <v>6</v>
      </c>
      <c r="V318" s="43" t="s">
        <v>41</v>
      </c>
      <c r="W318" s="45">
        <v>100</v>
      </c>
      <c r="X318" s="46">
        <v>3.7</v>
      </c>
      <c r="Y318" s="9">
        <f>IF(AND(V318="DI",$W318=100),$X318/100,
IF(AND(V318="DI",$W318&lt;&gt;100,$X318=""),INDEX('Debs %CDI'!$Q:$Q,MATCH(Base!$C318,'Debs %CDI'!$A:$A,0)),
IF($V318="USD",INDEX(Bonds!$AF:$AF,MATCH(Base!$C318,Bonds!$B:$B,0)),
IF($V318="IPCA",INDEX('Debs IPCA'!$Z:$Z,MATCH(Base!$C318,'Debs IPCA'!$A:$A,0))))))</f>
        <v>3.7000000000000005E-2</v>
      </c>
      <c r="Z318" s="43">
        <v>252</v>
      </c>
      <c r="AA318" s="43" t="s">
        <v>30</v>
      </c>
      <c r="AB318" s="43" t="s">
        <v>32</v>
      </c>
      <c r="AC318">
        <f t="shared" si="90"/>
        <v>0</v>
      </c>
      <c r="AD318" s="43" t="s">
        <v>31</v>
      </c>
      <c r="AE318">
        <f t="shared" si="91"/>
        <v>1</v>
      </c>
      <c r="AF318" s="34" t="str" cm="1">
        <f t="array" ref="AF318">INDEX(Ratings!$B$2:$M$40,_xlfn.XMATCH(Base!F318,Ratings!$A$2:$A$40),_xlfn.XMATCH(YEAR(Base!K318),Ratings!$B$1:$M$1))</f>
        <v>NR</v>
      </c>
      <c r="AG318">
        <f t="shared" si="82"/>
        <v>0</v>
      </c>
      <c r="AH318">
        <f>IFERROR(IFERROR(IFERROR(INDEX('EMBI+'!$B:$B,MATCH(Base!$K318,'EMBI+'!$A:$A,0)),INDEX('EMBI+'!$B:$B,MATCH(Base!$K318+1,'EMBI+'!$A:$A,0))),INDEX('EMBI+'!$B:$B,MATCH(Base!$K318+2,'EMBI+'!$A:$A,0))),INDEX('EMBI+'!$B:$B,MATCH(Base!$K318+3,'EMBI+'!$A:$A,0)))/100</f>
        <v>2.68</v>
      </c>
      <c r="AL318" s="43"/>
      <c r="AM318" s="28"/>
      <c r="AN318" s="28"/>
    </row>
    <row r="319" spans="1:40" x14ac:dyDescent="0.35">
      <c r="A319">
        <f t="shared" si="83"/>
        <v>317</v>
      </c>
      <c r="B319">
        <f>IF(G319="Bonds",COUNTIF($G$3:G319,"Bonds"),0)</f>
        <v>0</v>
      </c>
      <c r="C319" t="str">
        <f t="shared" si="84"/>
        <v>Movida4418046006</v>
      </c>
      <c r="D319">
        <f t="shared" si="85"/>
        <v>26</v>
      </c>
      <c r="E319" s="43" t="s">
        <v>400</v>
      </c>
      <c r="F319" s="43" t="s">
        <v>398</v>
      </c>
      <c r="G319" s="43" t="s">
        <v>25</v>
      </c>
      <c r="H319">
        <f t="shared" si="86"/>
        <v>0</v>
      </c>
      <c r="I319" s="43" t="s">
        <v>402</v>
      </c>
      <c r="J319" s="34">
        <f t="shared" si="87"/>
        <v>3</v>
      </c>
      <c r="K319" s="28">
        <v>44180</v>
      </c>
      <c r="L319" s="28">
        <v>46006</v>
      </c>
      <c r="M319" s="60">
        <f t="shared" si="88"/>
        <v>5.0027397260273974</v>
      </c>
      <c r="N319" s="4">
        <f t="shared" si="89"/>
        <v>1</v>
      </c>
      <c r="O319" s="43" t="s">
        <v>58</v>
      </c>
      <c r="P319" t="str">
        <f t="shared" si="92"/>
        <v>1</v>
      </c>
      <c r="Q319" s="44">
        <v>150000</v>
      </c>
      <c r="R319" s="43">
        <v>1000</v>
      </c>
      <c r="S319" s="34" t="str">
        <f>IF($V319="USD",INDEX('Dólar Spot'!$B:$B,MATCH(Base!$K319,'Dólar Spot'!$A:$A,0)),"")</f>
        <v/>
      </c>
      <c r="T319" s="4">
        <f t="shared" si="95"/>
        <v>150000000</v>
      </c>
      <c r="U319" s="8">
        <f t="shared" si="93"/>
        <v>1.5</v>
      </c>
      <c r="V319" s="43" t="s">
        <v>41</v>
      </c>
      <c r="W319" s="45">
        <v>100</v>
      </c>
      <c r="X319" s="46">
        <v>2.9</v>
      </c>
      <c r="Y319" s="9">
        <f>IF(AND(V319="DI",$W319=100),$X319/100,
IF(AND(V319="DI",$W319&lt;&gt;100,$X319=""),INDEX('Debs %CDI'!$Q:$Q,MATCH(Base!$C319,'Debs %CDI'!$A:$A,0)),
IF($V319="USD",INDEX(Bonds!$AF:$AF,MATCH(Base!$C319,Bonds!$B:$B,0)),
IF($V319="IPCA",INDEX('Debs IPCA'!$Z:$Z,MATCH(Base!$C319,'Debs IPCA'!$A:$A,0))))))</f>
        <v>2.8999999999999998E-2</v>
      </c>
      <c r="Z319" s="43">
        <v>252</v>
      </c>
      <c r="AA319" s="43" t="s">
        <v>30</v>
      </c>
      <c r="AB319" s="43" t="s">
        <v>32</v>
      </c>
      <c r="AC319">
        <f t="shared" si="90"/>
        <v>0</v>
      </c>
      <c r="AD319" s="43" t="s">
        <v>31</v>
      </c>
      <c r="AE319">
        <f t="shared" si="91"/>
        <v>1</v>
      </c>
      <c r="AF319" s="34" t="str" cm="1">
        <f t="array" ref="AF319">INDEX(Ratings!$B$2:$M$40,_xlfn.XMATCH(Base!F319,Ratings!$A$2:$A$40),_xlfn.XMATCH(YEAR(Base!K319),Ratings!$B$1:$M$1))</f>
        <v>NR</v>
      </c>
      <c r="AG319">
        <f t="shared" si="82"/>
        <v>0</v>
      </c>
      <c r="AH319">
        <f>IFERROR(IFERROR(IFERROR(INDEX('EMBI+'!$B:$B,MATCH(Base!$K319,'EMBI+'!$A:$A,0)),INDEX('EMBI+'!$B:$B,MATCH(Base!$K319+1,'EMBI+'!$A:$A,0))),INDEX('EMBI+'!$B:$B,MATCH(Base!$K319+2,'EMBI+'!$A:$A,0))),INDEX('EMBI+'!$B:$B,MATCH(Base!$K319+3,'EMBI+'!$A:$A,0)))/100</f>
        <v>2.63</v>
      </c>
      <c r="AL319" s="43"/>
      <c r="AM319" s="28"/>
      <c r="AN319" s="28"/>
    </row>
    <row r="320" spans="1:40" x14ac:dyDescent="0.35">
      <c r="A320">
        <f t="shared" si="83"/>
        <v>318</v>
      </c>
      <c r="B320">
        <f>IF(G320="Bonds",COUNTIF($G$3:G320,"Bonds"),0)</f>
        <v>0</v>
      </c>
      <c r="C320" t="str">
        <f t="shared" si="84"/>
        <v>Movida4318845014</v>
      </c>
      <c r="D320">
        <f t="shared" si="85"/>
        <v>26</v>
      </c>
      <c r="E320" s="43" t="s">
        <v>400</v>
      </c>
      <c r="F320" s="43" t="s">
        <v>398</v>
      </c>
      <c r="G320" s="43" t="s">
        <v>25</v>
      </c>
      <c r="H320">
        <f t="shared" si="86"/>
        <v>0</v>
      </c>
      <c r="I320" s="43" t="s">
        <v>403</v>
      </c>
      <c r="J320" s="34">
        <f t="shared" si="87"/>
        <v>4</v>
      </c>
      <c r="K320" s="28">
        <v>43188</v>
      </c>
      <c r="L320" s="28">
        <v>45014</v>
      </c>
      <c r="M320" s="60">
        <f t="shared" si="88"/>
        <v>5.0027397260273974</v>
      </c>
      <c r="N320" s="4">
        <f t="shared" si="89"/>
        <v>1</v>
      </c>
      <c r="O320" s="43" t="s">
        <v>44</v>
      </c>
      <c r="P320" t="str">
        <f t="shared" si="92"/>
        <v>0</v>
      </c>
      <c r="Q320" s="44">
        <v>250000000</v>
      </c>
      <c r="R320" s="43">
        <v>1</v>
      </c>
      <c r="S320" s="34" t="str">
        <f>IF($V320="USD",INDEX('Dólar Spot'!$B:$B,MATCH(Base!$K320,'Dólar Spot'!$A:$A,0)),"")</f>
        <v/>
      </c>
      <c r="T320" s="4">
        <f t="shared" si="95"/>
        <v>250000000</v>
      </c>
      <c r="U320" s="8">
        <f t="shared" si="93"/>
        <v>2.5</v>
      </c>
      <c r="V320" s="43" t="s">
        <v>41</v>
      </c>
      <c r="W320" s="45">
        <v>100</v>
      </c>
      <c r="X320" s="46">
        <v>2.0499999999999998</v>
      </c>
      <c r="Y320" s="9">
        <f>IF(AND(V320="DI",$W320=100),$X320/100,
IF(AND(V320="DI",$W320&lt;&gt;100,$X320=""),INDEX('Debs %CDI'!$Q:$Q,MATCH(Base!$C320,'Debs %CDI'!$A:$A,0)),
IF($V320="USD",INDEX(Bonds!$AF:$AF,MATCH(Base!$C320,Bonds!$B:$B,0)),
IF($V320="IPCA",INDEX('Debs IPCA'!$Z:$Z,MATCH(Base!$C320,'Debs IPCA'!$A:$A,0))))))</f>
        <v>2.0499999999999997E-2</v>
      </c>
      <c r="Z320" s="43">
        <v>252</v>
      </c>
      <c r="AA320" s="43" t="s">
        <v>30</v>
      </c>
      <c r="AB320" s="43" t="s">
        <v>32</v>
      </c>
      <c r="AC320">
        <f t="shared" si="90"/>
        <v>0</v>
      </c>
      <c r="AD320" s="43" t="s">
        <v>31</v>
      </c>
      <c r="AE320">
        <f t="shared" si="91"/>
        <v>1</v>
      </c>
      <c r="AF320" s="34" t="str" cm="1">
        <f t="array" ref="AF320">INDEX(Ratings!$B$2:$M$40,_xlfn.XMATCH(Base!F320,Ratings!$A$2:$A$40),_xlfn.XMATCH(YEAR(Base!K320),Ratings!$B$1:$M$1))</f>
        <v>NR</v>
      </c>
      <c r="AG320">
        <f t="shared" si="82"/>
        <v>0</v>
      </c>
      <c r="AH320">
        <f>IFERROR(IFERROR(IFERROR(INDEX('EMBI+'!$B:$B,MATCH(Base!$K320,'EMBI+'!$A:$A,0)),INDEX('EMBI+'!$B:$B,MATCH(Base!$K320+1,'EMBI+'!$A:$A,0))),INDEX('EMBI+'!$B:$B,MATCH(Base!$K320+2,'EMBI+'!$A:$A,0))),INDEX('EMBI+'!$B:$B,MATCH(Base!$K320+3,'EMBI+'!$A:$A,0)))/100</f>
        <v>2.48</v>
      </c>
      <c r="AL320" s="43"/>
      <c r="AM320" s="28"/>
      <c r="AN320" s="28"/>
    </row>
    <row r="321" spans="1:40" x14ac:dyDescent="0.35">
      <c r="A321">
        <f t="shared" si="83"/>
        <v>319</v>
      </c>
      <c r="B321">
        <f>IF(G321="Bonds",COUNTIF($G$3:G321,"Bonds"),0)</f>
        <v>0</v>
      </c>
      <c r="C321" t="str">
        <f t="shared" si="84"/>
        <v>Movida4338344479</v>
      </c>
      <c r="D321">
        <f t="shared" si="85"/>
        <v>26</v>
      </c>
      <c r="E321" s="43" t="s">
        <v>400</v>
      </c>
      <c r="F321" s="43" t="s">
        <v>398</v>
      </c>
      <c r="G321" s="43" t="s">
        <v>25</v>
      </c>
      <c r="H321">
        <f t="shared" si="86"/>
        <v>0</v>
      </c>
      <c r="I321" s="43" t="s">
        <v>404</v>
      </c>
      <c r="J321" s="34">
        <f t="shared" si="87"/>
        <v>5</v>
      </c>
      <c r="K321" s="28">
        <v>43383</v>
      </c>
      <c r="L321" s="28">
        <v>44479</v>
      </c>
      <c r="M321" s="60">
        <f t="shared" si="88"/>
        <v>3.0027397260273974</v>
      </c>
      <c r="N321" s="4">
        <f t="shared" si="89"/>
        <v>0</v>
      </c>
      <c r="O321" s="43" t="s">
        <v>44</v>
      </c>
      <c r="P321" t="str">
        <f t="shared" si="92"/>
        <v>0</v>
      </c>
      <c r="Q321" s="44">
        <v>100000</v>
      </c>
      <c r="R321" s="43">
        <v>1000</v>
      </c>
      <c r="S321" s="34" t="str">
        <f>IF($V321="USD",INDEX('Dólar Spot'!$B:$B,MATCH(Base!$K321,'Dólar Spot'!$A:$A,0)),"")</f>
        <v/>
      </c>
      <c r="T321" s="4">
        <f t="shared" si="95"/>
        <v>100000000</v>
      </c>
      <c r="U321" s="8">
        <f t="shared" si="93"/>
        <v>1</v>
      </c>
      <c r="V321" s="43" t="s">
        <v>41</v>
      </c>
      <c r="W321" s="45">
        <v>100</v>
      </c>
      <c r="X321" s="46">
        <v>1.8</v>
      </c>
      <c r="Y321" s="9">
        <f>IF(AND(V321="DI",$W321=100),$X321/100,
IF(AND(V321="DI",$W321&lt;&gt;100,$X321=""),INDEX('Debs %CDI'!$Q:$Q,MATCH(Base!$C321,'Debs %CDI'!$A:$A,0)),
IF($V321="USD",INDEX(Bonds!$AF:$AF,MATCH(Base!$C321,Bonds!$B:$B,0)),
IF($V321="IPCA",INDEX('Debs IPCA'!$Z:$Z,MATCH(Base!$C321,'Debs IPCA'!$A:$A,0))))))</f>
        <v>1.8000000000000002E-2</v>
      </c>
      <c r="Z321" s="43">
        <v>252</v>
      </c>
      <c r="AA321" s="43" t="s">
        <v>30</v>
      </c>
      <c r="AB321" s="43" t="s">
        <v>32</v>
      </c>
      <c r="AC321">
        <f t="shared" si="90"/>
        <v>0</v>
      </c>
      <c r="AD321" s="43" t="s">
        <v>31</v>
      </c>
      <c r="AE321">
        <f t="shared" si="91"/>
        <v>1</v>
      </c>
      <c r="AF321" s="34" t="str" cm="1">
        <f t="array" ref="AF321">INDEX(Ratings!$B$2:$M$40,_xlfn.XMATCH(Base!F321,Ratings!$A$2:$A$40),_xlfn.XMATCH(YEAR(Base!K321),Ratings!$B$1:$M$1))</f>
        <v>NR</v>
      </c>
      <c r="AG321">
        <f t="shared" si="82"/>
        <v>0</v>
      </c>
      <c r="AH321">
        <f>IFERROR(IFERROR(IFERROR(INDEX('EMBI+'!$B:$B,MATCH(Base!$K321,'EMBI+'!$A:$A,0)),INDEX('EMBI+'!$B:$B,MATCH(Base!$K321+1,'EMBI+'!$A:$A,0))),INDEX('EMBI+'!$B:$B,MATCH(Base!$K321+2,'EMBI+'!$A:$A,0))),INDEX('EMBI+'!$B:$B,MATCH(Base!$K321+3,'EMBI+'!$A:$A,0)))/100</f>
        <v>2.68</v>
      </c>
      <c r="AL321" s="43"/>
      <c r="AM321" s="28"/>
      <c r="AN321" s="28"/>
    </row>
    <row r="322" spans="1:40" x14ac:dyDescent="0.35">
      <c r="A322">
        <f t="shared" si="83"/>
        <v>320</v>
      </c>
      <c r="B322">
        <f>IF(G322="Bonds",COUNTIF($G$3:G322,"Bonds"),0)</f>
        <v>0</v>
      </c>
      <c r="C322" t="str">
        <f t="shared" si="84"/>
        <v>Movida4364045315</v>
      </c>
      <c r="D322">
        <f t="shared" si="85"/>
        <v>26</v>
      </c>
      <c r="E322" s="43" t="s">
        <v>400</v>
      </c>
      <c r="F322" s="43" t="s">
        <v>398</v>
      </c>
      <c r="G322" s="43" t="s">
        <v>25</v>
      </c>
      <c r="H322">
        <f t="shared" si="86"/>
        <v>0</v>
      </c>
      <c r="I322" s="43" t="s">
        <v>405</v>
      </c>
      <c r="J322" s="34">
        <f t="shared" si="87"/>
        <v>6</v>
      </c>
      <c r="K322" s="28">
        <v>43640</v>
      </c>
      <c r="L322" s="28">
        <v>45315</v>
      </c>
      <c r="M322" s="60">
        <f t="shared" si="88"/>
        <v>4.5890410958904111</v>
      </c>
      <c r="N322" s="4">
        <f t="shared" si="89"/>
        <v>0</v>
      </c>
      <c r="O322" s="43" t="s">
        <v>44</v>
      </c>
      <c r="P322" t="str">
        <f t="shared" si="92"/>
        <v>0</v>
      </c>
      <c r="Q322" s="44">
        <v>200000</v>
      </c>
      <c r="R322" s="43">
        <v>1000</v>
      </c>
      <c r="S322" s="34" t="str">
        <f>IF($V322="USD",INDEX('Dólar Spot'!$B:$B,MATCH(Base!$K322,'Dólar Spot'!$A:$A,0)),"")</f>
        <v/>
      </c>
      <c r="T322" s="4">
        <f t="shared" si="95"/>
        <v>200000000</v>
      </c>
      <c r="U322" s="8">
        <f t="shared" si="93"/>
        <v>2</v>
      </c>
      <c r="V322" s="43" t="s">
        <v>41</v>
      </c>
      <c r="W322" s="45">
        <v>100</v>
      </c>
      <c r="X322" s="46">
        <v>1.6</v>
      </c>
      <c r="Y322" s="9">
        <f>IF(AND(V322="DI",$W322=100),$X322/100,
IF(AND(V322="DI",$W322&lt;&gt;100,$X322=""),INDEX('Debs %CDI'!$Q:$Q,MATCH(Base!$C322,'Debs %CDI'!$A:$A,0)),
IF($V322="USD",INDEX(Bonds!$AF:$AF,MATCH(Base!$C322,Bonds!$B:$B,0)),
IF($V322="IPCA",INDEX('Debs IPCA'!$Z:$Z,MATCH(Base!$C322,'Debs IPCA'!$A:$A,0))))))</f>
        <v>1.6E-2</v>
      </c>
      <c r="Z322" s="43">
        <v>252</v>
      </c>
      <c r="AA322" s="43" t="s">
        <v>30</v>
      </c>
      <c r="AB322" s="43" t="s">
        <v>32</v>
      </c>
      <c r="AC322">
        <f t="shared" si="90"/>
        <v>0</v>
      </c>
      <c r="AD322" s="43" t="s">
        <v>31</v>
      </c>
      <c r="AE322">
        <f t="shared" si="91"/>
        <v>1</v>
      </c>
      <c r="AF322" s="34" t="str" cm="1">
        <f t="array" ref="AF322">INDEX(Ratings!$B$2:$M$40,_xlfn.XMATCH(Base!F322,Ratings!$A$2:$A$40),_xlfn.XMATCH(YEAR(Base!K322),Ratings!$B$1:$M$1))</f>
        <v>NR</v>
      </c>
      <c r="AG322">
        <f t="shared" si="82"/>
        <v>0</v>
      </c>
      <c r="AH322">
        <f>IFERROR(IFERROR(IFERROR(INDEX('EMBI+'!$B:$B,MATCH(Base!$K322,'EMBI+'!$A:$A,0)),INDEX('EMBI+'!$B:$B,MATCH(Base!$K322+1,'EMBI+'!$A:$A,0))),INDEX('EMBI+'!$B:$B,MATCH(Base!$K322+2,'EMBI+'!$A:$A,0))),INDEX('EMBI+'!$B:$B,MATCH(Base!$K322+3,'EMBI+'!$A:$A,0)))/100</f>
        <v>2.39</v>
      </c>
      <c r="AL322" s="43"/>
      <c r="AM322" s="28"/>
      <c r="AN322" s="28"/>
    </row>
    <row r="323" spans="1:40" x14ac:dyDescent="0.35">
      <c r="A323">
        <f t="shared" si="83"/>
        <v>321</v>
      </c>
      <c r="B323">
        <f>IF(G323="Bonds",COUNTIF($G$3:G323,"Bonds"),0)</f>
        <v>0</v>
      </c>
      <c r="C323" t="str">
        <f t="shared" si="84"/>
        <v>Movida4395144671</v>
      </c>
      <c r="D323">
        <f t="shared" si="85"/>
        <v>26</v>
      </c>
      <c r="E323" s="43" t="s">
        <v>400</v>
      </c>
      <c r="F323" s="43" t="s">
        <v>398</v>
      </c>
      <c r="G323" s="43" t="s">
        <v>25</v>
      </c>
      <c r="H323">
        <f t="shared" si="86"/>
        <v>0</v>
      </c>
      <c r="I323" s="43" t="s">
        <v>406</v>
      </c>
      <c r="J323" s="34">
        <f t="shared" si="87"/>
        <v>7</v>
      </c>
      <c r="K323" s="28">
        <v>43951</v>
      </c>
      <c r="L323" s="28">
        <v>44671</v>
      </c>
      <c r="M323" s="60">
        <f t="shared" si="88"/>
        <v>1.9726027397260273</v>
      </c>
      <c r="N323" s="4">
        <f t="shared" si="89"/>
        <v>0</v>
      </c>
      <c r="O323" s="43" t="s">
        <v>44</v>
      </c>
      <c r="P323" t="str">
        <f t="shared" si="92"/>
        <v>0</v>
      </c>
      <c r="Q323" s="44">
        <v>200000</v>
      </c>
      <c r="R323" s="43">
        <v>1000</v>
      </c>
      <c r="S323" s="34" t="str">
        <f>IF($V323="USD",INDEX('Dólar Spot'!$B:$B,MATCH(Base!$K323,'Dólar Spot'!$A:$A,0)),"")</f>
        <v/>
      </c>
      <c r="T323" s="4">
        <f t="shared" si="95"/>
        <v>200000000</v>
      </c>
      <c r="U323" s="8">
        <f t="shared" si="93"/>
        <v>2</v>
      </c>
      <c r="V323" s="43" t="s">
        <v>41</v>
      </c>
      <c r="W323" s="45">
        <v>100</v>
      </c>
      <c r="X323" s="46">
        <v>4.2</v>
      </c>
      <c r="Y323" s="9">
        <f>IF(AND(V323="DI",$W323=100),$X323/100,
IF(AND(V323="DI",$W323&lt;&gt;100,$X323=""),INDEX('Debs %CDI'!$Q:$Q,MATCH(Base!$C323,'Debs %CDI'!$A:$A,0)),
IF($V323="USD",INDEX(Bonds!$AF:$AF,MATCH(Base!$C323,Bonds!$B:$B,0)),
IF($V323="IPCA",INDEX('Debs IPCA'!$Z:$Z,MATCH(Base!$C323,'Debs IPCA'!$A:$A,0))))))</f>
        <v>4.2000000000000003E-2</v>
      </c>
      <c r="Z323" s="43">
        <v>252</v>
      </c>
      <c r="AA323" s="43" t="s">
        <v>30</v>
      </c>
      <c r="AB323" s="43" t="s">
        <v>32</v>
      </c>
      <c r="AC323">
        <f t="shared" si="90"/>
        <v>0</v>
      </c>
      <c r="AD323" s="43" t="s">
        <v>31</v>
      </c>
      <c r="AE323">
        <f t="shared" si="91"/>
        <v>1</v>
      </c>
      <c r="AF323" s="34" t="str" cm="1">
        <f t="array" ref="AF323">INDEX(Ratings!$B$2:$M$40,_xlfn.XMATCH(Base!F323,Ratings!$A$2:$A$40),_xlfn.XMATCH(YEAR(Base!K323),Ratings!$B$1:$M$1))</f>
        <v>NR</v>
      </c>
      <c r="AG323">
        <f t="shared" si="82"/>
        <v>0</v>
      </c>
      <c r="AH323">
        <f>IFERROR(IFERROR(IFERROR(INDEX('EMBI+'!$B:$B,MATCH(Base!$K323,'EMBI+'!$A:$A,0)),INDEX('EMBI+'!$B:$B,MATCH(Base!$K323+1,'EMBI+'!$A:$A,0))),INDEX('EMBI+'!$B:$B,MATCH(Base!$K323+2,'EMBI+'!$A:$A,0))),INDEX('EMBI+'!$B:$B,MATCH(Base!$K323+3,'EMBI+'!$A:$A,0)))/100</f>
        <v>4.22</v>
      </c>
      <c r="AL323" s="43"/>
      <c r="AM323" s="28"/>
      <c r="AN323" s="28"/>
    </row>
    <row r="324" spans="1:40" x14ac:dyDescent="0.35">
      <c r="A324">
        <f t="shared" si="83"/>
        <v>322</v>
      </c>
      <c r="B324">
        <f>IF(G324="Bonds",COUNTIF($G$3:G324,"Bonds"),0)</f>
        <v>0</v>
      </c>
      <c r="C324" t="str">
        <f t="shared" si="84"/>
        <v>Movida4415345248</v>
      </c>
      <c r="D324">
        <f t="shared" si="85"/>
        <v>26</v>
      </c>
      <c r="E324" s="43" t="s">
        <v>400</v>
      </c>
      <c r="F324" s="43" t="s">
        <v>398</v>
      </c>
      <c r="G324" s="43" t="s">
        <v>25</v>
      </c>
      <c r="H324">
        <f t="shared" si="86"/>
        <v>0</v>
      </c>
      <c r="I324" s="43" t="s">
        <v>407</v>
      </c>
      <c r="J324" s="34">
        <f t="shared" si="87"/>
        <v>8</v>
      </c>
      <c r="K324" s="28">
        <v>44153</v>
      </c>
      <c r="L324" s="28">
        <v>45248</v>
      </c>
      <c r="M324" s="60">
        <f t="shared" si="88"/>
        <v>3</v>
      </c>
      <c r="N324" s="4">
        <f t="shared" si="89"/>
        <v>0</v>
      </c>
      <c r="O324" s="43" t="s">
        <v>44</v>
      </c>
      <c r="P324" t="str">
        <f t="shared" si="92"/>
        <v>0</v>
      </c>
      <c r="Q324" s="44">
        <v>200000</v>
      </c>
      <c r="R324" s="43">
        <v>1000</v>
      </c>
      <c r="S324" s="34" t="str">
        <f>IF($V324="USD",INDEX('Dólar Spot'!$B:$B,MATCH(Base!$K324,'Dólar Spot'!$A:$A,0)),"")</f>
        <v/>
      </c>
      <c r="T324" s="4">
        <f t="shared" si="95"/>
        <v>200000000</v>
      </c>
      <c r="U324" s="8">
        <f t="shared" si="93"/>
        <v>2</v>
      </c>
      <c r="V324" s="43" t="s">
        <v>41</v>
      </c>
      <c r="W324" s="45">
        <v>100</v>
      </c>
      <c r="X324" s="46">
        <v>2.75</v>
      </c>
      <c r="Y324" s="9">
        <f>IF(AND(V324="DI",$W324=100),$X324/100,
IF(AND(V324="DI",$W324&lt;&gt;100,$X324=""),INDEX('Debs %CDI'!$Q:$Q,MATCH(Base!$C324,'Debs %CDI'!$A:$A,0)),
IF($V324="USD",INDEX(Bonds!$AF:$AF,MATCH(Base!$C324,Bonds!$B:$B,0)),
IF($V324="IPCA",INDEX('Debs IPCA'!$Z:$Z,MATCH(Base!$C324,'Debs IPCA'!$A:$A,0))))))</f>
        <v>2.75E-2</v>
      </c>
      <c r="Z324" s="43">
        <v>252</v>
      </c>
      <c r="AA324" s="43" t="s">
        <v>30</v>
      </c>
      <c r="AB324" s="43" t="s">
        <v>32</v>
      </c>
      <c r="AC324">
        <f t="shared" si="90"/>
        <v>0</v>
      </c>
      <c r="AD324" s="43" t="s">
        <v>31</v>
      </c>
      <c r="AE324">
        <f t="shared" si="91"/>
        <v>1</v>
      </c>
      <c r="AF324" s="34" t="str" cm="1">
        <f t="array" ref="AF324">INDEX(Ratings!$B$2:$M$40,_xlfn.XMATCH(Base!F324,Ratings!$A$2:$A$40),_xlfn.XMATCH(YEAR(Base!K324),Ratings!$B$1:$M$1))</f>
        <v>NR</v>
      </c>
      <c r="AG324">
        <f t="shared" ref="AG324:AG387" si="96">IF(AND(AF324&lt;&gt;"BBB-",AF324&lt;&gt;"BBB",AF324&lt;&gt;"BBB+"),0,1)</f>
        <v>0</v>
      </c>
      <c r="AH324">
        <f>IFERROR(IFERROR(IFERROR(INDEX('EMBI+'!$B:$B,MATCH(Base!$K324,'EMBI+'!$A:$A,0)),INDEX('EMBI+'!$B:$B,MATCH(Base!$K324+1,'EMBI+'!$A:$A,0))),INDEX('EMBI+'!$B:$B,MATCH(Base!$K324+2,'EMBI+'!$A:$A,0))),INDEX('EMBI+'!$B:$B,MATCH(Base!$K324+3,'EMBI+'!$A:$A,0)))/100</f>
        <v>2.75</v>
      </c>
      <c r="AL324" s="43"/>
      <c r="AM324" s="28"/>
      <c r="AN324" s="28"/>
    </row>
    <row r="325" spans="1:40" x14ac:dyDescent="0.35">
      <c r="A325">
        <f t="shared" si="83"/>
        <v>323</v>
      </c>
      <c r="B325">
        <f>IF(G325="Bonds",COUNTIF($G$3:G325,"Bonds"),0)</f>
        <v>0</v>
      </c>
      <c r="C325" t="str">
        <f t="shared" si="84"/>
        <v>Movida4430146919</v>
      </c>
      <c r="D325">
        <f t="shared" si="85"/>
        <v>26</v>
      </c>
      <c r="E325" s="43" t="s">
        <v>400</v>
      </c>
      <c r="F325" s="43" t="s">
        <v>398</v>
      </c>
      <c r="G325" s="43" t="s">
        <v>25</v>
      </c>
      <c r="H325">
        <f t="shared" si="86"/>
        <v>0</v>
      </c>
      <c r="I325" s="43" t="s">
        <v>408</v>
      </c>
      <c r="J325" s="34">
        <f t="shared" si="87"/>
        <v>9</v>
      </c>
      <c r="K325" s="28">
        <v>44301</v>
      </c>
      <c r="L325" s="28">
        <v>46919</v>
      </c>
      <c r="M325" s="60">
        <f t="shared" si="88"/>
        <v>7.1726027397260275</v>
      </c>
      <c r="N325" s="4">
        <f t="shared" si="89"/>
        <v>1</v>
      </c>
      <c r="O325" s="43" t="s">
        <v>58</v>
      </c>
      <c r="P325" t="str">
        <f t="shared" si="92"/>
        <v>1</v>
      </c>
      <c r="Q325" s="44">
        <v>400000</v>
      </c>
      <c r="R325" s="43">
        <v>1000</v>
      </c>
      <c r="S325" s="34" t="str">
        <f>IF($V325="USD",INDEX('Dólar Spot'!$B:$B,MATCH(Base!$K325,'Dólar Spot'!$A:$A,0)),"")</f>
        <v/>
      </c>
      <c r="T325" s="4">
        <f t="shared" si="95"/>
        <v>400000000</v>
      </c>
      <c r="U325" s="8">
        <f t="shared" si="93"/>
        <v>4</v>
      </c>
      <c r="V325" s="43" t="s">
        <v>28</v>
      </c>
      <c r="W325" s="45" t="s">
        <v>29</v>
      </c>
      <c r="X325" s="46">
        <v>7.1702000000000004</v>
      </c>
      <c r="Y325" s="9">
        <f>IF(AND(V325="DI",$W325=100),$X325/100,
IF(AND(V325="DI",$W325&lt;&gt;100,$X325=""),INDEX('Debs %CDI'!$Q:$Q,MATCH(Base!$C325,'Debs %CDI'!$A:$A,0)),
IF($V325="USD",INDEX(Bonds!$AF:$AF,MATCH(Base!$C325,Bonds!$B:$B,0)),
IF($V325="IPCA",INDEX('Debs IPCA'!$Z:$Z,MATCH(Base!$C325,'Debs IPCA'!$A:$A,0))))))</f>
        <v>3.3301888425993686E-2</v>
      </c>
      <c r="Z325" s="43">
        <v>252</v>
      </c>
      <c r="AA325" s="43" t="s">
        <v>30</v>
      </c>
      <c r="AB325" s="43" t="s">
        <v>32</v>
      </c>
      <c r="AC325">
        <f t="shared" si="90"/>
        <v>0</v>
      </c>
      <c r="AD325" s="43" t="s">
        <v>31</v>
      </c>
      <c r="AE325">
        <f t="shared" si="91"/>
        <v>1</v>
      </c>
      <c r="AF325" s="34" t="str" cm="1">
        <f t="array" ref="AF325">INDEX(Ratings!$B$2:$M$40,_xlfn.XMATCH(Base!F325,Ratings!$A$2:$A$40),_xlfn.XMATCH(YEAR(Base!K325),Ratings!$B$1:$M$1))</f>
        <v>BB-</v>
      </c>
      <c r="AG325">
        <f t="shared" si="96"/>
        <v>0</v>
      </c>
      <c r="AH325">
        <f>IFERROR(IFERROR(IFERROR(INDEX('EMBI+'!$B:$B,MATCH(Base!$K325,'EMBI+'!$A:$A,0)),INDEX('EMBI+'!$B:$B,MATCH(Base!$K325+1,'EMBI+'!$A:$A,0))),INDEX('EMBI+'!$B:$B,MATCH(Base!$K325+2,'EMBI+'!$A:$A,0))),INDEX('EMBI+'!$B:$B,MATCH(Base!$K325+3,'EMBI+'!$A:$A,0)))/100</f>
        <v>2.9</v>
      </c>
      <c r="AL325" s="43"/>
      <c r="AM325" s="28"/>
      <c r="AN325" s="28"/>
    </row>
    <row r="326" spans="1:40" x14ac:dyDescent="0.35">
      <c r="A326">
        <f t="shared" si="83"/>
        <v>324</v>
      </c>
      <c r="B326">
        <f>IF(G326="Bonds",COUNTIF($G$3:G326,"Bonds"),0)</f>
        <v>0</v>
      </c>
      <c r="C326" t="str">
        <f t="shared" si="84"/>
        <v>Movida4453046356</v>
      </c>
      <c r="D326">
        <f t="shared" si="85"/>
        <v>26</v>
      </c>
      <c r="E326" s="43" t="s">
        <v>400</v>
      </c>
      <c r="F326" s="43" t="s">
        <v>398</v>
      </c>
      <c r="G326" s="43" t="s">
        <v>25</v>
      </c>
      <c r="H326">
        <f t="shared" si="86"/>
        <v>0</v>
      </c>
      <c r="I326" s="43" t="s">
        <v>409</v>
      </c>
      <c r="J326" s="34">
        <f t="shared" si="87"/>
        <v>10</v>
      </c>
      <c r="K326" s="28">
        <v>44530</v>
      </c>
      <c r="L326" s="28">
        <v>46356</v>
      </c>
      <c r="M326" s="60">
        <f t="shared" si="88"/>
        <v>5.0027397260273974</v>
      </c>
      <c r="N326" s="4">
        <f t="shared" si="89"/>
        <v>1</v>
      </c>
      <c r="O326" s="43" t="s">
        <v>44</v>
      </c>
      <c r="P326" t="str">
        <f t="shared" si="92"/>
        <v>0</v>
      </c>
      <c r="Q326" s="44">
        <v>400000</v>
      </c>
      <c r="R326" s="43">
        <v>1000</v>
      </c>
      <c r="S326" s="34" t="str">
        <f>IF($V326="USD",INDEX('Dólar Spot'!$B:$B,MATCH(Base!$K326,'Dólar Spot'!$A:$A,0)),"")</f>
        <v/>
      </c>
      <c r="T326" s="4">
        <f t="shared" si="95"/>
        <v>400000000</v>
      </c>
      <c r="U326" s="8">
        <f t="shared" si="93"/>
        <v>4</v>
      </c>
      <c r="V326" s="43" t="s">
        <v>41</v>
      </c>
      <c r="W326" s="45">
        <v>100</v>
      </c>
      <c r="X326" s="46">
        <v>2.6</v>
      </c>
      <c r="Y326" s="9">
        <f>IF(AND(V326="DI",$W326=100),$X326/100,
IF(AND(V326="DI",$W326&lt;&gt;100,$X326=""),INDEX('Debs %CDI'!$Q:$Q,MATCH(Base!$C326,'Debs %CDI'!$A:$A,0)),
IF($V326="USD",INDEX(Bonds!$AF:$AF,MATCH(Base!$C326,Bonds!$B:$B,0)),
IF($V326="IPCA",INDEX('Debs IPCA'!$Z:$Z,MATCH(Base!$C326,'Debs IPCA'!$A:$A,0))))))</f>
        <v>2.6000000000000002E-2</v>
      </c>
      <c r="Z326" s="43">
        <v>252</v>
      </c>
      <c r="AA326" s="43" t="s">
        <v>30</v>
      </c>
      <c r="AB326" s="43" t="s">
        <v>32</v>
      </c>
      <c r="AC326">
        <f t="shared" si="90"/>
        <v>0</v>
      </c>
      <c r="AD326" s="43" t="s">
        <v>31</v>
      </c>
      <c r="AE326">
        <f t="shared" si="91"/>
        <v>1</v>
      </c>
      <c r="AF326" s="34" t="str" cm="1">
        <f t="array" ref="AF326">INDEX(Ratings!$B$2:$M$40,_xlfn.XMATCH(Base!F326,Ratings!$A$2:$A$40),_xlfn.XMATCH(YEAR(Base!K326),Ratings!$B$1:$M$1))</f>
        <v>BB-</v>
      </c>
      <c r="AG326">
        <f t="shared" si="96"/>
        <v>0</v>
      </c>
      <c r="AH326">
        <f>IFERROR(IFERROR(IFERROR(INDEX('EMBI+'!$B:$B,MATCH(Base!$K326,'EMBI+'!$A:$A,0)),INDEX('EMBI+'!$B:$B,MATCH(Base!$K326+1,'EMBI+'!$A:$A,0))),INDEX('EMBI+'!$B:$B,MATCH(Base!$K326+2,'EMBI+'!$A:$A,0))),INDEX('EMBI+'!$B:$B,MATCH(Base!$K326+3,'EMBI+'!$A:$A,0)))/100</f>
        <v>3.66</v>
      </c>
      <c r="AL326" s="43"/>
      <c r="AM326" s="28"/>
      <c r="AN326" s="28"/>
    </row>
    <row r="327" spans="1:40" x14ac:dyDescent="0.35">
      <c r="A327">
        <f t="shared" si="83"/>
        <v>325</v>
      </c>
      <c r="B327">
        <f>IF(G327="Bonds",COUNTIF($G$3:G327,"Bonds"),0)</f>
        <v>0</v>
      </c>
      <c r="C327" t="str">
        <f t="shared" si="84"/>
        <v>Movida4430146006</v>
      </c>
      <c r="D327">
        <f t="shared" si="85"/>
        <v>26</v>
      </c>
      <c r="E327" s="43" t="s">
        <v>400</v>
      </c>
      <c r="F327" s="43" t="s">
        <v>398</v>
      </c>
      <c r="G327" s="43" t="s">
        <v>25</v>
      </c>
      <c r="H327">
        <f t="shared" si="86"/>
        <v>0</v>
      </c>
      <c r="I327" s="43" t="s">
        <v>410</v>
      </c>
      <c r="J327" s="34">
        <f t="shared" si="87"/>
        <v>11</v>
      </c>
      <c r="K327" s="28">
        <v>44301</v>
      </c>
      <c r="L327" s="28">
        <v>46006</v>
      </c>
      <c r="M327" s="60">
        <f t="shared" si="88"/>
        <v>4.6712328767123283</v>
      </c>
      <c r="N327" s="4">
        <f t="shared" si="89"/>
        <v>0</v>
      </c>
      <c r="O327" s="43" t="s">
        <v>58</v>
      </c>
      <c r="P327" t="str">
        <f t="shared" si="92"/>
        <v>1</v>
      </c>
      <c r="Q327" s="44">
        <v>300000</v>
      </c>
      <c r="R327" s="43">
        <v>1000</v>
      </c>
      <c r="S327" s="34" t="str">
        <f>IF($V327="USD",INDEX('Dólar Spot'!$B:$B,MATCH(Base!$K327,'Dólar Spot'!$A:$A,0)),"")</f>
        <v/>
      </c>
      <c r="T327" s="4">
        <f t="shared" si="95"/>
        <v>300000000</v>
      </c>
      <c r="U327" s="8">
        <f t="shared" si="93"/>
        <v>3</v>
      </c>
      <c r="V327" s="43" t="s">
        <v>28</v>
      </c>
      <c r="W327" s="45" t="s">
        <v>29</v>
      </c>
      <c r="X327" s="46">
        <v>7.2412999999999998</v>
      </c>
      <c r="Y327" s="9">
        <f>IF(AND(V327="DI",$W327=100),$X327/100,
IF(AND(V327="DI",$W327&lt;&gt;100,$X327=""),INDEX('Debs %CDI'!$Q:$Q,MATCH(Base!$C327,'Debs %CDI'!$A:$A,0)),
IF($V327="USD",INDEX(Bonds!$AF:$AF,MATCH(Base!$C327,Bonds!$B:$B,0)),
IF($V327="IPCA",INDEX('Debs IPCA'!$Z:$Z,MATCH(Base!$C327,'Debs IPCA'!$A:$A,0))))))</f>
        <v>3.752599291835601E-2</v>
      </c>
      <c r="Z327" s="43">
        <v>252</v>
      </c>
      <c r="AA327" s="43" t="s">
        <v>30</v>
      </c>
      <c r="AB327" s="43" t="s">
        <v>31</v>
      </c>
      <c r="AC327">
        <f t="shared" si="90"/>
        <v>1</v>
      </c>
      <c r="AD327" s="43" t="s">
        <v>32</v>
      </c>
      <c r="AE327">
        <f t="shared" si="91"/>
        <v>0</v>
      </c>
      <c r="AF327" s="34" t="str" cm="1">
        <f t="array" ref="AF327">INDEX(Ratings!$B$2:$M$40,_xlfn.XMATCH(Base!F327,Ratings!$A$2:$A$40),_xlfn.XMATCH(YEAR(Base!K327),Ratings!$B$1:$M$1))</f>
        <v>BB-</v>
      </c>
      <c r="AG327">
        <f t="shared" si="96"/>
        <v>0</v>
      </c>
      <c r="AH327">
        <f>IFERROR(IFERROR(IFERROR(INDEX('EMBI+'!$B:$B,MATCH(Base!$K327,'EMBI+'!$A:$A,0)),INDEX('EMBI+'!$B:$B,MATCH(Base!$K327+1,'EMBI+'!$A:$A,0))),INDEX('EMBI+'!$B:$B,MATCH(Base!$K327+2,'EMBI+'!$A:$A,0))),INDEX('EMBI+'!$B:$B,MATCH(Base!$K327+3,'EMBI+'!$A:$A,0)))/100</f>
        <v>2.9</v>
      </c>
      <c r="AL327" s="43"/>
      <c r="AM327" s="28"/>
      <c r="AN327" s="28"/>
    </row>
    <row r="328" spans="1:40" x14ac:dyDescent="0.35">
      <c r="A328">
        <f t="shared" ref="A328:A392" si="97">+A327+1</f>
        <v>326</v>
      </c>
      <c r="B328">
        <f>IF(G328="Bonds",COUNTIF($G$3:G328,"Bonds"),0)</f>
        <v>0</v>
      </c>
      <c r="C328" t="str">
        <f t="shared" si="84"/>
        <v>Movida4465646482</v>
      </c>
      <c r="D328">
        <f t="shared" si="85"/>
        <v>26</v>
      </c>
      <c r="E328" s="43" t="s">
        <v>400</v>
      </c>
      <c r="F328" s="43" t="s">
        <v>398</v>
      </c>
      <c r="G328" s="43" t="s">
        <v>25</v>
      </c>
      <c r="H328">
        <f t="shared" si="86"/>
        <v>0</v>
      </c>
      <c r="I328" s="43" t="s">
        <v>857</v>
      </c>
      <c r="J328" s="34">
        <f t="shared" si="87"/>
        <v>12</v>
      </c>
      <c r="K328" s="28">
        <v>44656</v>
      </c>
      <c r="L328" s="28">
        <v>46482</v>
      </c>
      <c r="M328" s="60">
        <f t="shared" si="88"/>
        <v>5.0027397260273974</v>
      </c>
      <c r="N328" s="4">
        <f t="shared" si="89"/>
        <v>1</v>
      </c>
      <c r="O328" s="43" t="s">
        <v>58</v>
      </c>
      <c r="P328" t="str">
        <f t="shared" si="92"/>
        <v>1</v>
      </c>
      <c r="Q328" s="44">
        <v>1000000</v>
      </c>
      <c r="R328" s="43">
        <v>1000</v>
      </c>
      <c r="S328" s="34" t="str">
        <f>IF($V328="USD",INDEX('Dólar Spot'!$B:$B,MATCH(Base!$K328,'Dólar Spot'!$A:$A,0)),"")</f>
        <v/>
      </c>
      <c r="T328" s="4">
        <f t="shared" ref="T328:T330" si="98">Q328*R328</f>
        <v>1000000000</v>
      </c>
      <c r="U328" s="8">
        <f t="shared" si="93"/>
        <v>10</v>
      </c>
      <c r="V328" s="43" t="s">
        <v>41</v>
      </c>
      <c r="W328" s="45">
        <v>100</v>
      </c>
      <c r="X328" s="46">
        <v>2.95</v>
      </c>
      <c r="Y328" s="9">
        <f>IF(AND(V328="DI",$W328=100),$X328/100,
IF(AND(V328="DI",$W328&lt;&gt;100,$X328=""),INDEX('Debs %CDI'!$Q:$Q,MATCH(Base!$C328,'Debs %CDI'!$A:$A,0)),
IF($V328="USD",INDEX(Bonds!$AF:$AF,MATCH(Base!$C328,Bonds!$B:$B,0)),
IF($V328="IPCA",INDEX('Debs IPCA'!$Z:$Z,MATCH(Base!$C328,'Debs IPCA'!$A:$A,0))))))</f>
        <v>2.9500000000000002E-2</v>
      </c>
      <c r="Z328" s="43">
        <v>252</v>
      </c>
      <c r="AA328" s="43" t="s">
        <v>30</v>
      </c>
      <c r="AB328" s="43" t="s">
        <v>32</v>
      </c>
      <c r="AC328">
        <f t="shared" si="90"/>
        <v>0</v>
      </c>
      <c r="AD328" s="43" t="s">
        <v>31</v>
      </c>
      <c r="AE328">
        <f t="shared" si="91"/>
        <v>1</v>
      </c>
      <c r="AF328" s="34" t="str" cm="1">
        <f t="array" ref="AF328">INDEX(Ratings!$B$2:$M$40,_xlfn.XMATCH(Base!F328,Ratings!$A$2:$A$40),_xlfn.XMATCH(YEAR(Base!K328),Ratings!$B$1:$M$1))</f>
        <v>BB</v>
      </c>
      <c r="AG328">
        <f t="shared" si="96"/>
        <v>0</v>
      </c>
      <c r="AH328">
        <f>IFERROR(IFERROR(IFERROR(INDEX('EMBI+'!$B:$B,MATCH(Base!$K328,'EMBI+'!$A:$A,0)),INDEX('EMBI+'!$B:$B,MATCH(Base!$K328+1,'EMBI+'!$A:$A,0))),INDEX('EMBI+'!$B:$B,MATCH(Base!$K328+2,'EMBI+'!$A:$A,0))),INDEX('EMBI+'!$B:$B,MATCH(Base!$K328+3,'EMBI+'!$A:$A,0)))/100</f>
        <v>2.83</v>
      </c>
      <c r="AL328" s="43"/>
      <c r="AM328" s="28"/>
      <c r="AN328" s="28"/>
    </row>
    <row r="329" spans="1:40" x14ac:dyDescent="0.35">
      <c r="A329">
        <f t="shared" si="97"/>
        <v>327</v>
      </c>
      <c r="B329">
        <f>IF(G329="Bonds",COUNTIF($G$3:G329,"Bonds"),0)</f>
        <v>0</v>
      </c>
      <c r="C329" t="str">
        <f t="shared" si="84"/>
        <v>Movida4480146627</v>
      </c>
      <c r="D329">
        <f t="shared" si="85"/>
        <v>26</v>
      </c>
      <c r="E329" s="43" t="s">
        <v>400</v>
      </c>
      <c r="F329" s="43" t="s">
        <v>398</v>
      </c>
      <c r="G329" s="43" t="s">
        <v>25</v>
      </c>
      <c r="H329">
        <f t="shared" si="86"/>
        <v>0</v>
      </c>
      <c r="I329" s="43" t="s">
        <v>858</v>
      </c>
      <c r="J329" s="34">
        <f t="shared" si="87"/>
        <v>13</v>
      </c>
      <c r="K329" s="28">
        <v>44801</v>
      </c>
      <c r="L329" s="28">
        <v>46627</v>
      </c>
      <c r="M329" s="60">
        <f t="shared" si="88"/>
        <v>5.0027397260273974</v>
      </c>
      <c r="N329" s="4">
        <f t="shared" si="89"/>
        <v>1</v>
      </c>
      <c r="O329" s="43" t="s">
        <v>44</v>
      </c>
      <c r="P329" t="str">
        <f t="shared" si="92"/>
        <v>0</v>
      </c>
      <c r="Q329" s="44">
        <v>750000</v>
      </c>
      <c r="R329" s="43">
        <v>1000</v>
      </c>
      <c r="S329" s="34" t="str">
        <f>IF($V329="USD",INDEX('Dólar Spot'!$B:$B,MATCH(Base!$K329,'Dólar Spot'!$A:$A,0)),"")</f>
        <v/>
      </c>
      <c r="T329" s="4">
        <f t="shared" si="98"/>
        <v>750000000</v>
      </c>
      <c r="U329" s="8">
        <f t="shared" si="93"/>
        <v>7.5</v>
      </c>
      <c r="V329" s="43" t="s">
        <v>41</v>
      </c>
      <c r="W329" s="45">
        <v>100</v>
      </c>
      <c r="X329" s="46">
        <v>2.9</v>
      </c>
      <c r="Y329" s="9">
        <f>IF(AND(V329="DI",$W329=100),$X329/100,
IF(AND(V329="DI",$W329&lt;&gt;100,$X329=""),INDEX('Debs %CDI'!$Q:$Q,MATCH(Base!$C329,'Debs %CDI'!$A:$A,0)),
IF($V329="USD",INDEX(Bonds!$AF:$AF,MATCH(Base!$C329,Bonds!$B:$B,0)),
IF($V329="IPCA",INDEX('Debs IPCA'!$Z:$Z,MATCH(Base!$C329,'Debs IPCA'!$A:$A,0))))))</f>
        <v>2.8999999999999998E-2</v>
      </c>
      <c r="Z329" s="43">
        <v>252</v>
      </c>
      <c r="AA329" s="43" t="s">
        <v>30</v>
      </c>
      <c r="AB329" s="43" t="s">
        <v>32</v>
      </c>
      <c r="AC329">
        <f t="shared" si="90"/>
        <v>0</v>
      </c>
      <c r="AD329" s="43" t="s">
        <v>31</v>
      </c>
      <c r="AE329">
        <f t="shared" si="91"/>
        <v>1</v>
      </c>
      <c r="AF329" s="34" t="str" cm="1">
        <f t="array" ref="AF329">INDEX(Ratings!$B$2:$M$40,_xlfn.XMATCH(Base!F329,Ratings!$A$2:$A$40),_xlfn.XMATCH(YEAR(Base!K329),Ratings!$B$1:$M$1))</f>
        <v>BB</v>
      </c>
      <c r="AG329">
        <f t="shared" si="96"/>
        <v>0</v>
      </c>
      <c r="AH329">
        <f>IFERROR(IFERROR(IFERROR(INDEX('EMBI+'!$B:$B,MATCH(Base!$K329,'EMBI+'!$A:$A,0)),INDEX('EMBI+'!$B:$B,MATCH(Base!$K329+1,'EMBI+'!$A:$A,0))),INDEX('EMBI+'!$B:$B,MATCH(Base!$K329+2,'EMBI+'!$A:$A,0))),INDEX('EMBI+'!$B:$B,MATCH(Base!$K329+3,'EMBI+'!$A:$A,0)))/100</f>
        <v>2.97</v>
      </c>
      <c r="AL329" s="43"/>
      <c r="AM329" s="28"/>
      <c r="AN329" s="28"/>
    </row>
    <row r="330" spans="1:40" x14ac:dyDescent="0.35">
      <c r="A330">
        <f t="shared" si="97"/>
        <v>328</v>
      </c>
      <c r="B330">
        <f>IF(G330="Bonds",COUNTIF($G$3:G330,"Bonds"),0)</f>
        <v>0</v>
      </c>
      <c r="C330" t="str">
        <f t="shared" si="84"/>
        <v>Movida4491746743</v>
      </c>
      <c r="D330">
        <f t="shared" si="85"/>
        <v>26</v>
      </c>
      <c r="E330" s="43" t="s">
        <v>400</v>
      </c>
      <c r="F330" s="43" t="s">
        <v>398</v>
      </c>
      <c r="G330" s="43" t="s">
        <v>25</v>
      </c>
      <c r="H330">
        <f t="shared" si="86"/>
        <v>0</v>
      </c>
      <c r="I330" s="43" t="s">
        <v>859</v>
      </c>
      <c r="J330" s="34">
        <f t="shared" si="87"/>
        <v>14</v>
      </c>
      <c r="K330" s="28">
        <v>44917</v>
      </c>
      <c r="L330" s="28">
        <v>46743</v>
      </c>
      <c r="M330" s="60">
        <f t="shared" si="88"/>
        <v>5.0027397260273974</v>
      </c>
      <c r="N330" s="4">
        <f t="shared" si="89"/>
        <v>1</v>
      </c>
      <c r="O330" s="43" t="s">
        <v>58</v>
      </c>
      <c r="P330" t="str">
        <f t="shared" si="92"/>
        <v>1</v>
      </c>
      <c r="Q330" s="44">
        <v>600000</v>
      </c>
      <c r="R330" s="43">
        <v>1000</v>
      </c>
      <c r="S330" s="34" t="str">
        <f>IF($V330="USD",INDEX('Dólar Spot'!$B:$B,MATCH(Base!$K330,'Dólar Spot'!$A:$A,0)),"")</f>
        <v/>
      </c>
      <c r="T330" s="4">
        <f t="shared" si="98"/>
        <v>600000000</v>
      </c>
      <c r="U330" s="8">
        <f t="shared" si="93"/>
        <v>6</v>
      </c>
      <c r="V330" s="43" t="s">
        <v>41</v>
      </c>
      <c r="W330" s="45">
        <v>100</v>
      </c>
      <c r="X330" s="46">
        <v>2.9</v>
      </c>
      <c r="Y330" s="9">
        <f>IF(AND(V330="DI",$W330=100),$X330/100,
IF(AND(V330="DI",$W330&lt;&gt;100,$X330=""),INDEX('Debs %CDI'!$Q:$Q,MATCH(Base!$C330,'Debs %CDI'!$A:$A,0)),
IF($V330="USD",INDEX(Bonds!$AF:$AF,MATCH(Base!$C330,Bonds!$B:$B,0)),
IF($V330="IPCA",INDEX('Debs IPCA'!$Z:$Z,MATCH(Base!$C330,'Debs IPCA'!$A:$A,0))))))</f>
        <v>2.8999999999999998E-2</v>
      </c>
      <c r="Z330" s="43">
        <v>252</v>
      </c>
      <c r="AA330" s="43" t="s">
        <v>30</v>
      </c>
      <c r="AB330" s="43" t="s">
        <v>32</v>
      </c>
      <c r="AC330">
        <f t="shared" si="90"/>
        <v>0</v>
      </c>
      <c r="AD330" s="43" t="s">
        <v>31</v>
      </c>
      <c r="AE330">
        <f t="shared" si="91"/>
        <v>1</v>
      </c>
      <c r="AF330" s="34" t="str" cm="1">
        <f t="array" ref="AF330">INDEX(Ratings!$B$2:$M$40,_xlfn.XMATCH(Base!F330,Ratings!$A$2:$A$40),_xlfn.XMATCH(YEAR(Base!K330),Ratings!$B$1:$M$1))</f>
        <v>BB</v>
      </c>
      <c r="AG330">
        <f t="shared" si="96"/>
        <v>0</v>
      </c>
      <c r="AH330">
        <f>IFERROR(IFERROR(IFERROR(INDEX('EMBI+'!$B:$B,MATCH(Base!$K330,'EMBI+'!$A:$A,0)),INDEX('EMBI+'!$B:$B,MATCH(Base!$K330+1,'EMBI+'!$A:$A,0))),INDEX('EMBI+'!$B:$B,MATCH(Base!$K330+2,'EMBI+'!$A:$A,0))),INDEX('EMBI+'!$B:$B,MATCH(Base!$K330+3,'EMBI+'!$A:$A,0)))/100</f>
        <v>2.65</v>
      </c>
      <c r="AL330" s="43"/>
      <c r="AM330" s="28"/>
      <c r="AN330" s="28"/>
    </row>
    <row r="331" spans="1:40" x14ac:dyDescent="0.35">
      <c r="A331">
        <f t="shared" si="97"/>
        <v>329</v>
      </c>
      <c r="B331">
        <f>IF(G331="Bonds",COUNTIF($G$3:G331,"Bonds"),0)</f>
        <v>0</v>
      </c>
      <c r="C331" t="str">
        <f t="shared" si="84"/>
        <v>Movida4293144027</v>
      </c>
      <c r="D331">
        <f t="shared" si="85"/>
        <v>26</v>
      </c>
      <c r="E331" s="43" t="s">
        <v>411</v>
      </c>
      <c r="F331" s="43" t="s">
        <v>398</v>
      </c>
      <c r="G331" s="43" t="s">
        <v>25</v>
      </c>
      <c r="H331">
        <f t="shared" si="86"/>
        <v>0</v>
      </c>
      <c r="I331" s="43" t="s">
        <v>412</v>
      </c>
      <c r="J331" s="34">
        <f t="shared" si="87"/>
        <v>15</v>
      </c>
      <c r="K331" s="28">
        <v>42931</v>
      </c>
      <c r="L331" s="28">
        <v>44027</v>
      </c>
      <c r="M331" s="60">
        <f t="shared" si="88"/>
        <v>3.0027397260273974</v>
      </c>
      <c r="N331" s="4">
        <f t="shared" si="89"/>
        <v>0</v>
      </c>
      <c r="O331" s="43" t="s">
        <v>44</v>
      </c>
      <c r="P331" t="str">
        <f t="shared" si="92"/>
        <v>0</v>
      </c>
      <c r="Q331" s="44">
        <v>150000</v>
      </c>
      <c r="R331" s="43">
        <v>1000</v>
      </c>
      <c r="S331" s="34" t="str">
        <f>IF($V331="USD",INDEX('Dólar Spot'!$B:$B,MATCH(Base!$K331,'Dólar Spot'!$A:$A,0)),"")</f>
        <v/>
      </c>
      <c r="T331" s="4">
        <f t="shared" si="95"/>
        <v>150000000</v>
      </c>
      <c r="U331" s="8">
        <f t="shared" si="93"/>
        <v>1.5</v>
      </c>
      <c r="V331" s="43" t="s">
        <v>41</v>
      </c>
      <c r="W331" s="45">
        <v>100</v>
      </c>
      <c r="X331" s="46">
        <v>1.55</v>
      </c>
      <c r="Y331" s="9">
        <f>IF(AND(V331="DI",$W331=100),$X331/100,
IF(AND(V331="DI",$W331&lt;&gt;100,$X331=""),INDEX('Debs %CDI'!$Q:$Q,MATCH(Base!$C331,'Debs %CDI'!$A:$A,0)),
IF($V331="USD",INDEX(Bonds!$AF:$AF,MATCH(Base!$C331,Bonds!$B:$B,0)),
IF($V331="IPCA",INDEX('Debs IPCA'!$Z:$Z,MATCH(Base!$C331,'Debs IPCA'!$A:$A,0))))))</f>
        <v>1.55E-2</v>
      </c>
      <c r="Z331" s="43">
        <v>252</v>
      </c>
      <c r="AA331" s="43" t="s">
        <v>30</v>
      </c>
      <c r="AB331" s="43" t="s">
        <v>32</v>
      </c>
      <c r="AC331">
        <f t="shared" si="90"/>
        <v>0</v>
      </c>
      <c r="AD331" s="43" t="s">
        <v>31</v>
      </c>
      <c r="AE331">
        <f t="shared" si="91"/>
        <v>1</v>
      </c>
      <c r="AF331" s="34" t="str" cm="1">
        <f t="array" ref="AF331">INDEX(Ratings!$B$2:$M$40,_xlfn.XMATCH(Base!F331,Ratings!$A$2:$A$40),_xlfn.XMATCH(YEAR(Base!K331),Ratings!$B$1:$M$1))</f>
        <v>NR</v>
      </c>
      <c r="AG331">
        <f t="shared" si="96"/>
        <v>0</v>
      </c>
      <c r="AH331">
        <f>IFERROR(IFERROR(IFERROR(INDEX('EMBI+'!$B:$B,MATCH(Base!$K331,'EMBI+'!$A:$A,0)),INDEX('EMBI+'!$B:$B,MATCH(Base!$K331+1,'EMBI+'!$A:$A,0))),INDEX('EMBI+'!$B:$B,MATCH(Base!$K331+2,'EMBI+'!$A:$A,0))),INDEX('EMBI+'!$B:$B,MATCH(Base!$K331+3,'EMBI+'!$A:$A,0)))/100</f>
        <v>2.73</v>
      </c>
      <c r="AL331" s="43"/>
      <c r="AM331" s="28"/>
      <c r="AN331" s="28"/>
    </row>
    <row r="332" spans="1:40" x14ac:dyDescent="0.35">
      <c r="A332">
        <f t="shared" si="97"/>
        <v>330</v>
      </c>
      <c r="B332">
        <f>IF(G332="Bonds",COUNTIF($G$3:G332,"Bonds"),0)</f>
        <v>0</v>
      </c>
      <c r="C332" t="str">
        <f t="shared" si="84"/>
        <v>Movida4325844354</v>
      </c>
      <c r="D332">
        <f t="shared" si="85"/>
        <v>26</v>
      </c>
      <c r="E332" s="43" t="s">
        <v>411</v>
      </c>
      <c r="F332" s="43" t="s">
        <v>398</v>
      </c>
      <c r="G332" s="43" t="s">
        <v>25</v>
      </c>
      <c r="H332">
        <f t="shared" si="86"/>
        <v>0</v>
      </c>
      <c r="I332" s="43" t="s">
        <v>413</v>
      </c>
      <c r="J332" s="34">
        <f t="shared" si="87"/>
        <v>16</v>
      </c>
      <c r="K332" s="28">
        <v>43258</v>
      </c>
      <c r="L332" s="28">
        <v>44354</v>
      </c>
      <c r="M332" s="60">
        <f t="shared" si="88"/>
        <v>3.0027397260273974</v>
      </c>
      <c r="N332" s="4">
        <f t="shared" si="89"/>
        <v>0</v>
      </c>
      <c r="O332" s="43" t="s">
        <v>44</v>
      </c>
      <c r="P332" t="str">
        <f t="shared" si="92"/>
        <v>0</v>
      </c>
      <c r="Q332" s="44">
        <v>13825</v>
      </c>
      <c r="R332" s="43">
        <v>10000</v>
      </c>
      <c r="S332" s="34" t="str">
        <f>IF($V332="USD",INDEX('Dólar Spot'!$B:$B,MATCH(Base!$K332,'Dólar Spot'!$A:$A,0)),"")</f>
        <v/>
      </c>
      <c r="T332" s="4">
        <f t="shared" si="95"/>
        <v>138250000</v>
      </c>
      <c r="U332" s="8">
        <f t="shared" si="93"/>
        <v>1.3825000000000001</v>
      </c>
      <c r="V332" s="43" t="s">
        <v>41</v>
      </c>
      <c r="W332" s="45">
        <v>100</v>
      </c>
      <c r="X332" s="46">
        <v>1.6</v>
      </c>
      <c r="Y332" s="9">
        <f>IF(AND(V332="DI",$W332=100),$X332/100,
IF(AND(V332="DI",$W332&lt;&gt;100,$X332=""),INDEX('Debs %CDI'!$Q:$Q,MATCH(Base!$C332,'Debs %CDI'!$A:$A,0)),
IF($V332="USD",INDEX(Bonds!$AF:$AF,MATCH(Base!$C332,Bonds!$B:$B,0)),
IF($V332="IPCA",INDEX('Debs IPCA'!$Z:$Z,MATCH(Base!$C332,'Debs IPCA'!$A:$A,0))))))</f>
        <v>1.6E-2</v>
      </c>
      <c r="Z332" s="43">
        <v>252</v>
      </c>
      <c r="AA332" s="43" t="s">
        <v>30</v>
      </c>
      <c r="AB332" s="43" t="s">
        <v>32</v>
      </c>
      <c r="AC332">
        <f t="shared" si="90"/>
        <v>0</v>
      </c>
      <c r="AD332" s="43" t="s">
        <v>31</v>
      </c>
      <c r="AE332">
        <f t="shared" si="91"/>
        <v>1</v>
      </c>
      <c r="AF332" s="34" t="str" cm="1">
        <f t="array" ref="AF332">INDEX(Ratings!$B$2:$M$40,_xlfn.XMATCH(Base!F332,Ratings!$A$2:$A$40),_xlfn.XMATCH(YEAR(Base!K332),Ratings!$B$1:$M$1))</f>
        <v>NR</v>
      </c>
      <c r="AG332">
        <f t="shared" si="96"/>
        <v>0</v>
      </c>
      <c r="AH332">
        <f>IFERROR(IFERROR(IFERROR(INDEX('EMBI+'!$B:$B,MATCH(Base!$K332,'EMBI+'!$A:$A,0)),INDEX('EMBI+'!$B:$B,MATCH(Base!$K332+1,'EMBI+'!$A:$A,0))),INDEX('EMBI+'!$B:$B,MATCH(Base!$K332+2,'EMBI+'!$A:$A,0))),INDEX('EMBI+'!$B:$B,MATCH(Base!$K332+3,'EMBI+'!$A:$A,0)))/100</f>
        <v>3.3</v>
      </c>
      <c r="AL332" s="43"/>
      <c r="AM332" s="28"/>
      <c r="AN332" s="28"/>
    </row>
    <row r="333" spans="1:40" x14ac:dyDescent="0.35">
      <c r="A333">
        <f t="shared" si="97"/>
        <v>331</v>
      </c>
      <c r="B333">
        <f>IF(G333="Bonds",COUNTIF($G$3:G333,"Bonds"),0)</f>
        <v>0</v>
      </c>
      <c r="C333" t="str">
        <f t="shared" si="84"/>
        <v>Movida4344145450</v>
      </c>
      <c r="D333">
        <f t="shared" si="85"/>
        <v>26</v>
      </c>
      <c r="E333" s="43" t="s">
        <v>411</v>
      </c>
      <c r="F333" s="43" t="s">
        <v>398</v>
      </c>
      <c r="G333" s="43" t="s">
        <v>25</v>
      </c>
      <c r="H333">
        <f t="shared" si="86"/>
        <v>0</v>
      </c>
      <c r="I333" s="43" t="s">
        <v>414</v>
      </c>
      <c r="J333" s="34">
        <f t="shared" si="87"/>
        <v>17</v>
      </c>
      <c r="K333" s="28">
        <v>43441</v>
      </c>
      <c r="L333" s="28">
        <v>45450</v>
      </c>
      <c r="M333" s="60">
        <f t="shared" si="88"/>
        <v>5.5041095890410956</v>
      </c>
      <c r="N333" s="4">
        <f t="shared" si="89"/>
        <v>1</v>
      </c>
      <c r="O333" s="43" t="s">
        <v>44</v>
      </c>
      <c r="P333" t="str">
        <f t="shared" si="92"/>
        <v>0</v>
      </c>
      <c r="Q333" s="44">
        <v>214478</v>
      </c>
      <c r="R333" s="43">
        <v>1000</v>
      </c>
      <c r="S333" s="34" t="str">
        <f>IF($V333="USD",INDEX('Dólar Spot'!$B:$B,MATCH(Base!$K333,'Dólar Spot'!$A:$A,0)),"")</f>
        <v/>
      </c>
      <c r="T333" s="4">
        <f t="shared" si="95"/>
        <v>214478000</v>
      </c>
      <c r="U333" s="8">
        <f t="shared" si="93"/>
        <v>2.1447799999999999</v>
      </c>
      <c r="V333" s="43" t="s">
        <v>41</v>
      </c>
      <c r="W333" s="45">
        <v>100</v>
      </c>
      <c r="X333" s="46">
        <v>1.85</v>
      </c>
      <c r="Y333" s="9">
        <f>IF(AND(V333="DI",$W333=100),$X333/100,
IF(AND(V333="DI",$W333&lt;&gt;100,$X333=""),INDEX('Debs %CDI'!$Q:$Q,MATCH(Base!$C333,'Debs %CDI'!$A:$A,0)),
IF($V333="USD",INDEX(Bonds!$AF:$AF,MATCH(Base!$C333,Bonds!$B:$B,0)),
IF($V333="IPCA",INDEX('Debs IPCA'!$Z:$Z,MATCH(Base!$C333,'Debs IPCA'!$A:$A,0))))))</f>
        <v>1.8500000000000003E-2</v>
      </c>
      <c r="Z333" s="43">
        <v>252</v>
      </c>
      <c r="AA333" s="43" t="s">
        <v>30</v>
      </c>
      <c r="AB333" s="43" t="s">
        <v>32</v>
      </c>
      <c r="AC333">
        <f t="shared" si="90"/>
        <v>0</v>
      </c>
      <c r="AD333" s="43" t="s">
        <v>31</v>
      </c>
      <c r="AE333">
        <f t="shared" si="91"/>
        <v>1</v>
      </c>
      <c r="AF333" s="34" t="str" cm="1">
        <f t="array" ref="AF333">INDEX(Ratings!$B$2:$M$40,_xlfn.XMATCH(Base!F333,Ratings!$A$2:$A$40),_xlfn.XMATCH(YEAR(Base!K333),Ratings!$B$1:$M$1))</f>
        <v>NR</v>
      </c>
      <c r="AG333">
        <f t="shared" si="96"/>
        <v>0</v>
      </c>
      <c r="AH333">
        <f>IFERROR(IFERROR(IFERROR(INDEX('EMBI+'!$B:$B,MATCH(Base!$K333,'EMBI+'!$A:$A,0)),INDEX('EMBI+'!$B:$B,MATCH(Base!$K333+1,'EMBI+'!$A:$A,0))),INDEX('EMBI+'!$B:$B,MATCH(Base!$K333+2,'EMBI+'!$A:$A,0))),INDEX('EMBI+'!$B:$B,MATCH(Base!$K333+3,'EMBI+'!$A:$A,0)))/100</f>
        <v>2.74</v>
      </c>
      <c r="AL333" s="43"/>
      <c r="AM333" s="28"/>
      <c r="AN333" s="28"/>
    </row>
    <row r="334" spans="1:40" x14ac:dyDescent="0.35">
      <c r="A334">
        <f t="shared" si="97"/>
        <v>332</v>
      </c>
      <c r="B334">
        <f>IF(G334="Bonds",COUNTIF($G$3:G334,"Bonds"),0)</f>
        <v>0</v>
      </c>
      <c r="C334" t="str">
        <f t="shared" si="84"/>
        <v>Movida4364344837</v>
      </c>
      <c r="D334">
        <f t="shared" si="85"/>
        <v>26</v>
      </c>
      <c r="E334" s="43" t="s">
        <v>411</v>
      </c>
      <c r="F334" s="43" t="s">
        <v>398</v>
      </c>
      <c r="G334" s="43" t="s">
        <v>25</v>
      </c>
      <c r="H334">
        <f t="shared" si="86"/>
        <v>0</v>
      </c>
      <c r="I334" s="43" t="s">
        <v>415</v>
      </c>
      <c r="J334" s="34">
        <f t="shared" si="87"/>
        <v>18</v>
      </c>
      <c r="K334" s="28">
        <v>43643</v>
      </c>
      <c r="L334" s="28">
        <v>44837</v>
      </c>
      <c r="M334" s="60">
        <f t="shared" si="88"/>
        <v>3.2712328767123289</v>
      </c>
      <c r="N334" s="4">
        <f t="shared" si="89"/>
        <v>0</v>
      </c>
      <c r="O334" s="43" t="s">
        <v>44</v>
      </c>
      <c r="P334" t="str">
        <f t="shared" si="92"/>
        <v>0</v>
      </c>
      <c r="Q334" s="44">
        <v>250000</v>
      </c>
      <c r="R334" s="43">
        <v>1000</v>
      </c>
      <c r="S334" s="34" t="str">
        <f>IF($V334="USD",INDEX('Dólar Spot'!$B:$B,MATCH(Base!$K334,'Dólar Spot'!$A:$A,0)),"")</f>
        <v/>
      </c>
      <c r="T334" s="4">
        <f t="shared" si="95"/>
        <v>250000000</v>
      </c>
      <c r="U334" s="8">
        <f t="shared" si="93"/>
        <v>2.5</v>
      </c>
      <c r="V334" s="43" t="s">
        <v>41</v>
      </c>
      <c r="W334" s="45">
        <v>100</v>
      </c>
      <c r="X334" s="46">
        <v>1.25</v>
      </c>
      <c r="Y334" s="9">
        <f>IF(AND(V334="DI",$W334=100),$X334/100,
IF(AND(V334="DI",$W334&lt;&gt;100,$X334=""),INDEX('Debs %CDI'!$Q:$Q,MATCH(Base!$C334,'Debs %CDI'!$A:$A,0)),
IF($V334="USD",INDEX(Bonds!$AF:$AF,MATCH(Base!$C334,Bonds!$B:$B,0)),
IF($V334="IPCA",INDEX('Debs IPCA'!$Z:$Z,MATCH(Base!$C334,'Debs IPCA'!$A:$A,0))))))</f>
        <v>1.2500000000000001E-2</v>
      </c>
      <c r="Z334" s="43">
        <v>252</v>
      </c>
      <c r="AA334" s="43" t="s">
        <v>30</v>
      </c>
      <c r="AB334" s="43" t="s">
        <v>32</v>
      </c>
      <c r="AC334">
        <f t="shared" si="90"/>
        <v>0</v>
      </c>
      <c r="AD334" s="43" t="s">
        <v>31</v>
      </c>
      <c r="AE334">
        <f t="shared" si="91"/>
        <v>1</v>
      </c>
      <c r="AF334" s="34" t="str" cm="1">
        <f t="array" ref="AF334">INDEX(Ratings!$B$2:$M$40,_xlfn.XMATCH(Base!F334,Ratings!$A$2:$A$40),_xlfn.XMATCH(YEAR(Base!K334),Ratings!$B$1:$M$1))</f>
        <v>NR</v>
      </c>
      <c r="AG334">
        <f t="shared" si="96"/>
        <v>0</v>
      </c>
      <c r="AH334">
        <f>IFERROR(IFERROR(IFERROR(INDEX('EMBI+'!$B:$B,MATCH(Base!$K334,'EMBI+'!$A:$A,0)),INDEX('EMBI+'!$B:$B,MATCH(Base!$K334+1,'EMBI+'!$A:$A,0))),INDEX('EMBI+'!$B:$B,MATCH(Base!$K334+2,'EMBI+'!$A:$A,0))),INDEX('EMBI+'!$B:$B,MATCH(Base!$K334+3,'EMBI+'!$A:$A,0)))/100</f>
        <v>2.42</v>
      </c>
      <c r="AL334" s="43"/>
      <c r="AM334" s="28"/>
      <c r="AN334" s="28"/>
    </row>
    <row r="335" spans="1:40" x14ac:dyDescent="0.35">
      <c r="A335">
        <f t="shared" si="97"/>
        <v>333</v>
      </c>
      <c r="B335">
        <f>IF(G335="Bonds",COUNTIF($G$3:G335,"Bonds"),0)</f>
        <v>0</v>
      </c>
      <c r="C335" t="str">
        <f t="shared" si="84"/>
        <v>Movida4411945214</v>
      </c>
      <c r="D335">
        <f t="shared" si="85"/>
        <v>26</v>
      </c>
      <c r="E335" s="43" t="s">
        <v>411</v>
      </c>
      <c r="F335" s="43" t="s">
        <v>398</v>
      </c>
      <c r="G335" s="43" t="s">
        <v>25</v>
      </c>
      <c r="H335">
        <f t="shared" si="86"/>
        <v>0</v>
      </c>
      <c r="I335" s="43" t="s">
        <v>416</v>
      </c>
      <c r="J335" s="34">
        <f t="shared" si="87"/>
        <v>19</v>
      </c>
      <c r="K335" s="28">
        <v>44119</v>
      </c>
      <c r="L335" s="28">
        <v>45214</v>
      </c>
      <c r="M335" s="60">
        <f t="shared" si="88"/>
        <v>3</v>
      </c>
      <c r="N335" s="4">
        <f t="shared" si="89"/>
        <v>0</v>
      </c>
      <c r="O335" s="43" t="s">
        <v>44</v>
      </c>
      <c r="P335" t="str">
        <f t="shared" si="92"/>
        <v>0</v>
      </c>
      <c r="Q335" s="44">
        <v>250000</v>
      </c>
      <c r="R335" s="43">
        <v>1000</v>
      </c>
      <c r="S335" s="34" t="str">
        <f>IF($V335="USD",INDEX('Dólar Spot'!$B:$B,MATCH(Base!$K335,'Dólar Spot'!$A:$A,0)),"")</f>
        <v/>
      </c>
      <c r="T335" s="4">
        <f t="shared" si="95"/>
        <v>250000000</v>
      </c>
      <c r="U335" s="8">
        <f t="shared" si="93"/>
        <v>2.5</v>
      </c>
      <c r="V335" s="43" t="s">
        <v>41</v>
      </c>
      <c r="W335" s="45">
        <v>100</v>
      </c>
      <c r="X335" s="46">
        <v>2.5</v>
      </c>
      <c r="Y335" s="9">
        <f>IF(AND(V335="DI",$W335=100),$X335/100,
IF(AND(V335="DI",$W335&lt;&gt;100,$X335=""),INDEX('Debs %CDI'!$Q:$Q,MATCH(Base!$C335,'Debs %CDI'!$A:$A,0)),
IF($V335="USD",INDEX(Bonds!$AF:$AF,MATCH(Base!$C335,Bonds!$B:$B,0)),
IF($V335="IPCA",INDEX('Debs IPCA'!$Z:$Z,MATCH(Base!$C335,'Debs IPCA'!$A:$A,0))))))</f>
        <v>2.5000000000000001E-2</v>
      </c>
      <c r="Z335" s="43">
        <v>252</v>
      </c>
      <c r="AA335" s="43" t="s">
        <v>30</v>
      </c>
      <c r="AB335" s="43" t="s">
        <v>32</v>
      </c>
      <c r="AC335">
        <f t="shared" si="90"/>
        <v>0</v>
      </c>
      <c r="AD335" s="43" t="s">
        <v>31</v>
      </c>
      <c r="AE335">
        <f t="shared" si="91"/>
        <v>1</v>
      </c>
      <c r="AF335" s="34" t="str" cm="1">
        <f t="array" ref="AF335">INDEX(Ratings!$B$2:$M$40,_xlfn.XMATCH(Base!F335,Ratings!$A$2:$A$40),_xlfn.XMATCH(YEAR(Base!K335),Ratings!$B$1:$M$1))</f>
        <v>NR</v>
      </c>
      <c r="AG335">
        <f t="shared" si="96"/>
        <v>0</v>
      </c>
      <c r="AH335">
        <f>IFERROR(IFERROR(IFERROR(INDEX('EMBI+'!$B:$B,MATCH(Base!$K335,'EMBI+'!$A:$A,0)),INDEX('EMBI+'!$B:$B,MATCH(Base!$K335+1,'EMBI+'!$A:$A,0))),INDEX('EMBI+'!$B:$B,MATCH(Base!$K335+2,'EMBI+'!$A:$A,0))),INDEX('EMBI+'!$B:$B,MATCH(Base!$K335+3,'EMBI+'!$A:$A,0)))/100</f>
        <v>3.1</v>
      </c>
      <c r="AL335" s="43"/>
      <c r="AM335" s="28"/>
      <c r="AN335" s="28"/>
    </row>
    <row r="336" spans="1:40" x14ac:dyDescent="0.35">
      <c r="A336">
        <f t="shared" si="97"/>
        <v>334</v>
      </c>
      <c r="B336">
        <f>IF(G336="Bonds",COUNTIF($G$3:G336,"Bonds"),0)</f>
        <v>0</v>
      </c>
      <c r="C336" t="str">
        <f t="shared" si="84"/>
        <v>Movida4429846492</v>
      </c>
      <c r="D336">
        <f t="shared" si="85"/>
        <v>26</v>
      </c>
      <c r="E336" s="43" t="s">
        <v>411</v>
      </c>
      <c r="F336" s="43" t="s">
        <v>398</v>
      </c>
      <c r="G336" s="43" t="s">
        <v>25</v>
      </c>
      <c r="H336">
        <f t="shared" si="86"/>
        <v>0</v>
      </c>
      <c r="I336" s="43" t="s">
        <v>417</v>
      </c>
      <c r="J336" s="34">
        <f t="shared" si="87"/>
        <v>20</v>
      </c>
      <c r="K336" s="28">
        <v>44298</v>
      </c>
      <c r="L336" s="28">
        <v>46492</v>
      </c>
      <c r="M336" s="60">
        <f t="shared" si="88"/>
        <v>6.0109589041095894</v>
      </c>
      <c r="N336" s="4">
        <f t="shared" si="89"/>
        <v>1</v>
      </c>
      <c r="O336" s="43" t="s">
        <v>58</v>
      </c>
      <c r="P336" t="str">
        <f t="shared" si="92"/>
        <v>1</v>
      </c>
      <c r="Q336" s="44">
        <v>550000</v>
      </c>
      <c r="R336" s="43">
        <v>1000</v>
      </c>
      <c r="S336" s="34" t="str">
        <f>IF($V336="USD",INDEX('Dólar Spot'!$B:$B,MATCH(Base!$K336,'Dólar Spot'!$A:$A,0)),"")</f>
        <v/>
      </c>
      <c r="T336" s="4">
        <f t="shared" si="95"/>
        <v>550000000</v>
      </c>
      <c r="U336" s="8">
        <f t="shared" si="93"/>
        <v>5.5</v>
      </c>
      <c r="V336" s="43" t="s">
        <v>41</v>
      </c>
      <c r="W336" s="45">
        <v>100</v>
      </c>
      <c r="X336" s="46">
        <v>3.2</v>
      </c>
      <c r="Y336" s="9">
        <f>IF(AND(V336="DI",$W336=100),$X336/100,
IF(AND(V336="DI",$W336&lt;&gt;100,$X336=""),INDEX('Debs %CDI'!$Q:$Q,MATCH(Base!$C336,'Debs %CDI'!$A:$A,0)),
IF($V336="USD",INDEX(Bonds!$AF:$AF,MATCH(Base!$C336,Bonds!$B:$B,0)),
IF($V336="IPCA",INDEX('Debs IPCA'!$Z:$Z,MATCH(Base!$C336,'Debs IPCA'!$A:$A,0))))))</f>
        <v>3.2000000000000001E-2</v>
      </c>
      <c r="Z336" s="43">
        <v>252</v>
      </c>
      <c r="AA336" s="43" t="s">
        <v>30</v>
      </c>
      <c r="AB336" s="43" t="s">
        <v>32</v>
      </c>
      <c r="AC336">
        <f t="shared" si="90"/>
        <v>0</v>
      </c>
      <c r="AD336" s="43" t="s">
        <v>31</v>
      </c>
      <c r="AE336">
        <f t="shared" si="91"/>
        <v>1</v>
      </c>
      <c r="AF336" s="34" t="str" cm="1">
        <f t="array" ref="AF336">INDEX(Ratings!$B$2:$M$40,_xlfn.XMATCH(Base!F336,Ratings!$A$2:$A$40),_xlfn.XMATCH(YEAR(Base!K336),Ratings!$B$1:$M$1))</f>
        <v>BB-</v>
      </c>
      <c r="AG336">
        <f t="shared" si="96"/>
        <v>0</v>
      </c>
      <c r="AH336">
        <f>IFERROR(IFERROR(IFERROR(INDEX('EMBI+'!$B:$B,MATCH(Base!$K336,'EMBI+'!$A:$A,0)),INDEX('EMBI+'!$B:$B,MATCH(Base!$K336+1,'EMBI+'!$A:$A,0))),INDEX('EMBI+'!$B:$B,MATCH(Base!$K336+2,'EMBI+'!$A:$A,0))),INDEX('EMBI+'!$B:$B,MATCH(Base!$K336+3,'EMBI+'!$A:$A,0)))/100</f>
        <v>2.92</v>
      </c>
      <c r="AL336" s="43"/>
      <c r="AM336" s="28"/>
      <c r="AN336" s="28"/>
    </row>
    <row r="337" spans="1:40" x14ac:dyDescent="0.35">
      <c r="A337">
        <f t="shared" si="97"/>
        <v>335</v>
      </c>
      <c r="B337">
        <f>IF(G337="Bonds",COUNTIF($G$3:G337,"Bonds"),0)</f>
        <v>0</v>
      </c>
      <c r="C337" t="str">
        <f t="shared" si="84"/>
        <v>Movida4445446280</v>
      </c>
      <c r="D337">
        <f t="shared" si="85"/>
        <v>26</v>
      </c>
      <c r="E337" s="43" t="s">
        <v>411</v>
      </c>
      <c r="F337" s="43" t="s">
        <v>398</v>
      </c>
      <c r="G337" s="43" t="s">
        <v>25</v>
      </c>
      <c r="H337">
        <f t="shared" si="86"/>
        <v>0</v>
      </c>
      <c r="I337" s="43" t="s">
        <v>418</v>
      </c>
      <c r="J337" s="34">
        <f t="shared" si="87"/>
        <v>21</v>
      </c>
      <c r="K337" s="28">
        <v>44454</v>
      </c>
      <c r="L337" s="28">
        <v>46280</v>
      </c>
      <c r="M337" s="60">
        <f t="shared" si="88"/>
        <v>5.0027397260273974</v>
      </c>
      <c r="N337" s="4">
        <f t="shared" si="89"/>
        <v>1</v>
      </c>
      <c r="O337" s="43" t="s">
        <v>44</v>
      </c>
      <c r="P337" t="str">
        <f t="shared" si="92"/>
        <v>0</v>
      </c>
      <c r="Q337" s="44">
        <v>1150000</v>
      </c>
      <c r="R337" s="43">
        <v>1000</v>
      </c>
      <c r="S337" s="34" t="str">
        <f>IF($V337="USD",INDEX('Dólar Spot'!$B:$B,MATCH(Base!$K337,'Dólar Spot'!$A:$A,0)),"")</f>
        <v/>
      </c>
      <c r="T337" s="4">
        <f t="shared" si="95"/>
        <v>1150000000</v>
      </c>
      <c r="U337" s="8">
        <f t="shared" si="93"/>
        <v>11.5</v>
      </c>
      <c r="V337" s="43" t="s">
        <v>41</v>
      </c>
      <c r="W337" s="45">
        <v>100</v>
      </c>
      <c r="X337" s="46">
        <v>2.7</v>
      </c>
      <c r="Y337" s="9">
        <f>IF(AND(V337="DI",$W337=100),$X337/100,
IF(AND(V337="DI",$W337&lt;&gt;100,$X337=""),INDEX('Debs %CDI'!$Q:$Q,MATCH(Base!$C337,'Debs %CDI'!$A:$A,0)),
IF($V337="USD",INDEX(Bonds!$AF:$AF,MATCH(Base!$C337,Bonds!$B:$B,0)),
IF($V337="IPCA",INDEX('Debs IPCA'!$Z:$Z,MATCH(Base!$C337,'Debs IPCA'!$A:$A,0))))))</f>
        <v>2.7000000000000003E-2</v>
      </c>
      <c r="Z337" s="43">
        <v>252</v>
      </c>
      <c r="AA337" s="43" t="s">
        <v>30</v>
      </c>
      <c r="AB337" s="43" t="s">
        <v>32</v>
      </c>
      <c r="AC337">
        <f t="shared" si="90"/>
        <v>0</v>
      </c>
      <c r="AD337" s="43" t="s">
        <v>31</v>
      </c>
      <c r="AE337">
        <f t="shared" si="91"/>
        <v>1</v>
      </c>
      <c r="AF337" s="34" t="str" cm="1">
        <f t="array" ref="AF337">INDEX(Ratings!$B$2:$M$40,_xlfn.XMATCH(Base!F337,Ratings!$A$2:$A$40),_xlfn.XMATCH(YEAR(Base!K337),Ratings!$B$1:$M$1))</f>
        <v>BB-</v>
      </c>
      <c r="AG337">
        <f t="shared" si="96"/>
        <v>0</v>
      </c>
      <c r="AH337">
        <f>IFERROR(IFERROR(IFERROR(INDEX('EMBI+'!$B:$B,MATCH(Base!$K337,'EMBI+'!$A:$A,0)),INDEX('EMBI+'!$B:$B,MATCH(Base!$K337+1,'EMBI+'!$A:$A,0))),INDEX('EMBI+'!$B:$B,MATCH(Base!$K337+2,'EMBI+'!$A:$A,0))),INDEX('EMBI+'!$B:$B,MATCH(Base!$K337+3,'EMBI+'!$A:$A,0)))/100</f>
        <v>3.14</v>
      </c>
      <c r="AL337" s="43"/>
      <c r="AM337" s="28"/>
      <c r="AN337" s="28"/>
    </row>
    <row r="338" spans="1:40" x14ac:dyDescent="0.35">
      <c r="A338">
        <f t="shared" si="97"/>
        <v>336</v>
      </c>
      <c r="B338">
        <f>IF(G338="Bonds",COUNTIF($G$3:G338,"Bonds"),0)</f>
        <v>0</v>
      </c>
      <c r="C338" t="str">
        <f t="shared" si="84"/>
        <v>Movida4293144757</v>
      </c>
      <c r="D338">
        <f t="shared" si="85"/>
        <v>26</v>
      </c>
      <c r="E338" s="43" t="s">
        <v>411</v>
      </c>
      <c r="F338" s="43" t="s">
        <v>398</v>
      </c>
      <c r="G338" s="43" t="s">
        <v>25</v>
      </c>
      <c r="H338">
        <f t="shared" si="86"/>
        <v>0</v>
      </c>
      <c r="I338" s="43" t="s">
        <v>419</v>
      </c>
      <c r="J338" s="34">
        <f t="shared" si="87"/>
        <v>22</v>
      </c>
      <c r="K338" s="28">
        <v>42931</v>
      </c>
      <c r="L338" s="28">
        <v>44757</v>
      </c>
      <c r="M338" s="60">
        <f t="shared" si="88"/>
        <v>5.0027397260273974</v>
      </c>
      <c r="N338" s="4">
        <f t="shared" si="89"/>
        <v>1</v>
      </c>
      <c r="O338" s="43" t="s">
        <v>44</v>
      </c>
      <c r="P338" t="str">
        <f t="shared" si="92"/>
        <v>0</v>
      </c>
      <c r="Q338" s="44">
        <v>250000</v>
      </c>
      <c r="R338" s="43">
        <v>1000</v>
      </c>
      <c r="S338" s="34" t="str">
        <f>IF($V338="USD",INDEX('Dólar Spot'!$B:$B,MATCH(Base!$K338,'Dólar Spot'!$A:$A,0)),"")</f>
        <v/>
      </c>
      <c r="T338" s="4">
        <f t="shared" si="95"/>
        <v>250000000</v>
      </c>
      <c r="U338" s="8">
        <f t="shared" si="93"/>
        <v>2.5</v>
      </c>
      <c r="V338" s="43" t="s">
        <v>41</v>
      </c>
      <c r="W338" s="45">
        <v>100</v>
      </c>
      <c r="X338" s="46">
        <v>2.7</v>
      </c>
      <c r="Y338" s="9">
        <f>IF(AND(V338="DI",$W338=100),$X338/100,
IF(AND(V338="DI",$W338&lt;&gt;100,$X338=""),INDEX('Debs %CDI'!$Q:$Q,MATCH(Base!$C338,'Debs %CDI'!$A:$A,0)),
IF($V338="USD",INDEX(Bonds!$AF:$AF,MATCH(Base!$C338,Bonds!$B:$B,0)),
IF($V338="IPCA",INDEX('Debs IPCA'!$Z:$Z,MATCH(Base!$C338,'Debs IPCA'!$A:$A,0))))))</f>
        <v>2.7000000000000003E-2</v>
      </c>
      <c r="Z338" s="43">
        <v>252</v>
      </c>
      <c r="AA338" s="43" t="s">
        <v>30</v>
      </c>
      <c r="AB338" s="43" t="s">
        <v>32</v>
      </c>
      <c r="AC338">
        <f t="shared" si="90"/>
        <v>0</v>
      </c>
      <c r="AD338" s="43" t="s">
        <v>31</v>
      </c>
      <c r="AE338">
        <f t="shared" si="91"/>
        <v>1</v>
      </c>
      <c r="AF338" s="34" t="str" cm="1">
        <f t="array" ref="AF338">INDEX(Ratings!$B$2:$M$40,_xlfn.XMATCH(Base!F338,Ratings!$A$2:$A$40),_xlfn.XMATCH(YEAR(Base!K338),Ratings!$B$1:$M$1))</f>
        <v>NR</v>
      </c>
      <c r="AG338">
        <f t="shared" si="96"/>
        <v>0</v>
      </c>
      <c r="AH338">
        <f>IFERROR(IFERROR(IFERROR(INDEX('EMBI+'!$B:$B,MATCH(Base!$K338,'EMBI+'!$A:$A,0)),INDEX('EMBI+'!$B:$B,MATCH(Base!$K338+1,'EMBI+'!$A:$A,0))),INDEX('EMBI+'!$B:$B,MATCH(Base!$K338+2,'EMBI+'!$A:$A,0))),INDEX('EMBI+'!$B:$B,MATCH(Base!$K338+3,'EMBI+'!$A:$A,0)))/100</f>
        <v>2.73</v>
      </c>
      <c r="AL338" s="43"/>
      <c r="AM338" s="28"/>
      <c r="AN338" s="28"/>
    </row>
    <row r="339" spans="1:40" x14ac:dyDescent="0.35">
      <c r="A339">
        <f t="shared" si="97"/>
        <v>337</v>
      </c>
      <c r="B339">
        <f>IF(G339="Bonds",COUNTIF($G$3:G339,"Bonds"),0)</f>
        <v>0</v>
      </c>
      <c r="C339" t="str">
        <f t="shared" si="84"/>
        <v>Movida4325845084</v>
      </c>
      <c r="D339">
        <f t="shared" si="85"/>
        <v>26</v>
      </c>
      <c r="E339" s="43" t="s">
        <v>411</v>
      </c>
      <c r="F339" s="43" t="s">
        <v>398</v>
      </c>
      <c r="G339" s="43" t="s">
        <v>25</v>
      </c>
      <c r="H339">
        <f t="shared" si="86"/>
        <v>0</v>
      </c>
      <c r="I339" s="43" t="s">
        <v>420</v>
      </c>
      <c r="J339" s="34">
        <f t="shared" si="87"/>
        <v>23</v>
      </c>
      <c r="K339" s="28">
        <v>43258</v>
      </c>
      <c r="L339" s="28">
        <v>45084</v>
      </c>
      <c r="M339" s="60">
        <f t="shared" si="88"/>
        <v>5.0027397260273974</v>
      </c>
      <c r="N339" s="4">
        <f t="shared" si="89"/>
        <v>1</v>
      </c>
      <c r="O339" s="43" t="s">
        <v>44</v>
      </c>
      <c r="P339" t="str">
        <f t="shared" si="92"/>
        <v>0</v>
      </c>
      <c r="Q339" s="44">
        <v>18150</v>
      </c>
      <c r="R339" s="43">
        <v>10000</v>
      </c>
      <c r="S339" s="34" t="str">
        <f>IF($V339="USD",INDEX('Dólar Spot'!$B:$B,MATCH(Base!$K339,'Dólar Spot'!$A:$A,0)),"")</f>
        <v/>
      </c>
      <c r="T339" s="4">
        <f t="shared" si="95"/>
        <v>181500000</v>
      </c>
      <c r="U339" s="8">
        <f t="shared" si="93"/>
        <v>1.8149999999999999</v>
      </c>
      <c r="V339" s="43" t="s">
        <v>41</v>
      </c>
      <c r="W339" s="45">
        <v>100</v>
      </c>
      <c r="X339" s="46">
        <v>2.2000000000000002</v>
      </c>
      <c r="Y339" s="9">
        <f>IF(AND(V339="DI",$W339=100),$X339/100,
IF(AND(V339="DI",$W339&lt;&gt;100,$X339=""),INDEX('Debs %CDI'!$Q:$Q,MATCH(Base!$C339,'Debs %CDI'!$A:$A,0)),
IF($V339="USD",INDEX(Bonds!$AF:$AF,MATCH(Base!$C339,Bonds!$B:$B,0)),
IF($V339="IPCA",INDEX('Debs IPCA'!$Z:$Z,MATCH(Base!$C339,'Debs IPCA'!$A:$A,0))))))</f>
        <v>2.2000000000000002E-2</v>
      </c>
      <c r="Z339" s="43">
        <v>252</v>
      </c>
      <c r="AA339" s="43" t="s">
        <v>30</v>
      </c>
      <c r="AB339" s="43" t="s">
        <v>32</v>
      </c>
      <c r="AC339">
        <f t="shared" si="90"/>
        <v>0</v>
      </c>
      <c r="AD339" s="43" t="s">
        <v>31</v>
      </c>
      <c r="AE339">
        <f t="shared" si="91"/>
        <v>1</v>
      </c>
      <c r="AF339" s="34" t="str" cm="1">
        <f t="array" ref="AF339">INDEX(Ratings!$B$2:$M$40,_xlfn.XMATCH(Base!F339,Ratings!$A$2:$A$40),_xlfn.XMATCH(YEAR(Base!K339),Ratings!$B$1:$M$1))</f>
        <v>NR</v>
      </c>
      <c r="AG339">
        <f t="shared" si="96"/>
        <v>0</v>
      </c>
      <c r="AH339">
        <f>IFERROR(IFERROR(IFERROR(INDEX('EMBI+'!$B:$B,MATCH(Base!$K339,'EMBI+'!$A:$A,0)),INDEX('EMBI+'!$B:$B,MATCH(Base!$K339+1,'EMBI+'!$A:$A,0))),INDEX('EMBI+'!$B:$B,MATCH(Base!$K339+2,'EMBI+'!$A:$A,0))),INDEX('EMBI+'!$B:$B,MATCH(Base!$K339+3,'EMBI+'!$A:$A,0)))/100</f>
        <v>3.3</v>
      </c>
      <c r="AL339" s="43"/>
      <c r="AM339" s="28"/>
      <c r="AN339" s="28"/>
    </row>
    <row r="340" spans="1:40" x14ac:dyDescent="0.35">
      <c r="A340">
        <f t="shared" si="97"/>
        <v>338</v>
      </c>
      <c r="B340">
        <f>IF(G340="Bonds",COUNTIF($G$3:G340,"Bonds"),0)</f>
        <v>0</v>
      </c>
      <c r="C340" t="str">
        <f t="shared" ref="C340:C371" si="99">F340&amp;K340&amp;L340</f>
        <v>Movida4344145450</v>
      </c>
      <c r="D340">
        <f t="shared" ref="D340:D371" si="100">IF(F340&lt;&gt;F339,D339+1,D339)</f>
        <v>26</v>
      </c>
      <c r="E340" s="43" t="s">
        <v>411</v>
      </c>
      <c r="F340" s="43" t="s">
        <v>398</v>
      </c>
      <c r="G340" s="43" t="s">
        <v>25</v>
      </c>
      <c r="H340">
        <f t="shared" si="86"/>
        <v>0</v>
      </c>
      <c r="I340" s="43" t="s">
        <v>421</v>
      </c>
      <c r="J340" s="34">
        <f t="shared" ref="J340:J371" si="101">IF(F340=F339,J339+1,1)</f>
        <v>24</v>
      </c>
      <c r="K340" s="28">
        <v>43441</v>
      </c>
      <c r="L340" s="28">
        <v>45450</v>
      </c>
      <c r="M340" s="60">
        <f t="shared" si="88"/>
        <v>5.5041095890410956</v>
      </c>
      <c r="N340" s="4">
        <f t="shared" si="89"/>
        <v>1</v>
      </c>
      <c r="O340" s="43" t="s">
        <v>44</v>
      </c>
      <c r="P340" t="str">
        <f t="shared" si="92"/>
        <v>0</v>
      </c>
      <c r="Q340" s="44">
        <v>138112</v>
      </c>
      <c r="R340" s="43">
        <v>1000</v>
      </c>
      <c r="S340" s="34" t="str">
        <f>IF($V340="USD",INDEX('Dólar Spot'!$B:$B,MATCH(Base!$K340,'Dólar Spot'!$A:$A,0)),"")</f>
        <v/>
      </c>
      <c r="T340" s="4">
        <f t="shared" si="95"/>
        <v>138112000</v>
      </c>
      <c r="U340" s="8">
        <f t="shared" si="93"/>
        <v>1.3811199999999999</v>
      </c>
      <c r="V340" s="43" t="s">
        <v>41</v>
      </c>
      <c r="W340" s="45">
        <v>100</v>
      </c>
      <c r="X340" s="46">
        <v>2.0499999999999998</v>
      </c>
      <c r="Y340" s="9">
        <f>IF(AND(V340="DI",$W340=100),$X340/100,
IF(AND(V340="DI",$W340&lt;&gt;100,$X340=""),INDEX('Debs %CDI'!$Q:$Q,MATCH(Base!$C340,'Debs %CDI'!$A:$A,0)),
IF($V340="USD",INDEX(Bonds!$AF:$AF,MATCH(Base!$C340,Bonds!$B:$B,0)),
IF($V340="IPCA",INDEX('Debs IPCA'!$Z:$Z,MATCH(Base!$C340,'Debs IPCA'!$A:$A,0))))))</f>
        <v>2.0499999999999997E-2</v>
      </c>
      <c r="Z340" s="43">
        <v>252</v>
      </c>
      <c r="AA340" s="43" t="s">
        <v>30</v>
      </c>
      <c r="AB340" s="43" t="s">
        <v>32</v>
      </c>
      <c r="AC340">
        <f t="shared" si="90"/>
        <v>0</v>
      </c>
      <c r="AD340" s="43" t="s">
        <v>31</v>
      </c>
      <c r="AE340">
        <f t="shared" si="91"/>
        <v>1</v>
      </c>
      <c r="AF340" s="34" t="str" cm="1">
        <f t="array" ref="AF340">INDEX(Ratings!$B$2:$M$40,_xlfn.XMATCH(Base!F340,Ratings!$A$2:$A$40),_xlfn.XMATCH(YEAR(Base!K340),Ratings!$B$1:$M$1))</f>
        <v>NR</v>
      </c>
      <c r="AG340">
        <f t="shared" si="96"/>
        <v>0</v>
      </c>
      <c r="AH340">
        <f>IFERROR(IFERROR(IFERROR(INDEX('EMBI+'!$B:$B,MATCH(Base!$K340,'EMBI+'!$A:$A,0)),INDEX('EMBI+'!$B:$B,MATCH(Base!$K340+1,'EMBI+'!$A:$A,0))),INDEX('EMBI+'!$B:$B,MATCH(Base!$K340+2,'EMBI+'!$A:$A,0))),INDEX('EMBI+'!$B:$B,MATCH(Base!$K340+3,'EMBI+'!$A:$A,0)))/100</f>
        <v>2.74</v>
      </c>
      <c r="AL340" s="43"/>
      <c r="AM340" s="28"/>
      <c r="AN340" s="28"/>
    </row>
    <row r="341" spans="1:40" x14ac:dyDescent="0.35">
      <c r="A341">
        <f t="shared" si="97"/>
        <v>339</v>
      </c>
      <c r="B341">
        <f>IF(G341="Bonds",COUNTIF($G$3:G341,"Bonds"),0)</f>
        <v>0</v>
      </c>
      <c r="C341" t="str">
        <f t="shared" si="99"/>
        <v>Movida4364345500</v>
      </c>
      <c r="D341">
        <f t="shared" si="100"/>
        <v>26</v>
      </c>
      <c r="E341" s="43" t="s">
        <v>411</v>
      </c>
      <c r="F341" s="43" t="s">
        <v>398</v>
      </c>
      <c r="G341" s="43" t="s">
        <v>25</v>
      </c>
      <c r="H341">
        <f t="shared" si="86"/>
        <v>0</v>
      </c>
      <c r="I341" s="43" t="s">
        <v>422</v>
      </c>
      <c r="J341" s="34">
        <f t="shared" si="101"/>
        <v>25</v>
      </c>
      <c r="K341" s="28">
        <v>43643</v>
      </c>
      <c r="L341" s="28">
        <v>45500</v>
      </c>
      <c r="M341" s="60">
        <f t="shared" si="88"/>
        <v>5.087671232876712</v>
      </c>
      <c r="N341" s="4">
        <f t="shared" si="89"/>
        <v>1</v>
      </c>
      <c r="O341" s="43" t="s">
        <v>44</v>
      </c>
      <c r="P341" t="str">
        <f t="shared" si="92"/>
        <v>0</v>
      </c>
      <c r="Q341" s="44">
        <v>166450</v>
      </c>
      <c r="R341" s="43">
        <v>1000</v>
      </c>
      <c r="S341" s="34" t="str">
        <f>IF($V341="USD",INDEX('Dólar Spot'!$B:$B,MATCH(Base!$K341,'Dólar Spot'!$A:$A,0)),"")</f>
        <v/>
      </c>
      <c r="T341" s="4">
        <f t="shared" si="95"/>
        <v>166450000</v>
      </c>
      <c r="U341" s="8">
        <f t="shared" si="93"/>
        <v>1.6645000000000001</v>
      </c>
      <c r="V341" s="43" t="s">
        <v>41</v>
      </c>
      <c r="W341" s="45">
        <v>100</v>
      </c>
      <c r="X341" s="46">
        <v>1.6</v>
      </c>
      <c r="Y341" s="9">
        <f>IF(AND(V341="DI",$W341=100),$X341/100,
IF(AND(V341="DI",$W341&lt;&gt;100,$X341=""),INDEX('Debs %CDI'!$Q:$Q,MATCH(Base!$C341,'Debs %CDI'!$A:$A,0)),
IF($V341="USD",INDEX(Bonds!$AF:$AF,MATCH(Base!$C341,Bonds!$B:$B,0)),
IF($V341="IPCA",INDEX('Debs IPCA'!$Z:$Z,MATCH(Base!$C341,'Debs IPCA'!$A:$A,0))))))</f>
        <v>1.6E-2</v>
      </c>
      <c r="Z341" s="43">
        <v>252</v>
      </c>
      <c r="AA341" s="43" t="s">
        <v>30</v>
      </c>
      <c r="AB341" s="43" t="s">
        <v>32</v>
      </c>
      <c r="AC341">
        <f t="shared" si="90"/>
        <v>0</v>
      </c>
      <c r="AD341" s="43" t="s">
        <v>31</v>
      </c>
      <c r="AE341">
        <f t="shared" si="91"/>
        <v>1</v>
      </c>
      <c r="AF341" s="34" t="str" cm="1">
        <f t="array" ref="AF341">INDEX(Ratings!$B$2:$M$40,_xlfn.XMATCH(Base!F341,Ratings!$A$2:$A$40),_xlfn.XMATCH(YEAR(Base!K341),Ratings!$B$1:$M$1))</f>
        <v>NR</v>
      </c>
      <c r="AG341">
        <f t="shared" si="96"/>
        <v>0</v>
      </c>
      <c r="AH341">
        <f>IFERROR(IFERROR(IFERROR(INDEX('EMBI+'!$B:$B,MATCH(Base!$K341,'EMBI+'!$A:$A,0)),INDEX('EMBI+'!$B:$B,MATCH(Base!$K341+1,'EMBI+'!$A:$A,0))),INDEX('EMBI+'!$B:$B,MATCH(Base!$K341+2,'EMBI+'!$A:$A,0))),INDEX('EMBI+'!$B:$B,MATCH(Base!$K341+3,'EMBI+'!$A:$A,0)))/100</f>
        <v>2.42</v>
      </c>
      <c r="AL341" s="43"/>
      <c r="AM341" s="28"/>
      <c r="AN341" s="28"/>
    </row>
    <row r="342" spans="1:40" x14ac:dyDescent="0.35">
      <c r="A342">
        <f t="shared" si="97"/>
        <v>340</v>
      </c>
      <c r="B342">
        <f>IF(G342="Bonds",COUNTIF($G$3:G342,"Bonds"),0)</f>
        <v>0</v>
      </c>
      <c r="C342" t="str">
        <f t="shared" si="99"/>
        <v>Movida4411945945</v>
      </c>
      <c r="D342">
        <f t="shared" si="100"/>
        <v>26</v>
      </c>
      <c r="E342" s="43" t="s">
        <v>411</v>
      </c>
      <c r="F342" s="43" t="s">
        <v>398</v>
      </c>
      <c r="G342" s="43" t="s">
        <v>25</v>
      </c>
      <c r="H342">
        <f t="shared" si="86"/>
        <v>0</v>
      </c>
      <c r="I342" s="43" t="s">
        <v>423</v>
      </c>
      <c r="J342" s="34">
        <f t="shared" si="101"/>
        <v>26</v>
      </c>
      <c r="K342" s="28">
        <v>44119</v>
      </c>
      <c r="L342" s="28">
        <v>45945</v>
      </c>
      <c r="M342" s="60">
        <f t="shared" si="88"/>
        <v>5.0027397260273974</v>
      </c>
      <c r="N342" s="4">
        <f t="shared" si="89"/>
        <v>1</v>
      </c>
      <c r="O342" s="43" t="s">
        <v>44</v>
      </c>
      <c r="P342" t="str">
        <f t="shared" si="92"/>
        <v>0</v>
      </c>
      <c r="Q342" s="44">
        <v>350000</v>
      </c>
      <c r="R342" s="43">
        <v>1000</v>
      </c>
      <c r="S342" s="34" t="str">
        <f>IF($V342="USD",INDEX('Dólar Spot'!$B:$B,MATCH(Base!$K342,'Dólar Spot'!$A:$A,0)),"")</f>
        <v/>
      </c>
      <c r="T342" s="4">
        <f t="shared" si="95"/>
        <v>350000000</v>
      </c>
      <c r="U342" s="8">
        <f t="shared" si="93"/>
        <v>3.5</v>
      </c>
      <c r="V342" s="43" t="s">
        <v>41</v>
      </c>
      <c r="W342" s="45">
        <v>100</v>
      </c>
      <c r="X342" s="46">
        <v>2.95</v>
      </c>
      <c r="Y342" s="9">
        <f>IF(AND(V342="DI",$W342=100),$X342/100,
IF(AND(V342="DI",$W342&lt;&gt;100,$X342=""),INDEX('Debs %CDI'!$Q:$Q,MATCH(Base!$C342,'Debs %CDI'!$A:$A,0)),
IF($V342="USD",INDEX(Bonds!$AF:$AF,MATCH(Base!$C342,Bonds!$B:$B,0)),
IF($V342="IPCA",INDEX('Debs IPCA'!$Z:$Z,MATCH(Base!$C342,'Debs IPCA'!$A:$A,0))))))</f>
        <v>2.9500000000000002E-2</v>
      </c>
      <c r="Z342" s="43">
        <v>252</v>
      </c>
      <c r="AA342" s="43" t="s">
        <v>30</v>
      </c>
      <c r="AB342" s="43" t="s">
        <v>32</v>
      </c>
      <c r="AC342">
        <f t="shared" si="90"/>
        <v>0</v>
      </c>
      <c r="AD342" s="43" t="s">
        <v>31</v>
      </c>
      <c r="AE342">
        <f t="shared" si="91"/>
        <v>1</v>
      </c>
      <c r="AF342" s="34" t="str" cm="1">
        <f t="array" ref="AF342">INDEX(Ratings!$B$2:$M$40,_xlfn.XMATCH(Base!F342,Ratings!$A$2:$A$40),_xlfn.XMATCH(YEAR(Base!K342),Ratings!$B$1:$M$1))</f>
        <v>NR</v>
      </c>
      <c r="AG342">
        <f t="shared" si="96"/>
        <v>0</v>
      </c>
      <c r="AH342">
        <f>IFERROR(IFERROR(IFERROR(INDEX('EMBI+'!$B:$B,MATCH(Base!$K342,'EMBI+'!$A:$A,0)),INDEX('EMBI+'!$B:$B,MATCH(Base!$K342+1,'EMBI+'!$A:$A,0))),INDEX('EMBI+'!$B:$B,MATCH(Base!$K342+2,'EMBI+'!$A:$A,0))),INDEX('EMBI+'!$B:$B,MATCH(Base!$K342+3,'EMBI+'!$A:$A,0)))/100</f>
        <v>3.1</v>
      </c>
      <c r="AL342" s="43"/>
      <c r="AM342" s="28"/>
      <c r="AN342" s="28"/>
    </row>
    <row r="343" spans="1:40" x14ac:dyDescent="0.35">
      <c r="A343">
        <f t="shared" si="97"/>
        <v>341</v>
      </c>
      <c r="B343">
        <f>IF(G343="Bonds",COUNTIF($G$3:G343,"Bonds"),0)</f>
        <v>0</v>
      </c>
      <c r="C343" t="str">
        <f t="shared" si="99"/>
        <v>Movida4445447376</v>
      </c>
      <c r="D343">
        <f t="shared" si="100"/>
        <v>26</v>
      </c>
      <c r="E343" s="43" t="s">
        <v>411</v>
      </c>
      <c r="F343" s="43" t="s">
        <v>398</v>
      </c>
      <c r="G343" s="43" t="s">
        <v>25</v>
      </c>
      <c r="H343">
        <f t="shared" si="86"/>
        <v>0</v>
      </c>
      <c r="I343" s="43" t="s">
        <v>424</v>
      </c>
      <c r="J343" s="34">
        <f t="shared" si="101"/>
        <v>27</v>
      </c>
      <c r="K343" s="28">
        <v>44454</v>
      </c>
      <c r="L343" s="28">
        <v>47376</v>
      </c>
      <c r="M343" s="60">
        <f t="shared" si="88"/>
        <v>8.0054794520547947</v>
      </c>
      <c r="N343" s="4">
        <f t="shared" si="89"/>
        <v>1</v>
      </c>
      <c r="O343" s="43" t="s">
        <v>44</v>
      </c>
      <c r="P343" t="str">
        <f t="shared" si="92"/>
        <v>0</v>
      </c>
      <c r="Q343" s="44">
        <v>250000</v>
      </c>
      <c r="R343" s="43">
        <v>1000</v>
      </c>
      <c r="S343" s="34" t="str">
        <f>IF($V343="USD",INDEX('Dólar Spot'!$B:$B,MATCH(Base!$K343,'Dólar Spot'!$A:$A,0)),"")</f>
        <v/>
      </c>
      <c r="T343" s="4">
        <f t="shared" si="95"/>
        <v>250000000</v>
      </c>
      <c r="U343" s="8">
        <f t="shared" si="93"/>
        <v>2.5</v>
      </c>
      <c r="V343" s="43" t="s">
        <v>41</v>
      </c>
      <c r="W343" s="45">
        <v>100</v>
      </c>
      <c r="X343" s="46">
        <v>2.9</v>
      </c>
      <c r="Y343" s="9">
        <f>IF(AND(V343="DI",$W343=100),$X343/100,
IF(AND(V343="DI",$W343&lt;&gt;100,$X343=""),INDEX('Debs %CDI'!$Q:$Q,MATCH(Base!$C343,'Debs %CDI'!$A:$A,0)),
IF($V343="USD",INDEX(Bonds!$AF:$AF,MATCH(Base!$C343,Bonds!$B:$B,0)),
IF($V343="IPCA",INDEX('Debs IPCA'!$Z:$Z,MATCH(Base!$C343,'Debs IPCA'!$A:$A,0))))))</f>
        <v>2.8999999999999998E-2</v>
      </c>
      <c r="Z343" s="43">
        <v>252</v>
      </c>
      <c r="AA343" s="43" t="s">
        <v>30</v>
      </c>
      <c r="AB343" s="43" t="s">
        <v>32</v>
      </c>
      <c r="AC343">
        <f t="shared" si="90"/>
        <v>0</v>
      </c>
      <c r="AD343" s="43" t="s">
        <v>31</v>
      </c>
      <c r="AE343">
        <f t="shared" si="91"/>
        <v>1</v>
      </c>
      <c r="AF343" s="34" t="str" cm="1">
        <f t="array" ref="AF343">INDEX(Ratings!$B$2:$M$40,_xlfn.XMATCH(Base!F343,Ratings!$A$2:$A$40),_xlfn.XMATCH(YEAR(Base!K343),Ratings!$B$1:$M$1))</f>
        <v>BB-</v>
      </c>
      <c r="AG343">
        <f t="shared" si="96"/>
        <v>0</v>
      </c>
      <c r="AH343">
        <f>IFERROR(IFERROR(IFERROR(INDEX('EMBI+'!$B:$B,MATCH(Base!$K343,'EMBI+'!$A:$A,0)),INDEX('EMBI+'!$B:$B,MATCH(Base!$K343+1,'EMBI+'!$A:$A,0))),INDEX('EMBI+'!$B:$B,MATCH(Base!$K343+2,'EMBI+'!$A:$A,0))),INDEX('EMBI+'!$B:$B,MATCH(Base!$K343+3,'EMBI+'!$A:$A,0)))/100</f>
        <v>3.14</v>
      </c>
      <c r="AL343" s="43"/>
      <c r="AM343" s="28"/>
      <c r="AN343" s="28"/>
    </row>
    <row r="344" spans="1:40" x14ac:dyDescent="0.35">
      <c r="A344">
        <f t="shared" si="97"/>
        <v>342</v>
      </c>
      <c r="B344">
        <f>IF(G344="Bonds",COUNTIF($G$3:G344,"Bonds"),0)</f>
        <v>0</v>
      </c>
      <c r="C344" t="str">
        <f t="shared" si="99"/>
        <v>Movida4325845084</v>
      </c>
      <c r="D344">
        <f t="shared" si="100"/>
        <v>26</v>
      </c>
      <c r="E344" s="43" t="s">
        <v>411</v>
      </c>
      <c r="F344" s="43" t="s">
        <v>398</v>
      </c>
      <c r="G344" s="43" t="s">
        <v>25</v>
      </c>
      <c r="H344">
        <f t="shared" si="86"/>
        <v>0</v>
      </c>
      <c r="I344" s="43" t="s">
        <v>425</v>
      </c>
      <c r="J344" s="34">
        <f t="shared" si="101"/>
        <v>28</v>
      </c>
      <c r="K344" s="28">
        <v>43258</v>
      </c>
      <c r="L344" s="28">
        <v>45084</v>
      </c>
      <c r="M344" s="60">
        <f t="shared" si="88"/>
        <v>5.0027397260273974</v>
      </c>
      <c r="N344" s="4">
        <f t="shared" si="89"/>
        <v>1</v>
      </c>
      <c r="O344" s="43" t="s">
        <v>44</v>
      </c>
      <c r="P344" t="str">
        <f t="shared" si="92"/>
        <v>0</v>
      </c>
      <c r="Q344" s="44">
        <v>13025</v>
      </c>
      <c r="R344" s="43">
        <v>10000</v>
      </c>
      <c r="S344" s="34" t="str">
        <f>IF($V344="USD",INDEX('Dólar Spot'!$B:$B,MATCH(Base!$K344,'Dólar Spot'!$A:$A,0)),"")</f>
        <v/>
      </c>
      <c r="T344" s="4">
        <f t="shared" si="95"/>
        <v>130250000</v>
      </c>
      <c r="U344" s="8">
        <f t="shared" si="93"/>
        <v>1.3025</v>
      </c>
      <c r="V344" s="43" t="s">
        <v>41</v>
      </c>
      <c r="W344" s="45">
        <v>100</v>
      </c>
      <c r="X344" s="46">
        <v>2</v>
      </c>
      <c r="Y344" s="9">
        <f>IF(AND(V344="DI",$W344=100),$X344/100,
IF(AND(V344="DI",$W344&lt;&gt;100,$X344=""),INDEX('Debs %CDI'!$Q:$Q,MATCH(Base!$C344,'Debs %CDI'!$A:$A,0)),
IF($V344="USD",INDEX(Bonds!$AF:$AF,MATCH(Base!$C344,Bonds!$B:$B,0)),
IF($V344="IPCA",INDEX('Debs IPCA'!$Z:$Z,MATCH(Base!$C344,'Debs IPCA'!$A:$A,0))))))</f>
        <v>0.02</v>
      </c>
      <c r="Z344" s="43">
        <v>252</v>
      </c>
      <c r="AA344" s="43" t="s">
        <v>30</v>
      </c>
      <c r="AB344" s="43" t="s">
        <v>32</v>
      </c>
      <c r="AC344">
        <f t="shared" si="90"/>
        <v>0</v>
      </c>
      <c r="AD344" s="43" t="s">
        <v>31</v>
      </c>
      <c r="AE344">
        <f t="shared" si="91"/>
        <v>1</v>
      </c>
      <c r="AF344" s="34" t="str" cm="1">
        <f t="array" ref="AF344">INDEX(Ratings!$B$2:$M$40,_xlfn.XMATCH(Base!F344,Ratings!$A$2:$A$40),_xlfn.XMATCH(YEAR(Base!K344),Ratings!$B$1:$M$1))</f>
        <v>NR</v>
      </c>
      <c r="AG344">
        <f t="shared" si="96"/>
        <v>0</v>
      </c>
      <c r="AH344">
        <f>IFERROR(IFERROR(IFERROR(INDEX('EMBI+'!$B:$B,MATCH(Base!$K344,'EMBI+'!$A:$A,0)),INDEX('EMBI+'!$B:$B,MATCH(Base!$K344+1,'EMBI+'!$A:$A,0))),INDEX('EMBI+'!$B:$B,MATCH(Base!$K344+2,'EMBI+'!$A:$A,0))),INDEX('EMBI+'!$B:$B,MATCH(Base!$K344+3,'EMBI+'!$A:$A,0)))/100</f>
        <v>3.3</v>
      </c>
      <c r="AL344" s="43"/>
      <c r="AM344" s="28"/>
      <c r="AN344" s="28"/>
    </row>
    <row r="345" spans="1:40" x14ac:dyDescent="0.35">
      <c r="A345">
        <f t="shared" si="97"/>
        <v>343</v>
      </c>
      <c r="B345">
        <f>IF(G345="Bonds",COUNTIF($G$3:G345,"Bonds"),0)</f>
        <v>0</v>
      </c>
      <c r="C345" t="str">
        <f t="shared" si="99"/>
        <v>Movida4344145450</v>
      </c>
      <c r="D345">
        <f t="shared" si="100"/>
        <v>26</v>
      </c>
      <c r="E345" s="43" t="s">
        <v>411</v>
      </c>
      <c r="F345" s="43" t="s">
        <v>398</v>
      </c>
      <c r="G345" s="43" t="s">
        <v>25</v>
      </c>
      <c r="H345">
        <f t="shared" si="86"/>
        <v>0</v>
      </c>
      <c r="I345" s="43" t="s">
        <v>426</v>
      </c>
      <c r="J345" s="34">
        <f t="shared" si="101"/>
        <v>29</v>
      </c>
      <c r="K345" s="28">
        <v>43441</v>
      </c>
      <c r="L345" s="28">
        <v>45450</v>
      </c>
      <c r="M345" s="60">
        <f t="shared" si="88"/>
        <v>5.5041095890410956</v>
      </c>
      <c r="N345" s="4">
        <f t="shared" si="89"/>
        <v>1</v>
      </c>
      <c r="O345" s="43" t="s">
        <v>44</v>
      </c>
      <c r="P345" t="str">
        <f t="shared" si="92"/>
        <v>0</v>
      </c>
      <c r="Q345" s="44">
        <v>247410</v>
      </c>
      <c r="R345" s="43">
        <v>1000</v>
      </c>
      <c r="S345" s="34" t="str">
        <f>IF($V345="USD",INDEX('Dólar Spot'!$B:$B,MATCH(Base!$K345,'Dólar Spot'!$A:$A,0)),"")</f>
        <v/>
      </c>
      <c r="T345" s="4">
        <f t="shared" si="95"/>
        <v>247410000</v>
      </c>
      <c r="U345" s="8">
        <f t="shared" si="93"/>
        <v>2.4741</v>
      </c>
      <c r="V345" s="43" t="s">
        <v>41</v>
      </c>
      <c r="W345" s="45">
        <v>100</v>
      </c>
      <c r="X345" s="46">
        <v>2.0499999999999998</v>
      </c>
      <c r="Y345" s="9">
        <f>IF(AND(V345="DI",$W345=100),$X345/100,
IF(AND(V345="DI",$W345&lt;&gt;100,$X345=""),INDEX('Debs %CDI'!$Q:$Q,MATCH(Base!$C345,'Debs %CDI'!$A:$A,0)),
IF($V345="USD",INDEX(Bonds!$AF:$AF,MATCH(Base!$C345,Bonds!$B:$B,0)),
IF($V345="IPCA",INDEX('Debs IPCA'!$Z:$Z,MATCH(Base!$C345,'Debs IPCA'!$A:$A,0))))))</f>
        <v>2.0499999999999997E-2</v>
      </c>
      <c r="Z345" s="43">
        <v>252</v>
      </c>
      <c r="AA345" s="43" t="s">
        <v>30</v>
      </c>
      <c r="AB345" s="43" t="s">
        <v>32</v>
      </c>
      <c r="AC345">
        <f t="shared" si="90"/>
        <v>0</v>
      </c>
      <c r="AD345" s="43" t="s">
        <v>31</v>
      </c>
      <c r="AE345">
        <f t="shared" si="91"/>
        <v>1</v>
      </c>
      <c r="AF345" s="34" t="str" cm="1">
        <f t="array" ref="AF345">INDEX(Ratings!$B$2:$M$40,_xlfn.XMATCH(Base!F345,Ratings!$A$2:$A$40),_xlfn.XMATCH(YEAR(Base!K345),Ratings!$B$1:$M$1))</f>
        <v>NR</v>
      </c>
      <c r="AG345">
        <f t="shared" si="96"/>
        <v>0</v>
      </c>
      <c r="AH345">
        <f>IFERROR(IFERROR(IFERROR(INDEX('EMBI+'!$B:$B,MATCH(Base!$K345,'EMBI+'!$A:$A,0)),INDEX('EMBI+'!$B:$B,MATCH(Base!$K345+1,'EMBI+'!$A:$A,0))),INDEX('EMBI+'!$B:$B,MATCH(Base!$K345+2,'EMBI+'!$A:$A,0))),INDEX('EMBI+'!$B:$B,MATCH(Base!$K345+3,'EMBI+'!$A:$A,0)))/100</f>
        <v>2.74</v>
      </c>
      <c r="AL345" s="43"/>
      <c r="AM345" s="28"/>
      <c r="AN345" s="28"/>
    </row>
    <row r="346" spans="1:40" x14ac:dyDescent="0.35">
      <c r="A346">
        <f t="shared" si="97"/>
        <v>344</v>
      </c>
      <c r="B346">
        <f>IF(G346="Bonds",COUNTIF($G$3:G346,"Bonds"),0)</f>
        <v>0</v>
      </c>
      <c r="C346" t="str">
        <f t="shared" si="99"/>
        <v>Movida4364346595</v>
      </c>
      <c r="D346">
        <f t="shared" si="100"/>
        <v>26</v>
      </c>
      <c r="E346" s="43" t="s">
        <v>411</v>
      </c>
      <c r="F346" s="43" t="s">
        <v>398</v>
      </c>
      <c r="G346" s="43" t="s">
        <v>25</v>
      </c>
      <c r="H346">
        <f t="shared" si="86"/>
        <v>0</v>
      </c>
      <c r="I346" s="43" t="s">
        <v>427</v>
      </c>
      <c r="J346" s="34">
        <f t="shared" si="101"/>
        <v>30</v>
      </c>
      <c r="K346" s="28">
        <v>43643</v>
      </c>
      <c r="L346" s="28">
        <v>46595</v>
      </c>
      <c r="M346" s="60">
        <f t="shared" si="88"/>
        <v>8.087671232876712</v>
      </c>
      <c r="N346" s="4">
        <f t="shared" si="89"/>
        <v>1</v>
      </c>
      <c r="O346" s="43" t="s">
        <v>44</v>
      </c>
      <c r="P346" t="str">
        <f t="shared" si="92"/>
        <v>0</v>
      </c>
      <c r="Q346" s="44">
        <v>283550</v>
      </c>
      <c r="R346" s="43">
        <v>1000</v>
      </c>
      <c r="S346" s="34" t="str">
        <f>IF($V346="USD",INDEX('Dólar Spot'!$B:$B,MATCH(Base!$K346,'Dólar Spot'!$A:$A,0)),"")</f>
        <v/>
      </c>
      <c r="T346" s="4">
        <f t="shared" si="95"/>
        <v>283550000</v>
      </c>
      <c r="U346" s="8">
        <f t="shared" si="93"/>
        <v>2.8355000000000001</v>
      </c>
      <c r="V346" s="43" t="s">
        <v>41</v>
      </c>
      <c r="W346" s="45">
        <v>100</v>
      </c>
      <c r="X346" s="46">
        <v>2.0499999999999998</v>
      </c>
      <c r="Y346" s="9">
        <f>IF(AND(V346="DI",$W346=100),$X346/100,
IF(AND(V346="DI",$W346&lt;&gt;100,$X346=""),INDEX('Debs %CDI'!$Q:$Q,MATCH(Base!$C346,'Debs %CDI'!$A:$A,0)),
IF($V346="USD",INDEX(Bonds!$AF:$AF,MATCH(Base!$C346,Bonds!$B:$B,0)),
IF($V346="IPCA",INDEX('Debs IPCA'!$Z:$Z,MATCH(Base!$C346,'Debs IPCA'!$A:$A,0))))))</f>
        <v>2.0499999999999997E-2</v>
      </c>
      <c r="Z346" s="43">
        <v>252</v>
      </c>
      <c r="AA346" s="43" t="s">
        <v>30</v>
      </c>
      <c r="AB346" s="43" t="s">
        <v>32</v>
      </c>
      <c r="AC346">
        <f t="shared" si="90"/>
        <v>0</v>
      </c>
      <c r="AD346" s="43" t="s">
        <v>31</v>
      </c>
      <c r="AE346">
        <f t="shared" si="91"/>
        <v>1</v>
      </c>
      <c r="AF346" s="34" t="str" cm="1">
        <f t="array" ref="AF346">INDEX(Ratings!$B$2:$M$40,_xlfn.XMATCH(Base!F346,Ratings!$A$2:$A$40),_xlfn.XMATCH(YEAR(Base!K346),Ratings!$B$1:$M$1))</f>
        <v>NR</v>
      </c>
      <c r="AG346">
        <f t="shared" si="96"/>
        <v>0</v>
      </c>
      <c r="AH346">
        <f>IFERROR(IFERROR(IFERROR(INDEX('EMBI+'!$B:$B,MATCH(Base!$K346,'EMBI+'!$A:$A,0)),INDEX('EMBI+'!$B:$B,MATCH(Base!$K346+1,'EMBI+'!$A:$A,0))),INDEX('EMBI+'!$B:$B,MATCH(Base!$K346+2,'EMBI+'!$A:$A,0))),INDEX('EMBI+'!$B:$B,MATCH(Base!$K346+3,'EMBI+'!$A:$A,0)))/100</f>
        <v>2.42</v>
      </c>
      <c r="AL346" s="43"/>
      <c r="AM346" s="28"/>
      <c r="AN346" s="28"/>
    </row>
    <row r="347" spans="1:40" x14ac:dyDescent="0.35">
      <c r="A347">
        <f t="shared" si="97"/>
        <v>345</v>
      </c>
      <c r="B347">
        <f>IF(G347="Bonds",COUNTIF($G$3:G347,"Bonds"),0)</f>
        <v>0</v>
      </c>
      <c r="C347" t="str">
        <f t="shared" si="99"/>
        <v>Movida4445448106</v>
      </c>
      <c r="D347">
        <f t="shared" si="100"/>
        <v>26</v>
      </c>
      <c r="E347" s="43" t="s">
        <v>411</v>
      </c>
      <c r="F347" s="43" t="s">
        <v>398</v>
      </c>
      <c r="G347" s="43" t="s">
        <v>25</v>
      </c>
      <c r="H347">
        <f t="shared" ref="H347:H415" si="102">IF(G347="Bonds",1,0)</f>
        <v>0</v>
      </c>
      <c r="I347" s="43" t="s">
        <v>428</v>
      </c>
      <c r="J347" s="34">
        <f t="shared" si="101"/>
        <v>31</v>
      </c>
      <c r="K347" s="28">
        <v>44454</v>
      </c>
      <c r="L347" s="28">
        <v>48106</v>
      </c>
      <c r="M347" s="60">
        <f t="shared" ref="M347:M415" si="103">(L347-K347)/365</f>
        <v>10.005479452054795</v>
      </c>
      <c r="N347" s="4">
        <f t="shared" ref="N347:N415" si="104">IF(M347&gt;5,1,0)</f>
        <v>1</v>
      </c>
      <c r="O347" s="43" t="s">
        <v>44</v>
      </c>
      <c r="P347" t="str">
        <f t="shared" si="92"/>
        <v>0</v>
      </c>
      <c r="Q347" s="44">
        <v>350000</v>
      </c>
      <c r="R347" s="43">
        <v>1000</v>
      </c>
      <c r="S347" s="34" t="str">
        <f>IF($V347="USD",INDEX('Dólar Spot'!$B:$B,MATCH(Base!$K347,'Dólar Spot'!$A:$A,0)),"")</f>
        <v/>
      </c>
      <c r="T347" s="4">
        <f t="shared" si="95"/>
        <v>350000000</v>
      </c>
      <c r="U347" s="8">
        <f t="shared" si="93"/>
        <v>3.5</v>
      </c>
      <c r="V347" s="43" t="s">
        <v>28</v>
      </c>
      <c r="W347" s="45" t="s">
        <v>29</v>
      </c>
      <c r="X347" s="46">
        <v>7.6365999999999996</v>
      </c>
      <c r="Y347" s="9">
        <f>IF(AND(V347="DI",$W347=100),$X347/100,
IF(AND(V347="DI",$W347&lt;&gt;100,$X347=""),INDEX('Debs %CDI'!$Q:$Q,MATCH(Base!$C347,'Debs %CDI'!$A:$A,0)),
IF($V347="USD",INDEX(Bonds!$AF:$AF,MATCH(Base!$C347,Bonds!$B:$B,0)),
IF($V347="IPCA",INDEX('Debs IPCA'!$Z:$Z,MATCH(Base!$C347,'Debs IPCA'!$A:$A,0))))))</f>
        <v>3.1143363457532436E-2</v>
      </c>
      <c r="Z347" s="43">
        <v>252</v>
      </c>
      <c r="AA347" s="43" t="s">
        <v>30</v>
      </c>
      <c r="AB347" s="43" t="s">
        <v>32</v>
      </c>
      <c r="AC347">
        <f t="shared" ref="AC347:AC415" si="105">IF(AB347="S",1,0)</f>
        <v>0</v>
      </c>
      <c r="AD347" s="43" t="s">
        <v>31</v>
      </c>
      <c r="AE347">
        <f t="shared" ref="AE347:AE415" si="106">IF(OR(AD347="N",AD347="AT MATURITY"),0,1)</f>
        <v>1</v>
      </c>
      <c r="AF347" s="34" t="str" cm="1">
        <f t="array" ref="AF347">INDEX(Ratings!$B$2:$M$40,_xlfn.XMATCH(Base!F347,Ratings!$A$2:$A$40),_xlfn.XMATCH(YEAR(Base!K347),Ratings!$B$1:$M$1))</f>
        <v>BB-</v>
      </c>
      <c r="AG347">
        <f t="shared" si="96"/>
        <v>0</v>
      </c>
      <c r="AH347">
        <f>IFERROR(IFERROR(IFERROR(INDEX('EMBI+'!$B:$B,MATCH(Base!$K347,'EMBI+'!$A:$A,0)),INDEX('EMBI+'!$B:$B,MATCH(Base!$K347+1,'EMBI+'!$A:$A,0))),INDEX('EMBI+'!$B:$B,MATCH(Base!$K347+2,'EMBI+'!$A:$A,0))),INDEX('EMBI+'!$B:$B,MATCH(Base!$K347+3,'EMBI+'!$A:$A,0)))/100</f>
        <v>3.14</v>
      </c>
      <c r="AL347" s="43"/>
      <c r="AM347" s="28"/>
      <c r="AN347" s="28"/>
    </row>
    <row r="348" spans="1:40" x14ac:dyDescent="0.35">
      <c r="A348">
        <f t="shared" si="97"/>
        <v>346</v>
      </c>
      <c r="B348">
        <f>IF(G348="Bonds",COUNTIF($G$3:G348,"Bonds"),0)</f>
        <v>0</v>
      </c>
      <c r="C348" t="str">
        <f t="shared" si="99"/>
        <v>Movida4472747284</v>
      </c>
      <c r="D348">
        <f t="shared" si="100"/>
        <v>26</v>
      </c>
      <c r="E348" s="43" t="s">
        <v>411</v>
      </c>
      <c r="F348" s="43" t="s">
        <v>398</v>
      </c>
      <c r="G348" s="43" t="s">
        <v>25</v>
      </c>
      <c r="H348">
        <f t="shared" si="102"/>
        <v>0</v>
      </c>
      <c r="I348" s="43" t="s">
        <v>851</v>
      </c>
      <c r="J348" s="34">
        <f t="shared" si="101"/>
        <v>32</v>
      </c>
      <c r="K348" s="28">
        <v>44727</v>
      </c>
      <c r="L348" s="28">
        <v>47284</v>
      </c>
      <c r="M348" s="60">
        <f t="shared" si="103"/>
        <v>7.0054794520547947</v>
      </c>
      <c r="N348" s="4">
        <f t="shared" si="104"/>
        <v>1</v>
      </c>
      <c r="O348" s="43" t="s">
        <v>44</v>
      </c>
      <c r="P348" t="str">
        <f t="shared" ref="P348:P350" si="107">IF(OR(O348="Real",O348="Flutuante",O348="SR SECURED"),"1","0")</f>
        <v>0</v>
      </c>
      <c r="Q348" s="44">
        <v>408169</v>
      </c>
      <c r="R348" s="43">
        <v>1000</v>
      </c>
      <c r="S348" s="34" t="str">
        <f>IF($V348="USD",INDEX('Dólar Spot'!$B:$B,MATCH(Base!$K348,'Dólar Spot'!$A:$A,0)),"")</f>
        <v/>
      </c>
      <c r="T348" s="4">
        <f t="shared" si="95"/>
        <v>408169000</v>
      </c>
      <c r="U348" s="8">
        <f t="shared" ref="U348:U350" si="108">IF(V348="USD",T348*S348/100000000,Q348*R348/100000000)</f>
        <v>4.08169</v>
      </c>
      <c r="V348" s="43" t="s">
        <v>28</v>
      </c>
      <c r="W348" s="45" t="s">
        <v>874</v>
      </c>
      <c r="X348" s="46">
        <v>8.0525000000000002</v>
      </c>
      <c r="Y348" s="9">
        <f>IF(AND(V348="DI",$W348=100),$X348/100,
IF(AND(V348="DI",$W348&lt;&gt;100,$X348=""),INDEX('Debs %CDI'!$Q:$Q,MATCH(Base!$C348,'Debs %CDI'!$A:$A,0)),
IF($V348="USD",INDEX(Bonds!$AF:$AF,MATCH(Base!$C348,Bonds!$B:$B,0)),
IF($V348="IPCA",INDEX('Debs IPCA'!$Z:$Z,MATCH(Base!$C348,'Debs IPCA'!$A:$A,0))))))</f>
        <v>2.4848211519804098E-2</v>
      </c>
      <c r="Z348" s="43">
        <v>252</v>
      </c>
      <c r="AA348" s="43" t="s">
        <v>30</v>
      </c>
      <c r="AB348" s="43" t="s">
        <v>32</v>
      </c>
      <c r="AC348">
        <f t="shared" si="105"/>
        <v>0</v>
      </c>
      <c r="AD348" s="43" t="s">
        <v>31</v>
      </c>
      <c r="AE348">
        <f t="shared" si="106"/>
        <v>1</v>
      </c>
      <c r="AF348" s="34" t="str" cm="1">
        <f t="array" ref="AF348">INDEX(Ratings!$B$2:$M$40,_xlfn.XMATCH(Base!F348,Ratings!$A$2:$A$40),_xlfn.XMATCH(YEAR(Base!K348),Ratings!$B$1:$M$1))</f>
        <v>BB</v>
      </c>
      <c r="AG348">
        <f t="shared" si="96"/>
        <v>0</v>
      </c>
      <c r="AH348">
        <f>IFERROR(IFERROR(IFERROR(INDEX('EMBI+'!$B:$B,MATCH(Base!$K348,'EMBI+'!$A:$A,0)),INDEX('EMBI+'!$B:$B,MATCH(Base!$K348+1,'EMBI+'!$A:$A,0))),INDEX('EMBI+'!$B:$B,MATCH(Base!$K348+2,'EMBI+'!$A:$A,0))),INDEX('EMBI+'!$B:$B,MATCH(Base!$K348+3,'EMBI+'!$A:$A,0)))/100</f>
        <v>3.36</v>
      </c>
      <c r="AL348" s="43"/>
      <c r="AM348" s="28"/>
      <c r="AN348" s="28"/>
    </row>
    <row r="349" spans="1:40" x14ac:dyDescent="0.35">
      <c r="A349">
        <f t="shared" si="97"/>
        <v>347</v>
      </c>
      <c r="B349">
        <f>IF(G349="Bonds",COUNTIF($G$3:G349,"Bonds"),0)</f>
        <v>0</v>
      </c>
      <c r="C349" t="str">
        <f t="shared" si="99"/>
        <v>Movida4481946645</v>
      </c>
      <c r="D349">
        <f t="shared" si="100"/>
        <v>26</v>
      </c>
      <c r="E349" s="43" t="s">
        <v>411</v>
      </c>
      <c r="F349" s="43" t="s">
        <v>398</v>
      </c>
      <c r="G349" s="43" t="s">
        <v>25</v>
      </c>
      <c r="H349">
        <f t="shared" si="102"/>
        <v>0</v>
      </c>
      <c r="I349" s="43" t="s">
        <v>852</v>
      </c>
      <c r="J349" s="34">
        <f t="shared" si="101"/>
        <v>33</v>
      </c>
      <c r="K349" s="28">
        <v>44819</v>
      </c>
      <c r="L349" s="28">
        <v>46645</v>
      </c>
      <c r="M349" s="60">
        <f t="shared" si="103"/>
        <v>5.0027397260273974</v>
      </c>
      <c r="N349" s="4">
        <f t="shared" si="104"/>
        <v>1</v>
      </c>
      <c r="O349" s="43" t="s">
        <v>44</v>
      </c>
      <c r="P349" t="str">
        <f t="shared" si="107"/>
        <v>0</v>
      </c>
      <c r="Q349" s="44">
        <v>1000000</v>
      </c>
      <c r="R349" s="43">
        <v>1000</v>
      </c>
      <c r="S349" s="34" t="str">
        <f>IF($V349="USD",INDEX('Dólar Spot'!$B:$B,MATCH(Base!$K349,'Dólar Spot'!$A:$A,0)),"")</f>
        <v/>
      </c>
      <c r="T349" s="4">
        <f t="shared" si="95"/>
        <v>1000000000</v>
      </c>
      <c r="U349" s="8">
        <f t="shared" si="108"/>
        <v>10</v>
      </c>
      <c r="V349" s="43" t="s">
        <v>41</v>
      </c>
      <c r="W349" s="45">
        <v>100</v>
      </c>
      <c r="X349" s="46">
        <v>2.95</v>
      </c>
      <c r="Y349" s="9">
        <f>IF(AND(V349="DI",$W349=100),$X349/100,
IF(AND(V349="DI",$W349&lt;&gt;100,$X349=""),INDEX('Debs %CDI'!$Q:$Q,MATCH(Base!$C349,'Debs %CDI'!$A:$A,0)),
IF($V349="USD",INDEX(Bonds!$AF:$AF,MATCH(Base!$C349,Bonds!$B:$B,0)),
IF($V349="IPCA",INDEX('Debs IPCA'!$Z:$Z,MATCH(Base!$C349,'Debs IPCA'!$A:$A,0))))))</f>
        <v>2.9500000000000002E-2</v>
      </c>
      <c r="Z349" s="43">
        <v>252</v>
      </c>
      <c r="AA349" s="43" t="s">
        <v>30</v>
      </c>
      <c r="AB349" s="43" t="s">
        <v>32</v>
      </c>
      <c r="AC349">
        <f t="shared" si="105"/>
        <v>0</v>
      </c>
      <c r="AD349" s="43" t="s">
        <v>31</v>
      </c>
      <c r="AE349">
        <f t="shared" si="106"/>
        <v>1</v>
      </c>
      <c r="AF349" s="34" t="str" cm="1">
        <f t="array" ref="AF349">INDEX(Ratings!$B$2:$M$40,_xlfn.XMATCH(Base!F349,Ratings!$A$2:$A$40),_xlfn.XMATCH(YEAR(Base!K349),Ratings!$B$1:$M$1))</f>
        <v>BB</v>
      </c>
      <c r="AG349">
        <f t="shared" si="96"/>
        <v>0</v>
      </c>
      <c r="AH349">
        <f>IFERROR(IFERROR(IFERROR(INDEX('EMBI+'!$B:$B,MATCH(Base!$K349,'EMBI+'!$A:$A,0)),INDEX('EMBI+'!$B:$B,MATCH(Base!$K349+1,'EMBI+'!$A:$A,0))),INDEX('EMBI+'!$B:$B,MATCH(Base!$K349+2,'EMBI+'!$A:$A,0))),INDEX('EMBI+'!$B:$B,MATCH(Base!$K349+3,'EMBI+'!$A:$A,0)))/100</f>
        <v>2.61</v>
      </c>
      <c r="AL349" s="43"/>
      <c r="AM349" s="28"/>
      <c r="AN349" s="28"/>
    </row>
    <row r="350" spans="1:40" x14ac:dyDescent="0.35">
      <c r="A350">
        <f t="shared" si="97"/>
        <v>348</v>
      </c>
      <c r="B350">
        <f>IF(G350="Bonds",COUNTIF($G$3:G350,"Bonds"),0)</f>
        <v>0</v>
      </c>
      <c r="C350" t="str">
        <f t="shared" si="99"/>
        <v>Movida4472748380</v>
      </c>
      <c r="D350">
        <f t="shared" si="100"/>
        <v>26</v>
      </c>
      <c r="E350" s="43" t="s">
        <v>411</v>
      </c>
      <c r="F350" s="43" t="s">
        <v>398</v>
      </c>
      <c r="G350" s="43" t="s">
        <v>25</v>
      </c>
      <c r="H350">
        <f t="shared" si="102"/>
        <v>0</v>
      </c>
      <c r="I350" s="43" t="s">
        <v>853</v>
      </c>
      <c r="J350" s="34">
        <f t="shared" si="101"/>
        <v>34</v>
      </c>
      <c r="K350" s="28">
        <v>44727</v>
      </c>
      <c r="L350" s="28">
        <v>48380</v>
      </c>
      <c r="M350" s="60">
        <f t="shared" si="103"/>
        <v>10.008219178082191</v>
      </c>
      <c r="N350" s="4">
        <f t="shared" si="104"/>
        <v>1</v>
      </c>
      <c r="O350" s="43" t="s">
        <v>44</v>
      </c>
      <c r="P350" t="str">
        <f t="shared" si="107"/>
        <v>0</v>
      </c>
      <c r="Q350" s="44">
        <v>591831</v>
      </c>
      <c r="R350" s="43">
        <v>1000</v>
      </c>
      <c r="S350" s="34" t="str">
        <f>IF($V350="USD",INDEX('Dólar Spot'!$B:$B,MATCH(Base!$K350,'Dólar Spot'!$A:$A,0)),"")</f>
        <v/>
      </c>
      <c r="T350" s="4">
        <f t="shared" si="95"/>
        <v>591831000</v>
      </c>
      <c r="U350" s="8">
        <f t="shared" si="108"/>
        <v>5.91831</v>
      </c>
      <c r="V350" s="43" t="s">
        <v>28</v>
      </c>
      <c r="W350" s="45" t="s">
        <v>874</v>
      </c>
      <c r="X350" s="46">
        <v>8.3368000000000002</v>
      </c>
      <c r="Y350" s="9">
        <f>IF(AND(V350="DI",$W350=100),$X350/100,
IF(AND(V350="DI",$W350&lt;&gt;100,$X350=""),INDEX('Debs %CDI'!$Q:$Q,MATCH(Base!$C350,'Debs %CDI'!$A:$A,0)),
IF($V350="USD",INDEX(Bonds!$AF:$AF,MATCH(Base!$C350,Bonds!$B:$B,0)),
IF($V350="IPCA",INDEX('Debs IPCA'!$Z:$Z,MATCH(Base!$C350,'Debs IPCA'!$A:$A,0))))))</f>
        <v>2.7093634669641542E-2</v>
      </c>
      <c r="Z350" s="43">
        <v>252</v>
      </c>
      <c r="AA350" s="43" t="s">
        <v>30</v>
      </c>
      <c r="AB350" s="43" t="s">
        <v>32</v>
      </c>
      <c r="AC350">
        <f t="shared" si="105"/>
        <v>0</v>
      </c>
      <c r="AD350" s="43" t="s">
        <v>31</v>
      </c>
      <c r="AE350">
        <f t="shared" si="106"/>
        <v>1</v>
      </c>
      <c r="AF350" s="34" t="str" cm="1">
        <f t="array" ref="AF350">INDEX(Ratings!$B$2:$M$40,_xlfn.XMATCH(Base!F350,Ratings!$A$2:$A$40),_xlfn.XMATCH(YEAR(Base!K350),Ratings!$B$1:$M$1))</f>
        <v>BB</v>
      </c>
      <c r="AG350">
        <f t="shared" si="96"/>
        <v>0</v>
      </c>
      <c r="AH350">
        <f>IFERROR(IFERROR(IFERROR(INDEX('EMBI+'!$B:$B,MATCH(Base!$K350,'EMBI+'!$A:$A,0)),INDEX('EMBI+'!$B:$B,MATCH(Base!$K350+1,'EMBI+'!$A:$A,0))),INDEX('EMBI+'!$B:$B,MATCH(Base!$K350+2,'EMBI+'!$A:$A,0))),INDEX('EMBI+'!$B:$B,MATCH(Base!$K350+3,'EMBI+'!$A:$A,0)))/100</f>
        <v>3.36</v>
      </c>
      <c r="AL350" s="43"/>
      <c r="AM350" s="28"/>
      <c r="AN350" s="28"/>
    </row>
    <row r="351" spans="1:40" x14ac:dyDescent="0.35">
      <c r="A351">
        <f t="shared" si="97"/>
        <v>349</v>
      </c>
      <c r="B351">
        <f>IF(G351="Bonds",COUNTIF($G$3:G351,"Bonds"),0)</f>
        <v>98</v>
      </c>
      <c r="C351" t="str">
        <f t="shared" si="99"/>
        <v>Movida4423508/02/2031</v>
      </c>
      <c r="D351">
        <f t="shared" si="100"/>
        <v>26</v>
      </c>
      <c r="E351" s="43" t="s">
        <v>429</v>
      </c>
      <c r="F351" s="43" t="s">
        <v>398</v>
      </c>
      <c r="G351" s="43" t="s">
        <v>34</v>
      </c>
      <c r="H351">
        <f t="shared" si="102"/>
        <v>1</v>
      </c>
      <c r="I351" s="43"/>
      <c r="J351" s="34">
        <f t="shared" si="101"/>
        <v>35</v>
      </c>
      <c r="K351" s="28">
        <v>44235</v>
      </c>
      <c r="L351" s="28" t="s">
        <v>260</v>
      </c>
      <c r="M351" s="60">
        <f t="shared" si="103"/>
        <v>10.005479452054795</v>
      </c>
      <c r="N351" s="4">
        <f t="shared" si="104"/>
        <v>1</v>
      </c>
      <c r="O351" s="43" t="s">
        <v>36</v>
      </c>
      <c r="P351" t="str">
        <f t="shared" ref="P351:P416" si="109">IF(OR(O351="Real",O351="Flutuante",O351="SR SECURED"),"1","0")</f>
        <v>0</v>
      </c>
      <c r="Q351" s="43"/>
      <c r="R351" s="43"/>
      <c r="S351" s="34">
        <f>IF($V351="USD",INDEX('Dólar Spot'!$B:$B,MATCH(Base!$K351,'Dólar Spot'!$A:$A,0)),"")</f>
        <v>5.3663999999999996</v>
      </c>
      <c r="T351" s="44">
        <v>500000000</v>
      </c>
      <c r="U351" s="8">
        <f t="shared" ref="U351:U416" si="110">IF(V351="USD",T351*S351/100000000,Q351*R351/100000000)</f>
        <v>26.832000000000001</v>
      </c>
      <c r="V351" s="43" t="s">
        <v>651</v>
      </c>
      <c r="W351" s="45" t="s">
        <v>29</v>
      </c>
      <c r="X351" s="53">
        <v>5.25</v>
      </c>
      <c r="Y351" s="9">
        <f>IF(AND(V351="DI",$W351=100),$X351/100,
IF(AND(V351="DI",$W351&lt;&gt;100,$X351=""),INDEX('Debs %CDI'!$Q:$Q,MATCH(Base!$C351,'Debs %CDI'!$A:$A,0)),
IF($V351="USD",INDEX(Bonds!$AF:$AF,MATCH(Base!$C351,Bonds!$B:$B,0)),
IF($V351="IPCA",INDEX('Debs IPCA'!$Z:$Z,MATCH(Base!$C351,'Debs IPCA'!$A:$A,0))))))</f>
        <v>3.4508060670419782E-2</v>
      </c>
      <c r="Z351" s="43">
        <v>360</v>
      </c>
      <c r="AA351" s="43" t="s">
        <v>37</v>
      </c>
      <c r="AB351" s="43" t="s">
        <v>32</v>
      </c>
      <c r="AC351">
        <f t="shared" si="105"/>
        <v>0</v>
      </c>
      <c r="AD351" s="43" t="s">
        <v>31</v>
      </c>
      <c r="AE351">
        <f t="shared" si="106"/>
        <v>1</v>
      </c>
      <c r="AF351" s="34" t="str" cm="1">
        <f t="array" ref="AF351">INDEX(Ratings!$B$2:$M$40,_xlfn.XMATCH(Base!F351,Ratings!$A$2:$A$40),_xlfn.XMATCH(YEAR(Base!K351),Ratings!$B$1:$M$1))</f>
        <v>BB-</v>
      </c>
      <c r="AG351">
        <f t="shared" si="96"/>
        <v>0</v>
      </c>
      <c r="AH351">
        <f>IFERROR(IFERROR(IFERROR(INDEX('EMBI+'!$B:$B,MATCH(Base!$K351,'EMBI+'!$A:$A,0)),INDEX('EMBI+'!$B:$B,MATCH(Base!$K351+1,'EMBI+'!$A:$A,0))),INDEX('EMBI+'!$B:$B,MATCH(Base!$K351+2,'EMBI+'!$A:$A,0))),INDEX('EMBI+'!$B:$B,MATCH(Base!$K351+3,'EMBI+'!$A:$A,0)))/100</f>
        <v>2.68</v>
      </c>
      <c r="AL351" s="43"/>
      <c r="AM351" s="28"/>
      <c r="AN351" s="28"/>
    </row>
    <row r="352" spans="1:40" x14ac:dyDescent="0.35">
      <c r="A352">
        <f t="shared" si="97"/>
        <v>350</v>
      </c>
      <c r="B352">
        <f>IF(G352="Bonds",COUNTIF($G$3:G352,"Bonds"),0)</f>
        <v>99</v>
      </c>
      <c r="C352" t="str">
        <f t="shared" si="99"/>
        <v>Movida4445408/02/2031</v>
      </c>
      <c r="D352">
        <f t="shared" si="100"/>
        <v>26</v>
      </c>
      <c r="E352" s="43" t="s">
        <v>429</v>
      </c>
      <c r="F352" s="43" t="s">
        <v>398</v>
      </c>
      <c r="G352" s="43" t="s">
        <v>34</v>
      </c>
      <c r="H352">
        <f t="shared" si="102"/>
        <v>1</v>
      </c>
      <c r="I352" s="43"/>
      <c r="J352" s="34">
        <f t="shared" si="101"/>
        <v>36</v>
      </c>
      <c r="K352" s="28">
        <v>44454</v>
      </c>
      <c r="L352" s="28" t="s">
        <v>260</v>
      </c>
      <c r="M352" s="60">
        <f t="shared" si="103"/>
        <v>9.4054794520547951</v>
      </c>
      <c r="N352" s="4">
        <f t="shared" si="104"/>
        <v>1</v>
      </c>
      <c r="O352" s="43" t="s">
        <v>36</v>
      </c>
      <c r="P352" t="str">
        <f t="shared" si="109"/>
        <v>0</v>
      </c>
      <c r="Q352" s="43"/>
      <c r="R352" s="43"/>
      <c r="S352" s="34">
        <f>IF($V352="USD",INDEX('Dólar Spot'!$B:$B,MATCH(Base!$K352,'Dólar Spot'!$A:$A,0)),"")</f>
        <v>5.2569999999999997</v>
      </c>
      <c r="T352" s="44">
        <v>300000000</v>
      </c>
      <c r="U352" s="8">
        <f t="shared" si="110"/>
        <v>15.771000000000001</v>
      </c>
      <c r="V352" s="43" t="s">
        <v>651</v>
      </c>
      <c r="W352" s="45" t="s">
        <v>29</v>
      </c>
      <c r="X352" s="53">
        <v>5.25</v>
      </c>
      <c r="Y352" s="9">
        <f>IF(AND(V352="DI",$W352=100),$X352/100,
IF(AND(V352="DI",$W352&lt;&gt;100,$X352=""),INDEX('Debs %CDI'!$Q:$Q,MATCH(Base!$C352,'Debs %CDI'!$A:$A,0)),
IF($V352="USD",INDEX(Bonds!$AF:$AF,MATCH(Base!$C352,Bonds!$B:$B,0)),
IF($V352="IPCA",INDEX('Debs IPCA'!$Z:$Z,MATCH(Base!$C352,'Debs IPCA'!$A:$A,0))))))</f>
        <v>3.2888592540073924E-2</v>
      </c>
      <c r="Z352" s="43">
        <v>360</v>
      </c>
      <c r="AA352" s="43" t="s">
        <v>37</v>
      </c>
      <c r="AB352" s="43" t="s">
        <v>32</v>
      </c>
      <c r="AC352">
        <f t="shared" si="105"/>
        <v>0</v>
      </c>
      <c r="AD352" s="43" t="s">
        <v>31</v>
      </c>
      <c r="AE352">
        <f t="shared" si="106"/>
        <v>1</v>
      </c>
      <c r="AF352" s="34" t="str" cm="1">
        <f t="array" ref="AF352">INDEX(Ratings!$B$2:$M$40,_xlfn.XMATCH(Base!F352,Ratings!$A$2:$A$40),_xlfn.XMATCH(YEAR(Base!K352),Ratings!$B$1:$M$1))</f>
        <v>BB-</v>
      </c>
      <c r="AG352">
        <f t="shared" si="96"/>
        <v>0</v>
      </c>
      <c r="AH352">
        <f>IFERROR(IFERROR(IFERROR(INDEX('EMBI+'!$B:$B,MATCH(Base!$K352,'EMBI+'!$A:$A,0)),INDEX('EMBI+'!$B:$B,MATCH(Base!$K352+1,'EMBI+'!$A:$A,0))),INDEX('EMBI+'!$B:$B,MATCH(Base!$K352+2,'EMBI+'!$A:$A,0))),INDEX('EMBI+'!$B:$B,MATCH(Base!$K352+3,'EMBI+'!$A:$A,0)))/100</f>
        <v>3.14</v>
      </c>
      <c r="AL352" s="43"/>
      <c r="AM352" s="28"/>
      <c r="AN352" s="28"/>
    </row>
    <row r="353" spans="1:40" x14ac:dyDescent="0.35">
      <c r="A353">
        <f t="shared" si="97"/>
        <v>351</v>
      </c>
      <c r="B353">
        <f>IF(G353="Bonds",COUNTIF($G$3:G353,"Bonds"),0)</f>
        <v>0</v>
      </c>
      <c r="C353" t="str">
        <f t="shared" si="99"/>
        <v>Natura Cosméticos4169542791</v>
      </c>
      <c r="D353">
        <f t="shared" si="100"/>
        <v>27</v>
      </c>
      <c r="E353" s="43" t="s">
        <v>430</v>
      </c>
      <c r="F353" s="43" t="s">
        <v>431</v>
      </c>
      <c r="G353" s="43" t="s">
        <v>25</v>
      </c>
      <c r="H353">
        <f t="shared" si="102"/>
        <v>0</v>
      </c>
      <c r="I353" s="43" t="s">
        <v>432</v>
      </c>
      <c r="J353" s="34">
        <f t="shared" si="101"/>
        <v>1</v>
      </c>
      <c r="K353" s="28">
        <v>41695</v>
      </c>
      <c r="L353" s="28">
        <v>42791</v>
      </c>
      <c r="M353" s="60">
        <f t="shared" si="103"/>
        <v>3.0027397260273974</v>
      </c>
      <c r="N353" s="4">
        <f t="shared" si="104"/>
        <v>0</v>
      </c>
      <c r="O353" s="43" t="s">
        <v>44</v>
      </c>
      <c r="P353" t="str">
        <f t="shared" si="109"/>
        <v>0</v>
      </c>
      <c r="Q353" s="44">
        <v>20000</v>
      </c>
      <c r="R353" s="43">
        <v>10000</v>
      </c>
      <c r="S353" s="34" t="str">
        <f>IF($V353="USD",INDEX('Dólar Spot'!$B:$B,MATCH(Base!$K353,'Dólar Spot'!$A:$A,0)),"")</f>
        <v/>
      </c>
      <c r="T353" s="4">
        <f t="shared" ref="T353:T369" si="111">Q353*R353</f>
        <v>200000000</v>
      </c>
      <c r="U353" s="8">
        <f t="shared" si="110"/>
        <v>2</v>
      </c>
      <c r="V353" s="43" t="s">
        <v>41</v>
      </c>
      <c r="W353" s="45">
        <v>107</v>
      </c>
      <c r="X353" s="46"/>
      <c r="Y353" s="9">
        <f>IF(AND(V353="DI",$W353=100),$X353/100,
IF(AND(V353="DI",$W353&lt;&gt;100,$X353=""),INDEX('Debs %CDI'!$Q:$Q,MATCH(Base!$C353,'Debs %CDI'!$A:$A,0)),
IF($V353="USD",INDEX(Bonds!$AF:$AF,MATCH(Base!$C353,Bonds!$B:$B,0)),
IF($V353="IPCA",INDEX('Debs IPCA'!$Z:$Z,MATCH(Base!$C353,'Debs IPCA'!$A:$A,0))))))</f>
        <v>8.4788981808620427E-3</v>
      </c>
      <c r="Z353" s="43">
        <v>252</v>
      </c>
      <c r="AA353" s="43" t="s">
        <v>30</v>
      </c>
      <c r="AB353" s="43" t="s">
        <v>32</v>
      </c>
      <c r="AC353">
        <f t="shared" si="105"/>
        <v>0</v>
      </c>
      <c r="AD353" s="43" t="s">
        <v>32</v>
      </c>
      <c r="AE353">
        <f t="shared" si="106"/>
        <v>0</v>
      </c>
      <c r="AF353" s="34" t="str" cm="1">
        <f t="array" ref="AF353">INDEX(Ratings!$B$2:$M$40,_xlfn.XMATCH(Base!F353,Ratings!$A$2:$A$40),_xlfn.XMATCH(YEAR(Base!K353),Ratings!$B$1:$M$1))</f>
        <v>BBB</v>
      </c>
      <c r="AG353">
        <f t="shared" si="96"/>
        <v>1</v>
      </c>
      <c r="AH353">
        <f>IFERROR(IFERROR(IFERROR(INDEX('EMBI+'!$B:$B,MATCH(Base!$K353,'EMBI+'!$A:$A,0)),INDEX('EMBI+'!$B:$B,MATCH(Base!$K353+1,'EMBI+'!$A:$A,0))),INDEX('EMBI+'!$B:$B,MATCH(Base!$K353+2,'EMBI+'!$A:$A,0))),INDEX('EMBI+'!$B:$B,MATCH(Base!$K353+3,'EMBI+'!$A:$A,0)))/100</f>
        <v>2.44</v>
      </c>
      <c r="AL353" s="43"/>
      <c r="AM353" s="28"/>
      <c r="AN353" s="28"/>
    </row>
    <row r="354" spans="1:40" x14ac:dyDescent="0.35">
      <c r="A354">
        <f t="shared" si="97"/>
        <v>352</v>
      </c>
      <c r="B354">
        <f>IF(G354="Bonds",COUNTIF($G$3:G354,"Bonds"),0)</f>
        <v>0</v>
      </c>
      <c r="C354" t="str">
        <f t="shared" si="99"/>
        <v>Natura Cosméticos4207943175</v>
      </c>
      <c r="D354">
        <f t="shared" si="100"/>
        <v>27</v>
      </c>
      <c r="E354" s="43" t="s">
        <v>430</v>
      </c>
      <c r="F354" s="43" t="s">
        <v>431</v>
      </c>
      <c r="G354" s="43" t="s">
        <v>25</v>
      </c>
      <c r="H354">
        <f t="shared" si="102"/>
        <v>0</v>
      </c>
      <c r="I354" s="43" t="s">
        <v>433</v>
      </c>
      <c r="J354" s="34">
        <f t="shared" si="101"/>
        <v>2</v>
      </c>
      <c r="K354" s="28">
        <v>42079</v>
      </c>
      <c r="L354" s="28">
        <v>43175</v>
      </c>
      <c r="M354" s="60">
        <f t="shared" si="103"/>
        <v>3.0027397260273974</v>
      </c>
      <c r="N354" s="4">
        <f t="shared" si="104"/>
        <v>0</v>
      </c>
      <c r="O354" s="43" t="s">
        <v>44</v>
      </c>
      <c r="P354" t="str">
        <f t="shared" si="109"/>
        <v>0</v>
      </c>
      <c r="Q354" s="44">
        <v>40000</v>
      </c>
      <c r="R354" s="43">
        <v>10000</v>
      </c>
      <c r="S354" s="34" t="str">
        <f>IF($V354="USD",INDEX('Dólar Spot'!$B:$B,MATCH(Base!$K354,'Dólar Spot'!$A:$A,0)),"")</f>
        <v/>
      </c>
      <c r="T354" s="4">
        <f t="shared" si="111"/>
        <v>400000000</v>
      </c>
      <c r="U354" s="8">
        <f t="shared" si="110"/>
        <v>4</v>
      </c>
      <c r="V354" s="43" t="s">
        <v>41</v>
      </c>
      <c r="W354" s="45">
        <v>107</v>
      </c>
      <c r="X354" s="46"/>
      <c r="Y354" s="9">
        <f>IF(AND(V354="DI",$W354=100),$X354/100,
IF(AND(V354="DI",$W354&lt;&gt;100,$X354=""),INDEX('Debs %CDI'!$Q:$Q,MATCH(Base!$C354,'Debs %CDI'!$A:$A,0)),
IF($V354="USD",INDEX(Bonds!$AF:$AF,MATCH(Base!$C354,Bonds!$B:$B,0)),
IF($V354="IPCA",INDEX('Debs IPCA'!$Z:$Z,MATCH(Base!$C354,'Debs IPCA'!$A:$A,0))))))</f>
        <v>9.5028440230666006E-3</v>
      </c>
      <c r="Z354" s="43">
        <v>252</v>
      </c>
      <c r="AA354" s="43" t="s">
        <v>30</v>
      </c>
      <c r="AB354" s="43" t="s">
        <v>32</v>
      </c>
      <c r="AC354">
        <f t="shared" si="105"/>
        <v>0</v>
      </c>
      <c r="AD354" s="43" t="s">
        <v>32</v>
      </c>
      <c r="AE354">
        <f t="shared" si="106"/>
        <v>0</v>
      </c>
      <c r="AF354" s="34" t="str" cm="1">
        <f t="array" ref="AF354">INDEX(Ratings!$B$2:$M$40,_xlfn.XMATCH(Base!F354,Ratings!$A$2:$A$40),_xlfn.XMATCH(YEAR(Base!K354),Ratings!$B$1:$M$1))</f>
        <v>BBB</v>
      </c>
      <c r="AG354">
        <f t="shared" si="96"/>
        <v>1</v>
      </c>
      <c r="AH354">
        <f>IFERROR(IFERROR(IFERROR(INDEX('EMBI+'!$B:$B,MATCH(Base!$K354,'EMBI+'!$A:$A,0)),INDEX('EMBI+'!$B:$B,MATCH(Base!$K354+1,'EMBI+'!$A:$A,0))),INDEX('EMBI+'!$B:$B,MATCH(Base!$K354+2,'EMBI+'!$A:$A,0))),INDEX('EMBI+'!$B:$B,MATCH(Base!$K354+3,'EMBI+'!$A:$A,0)))/100</f>
        <v>3.44</v>
      </c>
      <c r="AL354" s="43"/>
      <c r="AM354" s="28"/>
      <c r="AN354" s="28"/>
    </row>
    <row r="355" spans="1:40" x14ac:dyDescent="0.35">
      <c r="A355">
        <f t="shared" si="97"/>
        <v>353</v>
      </c>
      <c r="B355">
        <f>IF(G355="Bonds",COUNTIF($G$3:G355,"Bonds"),0)</f>
        <v>0</v>
      </c>
      <c r="C355" t="str">
        <f t="shared" si="99"/>
        <v>Natura Cosméticos4300344099</v>
      </c>
      <c r="D355">
        <f t="shared" si="100"/>
        <v>27</v>
      </c>
      <c r="E355" s="43" t="s">
        <v>430</v>
      </c>
      <c r="F355" s="43" t="s">
        <v>431</v>
      </c>
      <c r="G355" s="43" t="s">
        <v>25</v>
      </c>
      <c r="H355">
        <f t="shared" si="102"/>
        <v>0</v>
      </c>
      <c r="I355" s="43" t="s">
        <v>434</v>
      </c>
      <c r="J355" s="34">
        <f t="shared" si="101"/>
        <v>3</v>
      </c>
      <c r="K355" s="28">
        <v>43003</v>
      </c>
      <c r="L355" s="28">
        <v>44099</v>
      </c>
      <c r="M355" s="60">
        <f t="shared" si="103"/>
        <v>3.0027397260273974</v>
      </c>
      <c r="N355" s="4">
        <f t="shared" si="104"/>
        <v>0</v>
      </c>
      <c r="O355" s="43" t="s">
        <v>44</v>
      </c>
      <c r="P355" t="str">
        <f t="shared" si="109"/>
        <v>0</v>
      </c>
      <c r="Q355" s="44">
        <v>77273</v>
      </c>
      <c r="R355" s="43">
        <v>10000</v>
      </c>
      <c r="S355" s="34" t="str">
        <f>IF($V355="USD",INDEX('Dólar Spot'!$B:$B,MATCH(Base!$K355,'Dólar Spot'!$A:$A,0)),"")</f>
        <v/>
      </c>
      <c r="T355" s="4">
        <f t="shared" si="111"/>
        <v>772730000</v>
      </c>
      <c r="U355" s="8">
        <f t="shared" si="110"/>
        <v>7.7272999999999996</v>
      </c>
      <c r="V355" s="43" t="s">
        <v>41</v>
      </c>
      <c r="W355" s="45">
        <v>100</v>
      </c>
      <c r="X355" s="46">
        <v>1.4</v>
      </c>
      <c r="Y355" s="9">
        <f>IF(AND(V355="DI",$W355=100),$X355/100,
IF(AND(V355="DI",$W355&lt;&gt;100,$X355=""),INDEX('Debs %CDI'!$Q:$Q,MATCH(Base!$C355,'Debs %CDI'!$A:$A,0)),
IF($V355="USD",INDEX(Bonds!$AF:$AF,MATCH(Base!$C355,Bonds!$B:$B,0)),
IF($V355="IPCA",INDEX('Debs IPCA'!$Z:$Z,MATCH(Base!$C355,'Debs IPCA'!$A:$A,0))))))</f>
        <v>1.3999999999999999E-2</v>
      </c>
      <c r="Z355" s="43">
        <v>252</v>
      </c>
      <c r="AA355" s="43" t="s">
        <v>30</v>
      </c>
      <c r="AB355" s="43" t="s">
        <v>32</v>
      </c>
      <c r="AC355">
        <f t="shared" si="105"/>
        <v>0</v>
      </c>
      <c r="AD355" s="43" t="s">
        <v>32</v>
      </c>
      <c r="AE355">
        <f t="shared" si="106"/>
        <v>0</v>
      </c>
      <c r="AF355" s="34" t="str" cm="1">
        <f t="array" ref="AF355">INDEX(Ratings!$B$2:$M$40,_xlfn.XMATCH(Base!F355,Ratings!$A$2:$A$40),_xlfn.XMATCH(YEAR(Base!K355),Ratings!$B$1:$M$1))</f>
        <v>NR</v>
      </c>
      <c r="AG355">
        <f t="shared" si="96"/>
        <v>0</v>
      </c>
      <c r="AH355">
        <f>IFERROR(IFERROR(IFERROR(INDEX('EMBI+'!$B:$B,MATCH(Base!$K355,'EMBI+'!$A:$A,0)),INDEX('EMBI+'!$B:$B,MATCH(Base!$K355+1,'EMBI+'!$A:$A,0))),INDEX('EMBI+'!$B:$B,MATCH(Base!$K355+2,'EMBI+'!$A:$A,0))),INDEX('EMBI+'!$B:$B,MATCH(Base!$K355+3,'EMBI+'!$A:$A,0)))/100</f>
        <v>2.57</v>
      </c>
      <c r="AL355" s="43"/>
      <c r="AM355" s="28"/>
      <c r="AN355" s="28"/>
    </row>
    <row r="356" spans="1:40" x14ac:dyDescent="0.35">
      <c r="A356">
        <f t="shared" si="97"/>
        <v>354</v>
      </c>
      <c r="B356">
        <f>IF(G356="Bonds",COUNTIF($G$3:G356,"Bonds"),0)</f>
        <v>0</v>
      </c>
      <c r="C356" t="str">
        <f t="shared" si="99"/>
        <v>Natura Cosméticos4314543691</v>
      </c>
      <c r="D356">
        <f t="shared" si="100"/>
        <v>27</v>
      </c>
      <c r="E356" s="43" t="s">
        <v>430</v>
      </c>
      <c r="F356" s="43" t="s">
        <v>431</v>
      </c>
      <c r="G356" s="43" t="s">
        <v>25</v>
      </c>
      <c r="H356">
        <f t="shared" si="102"/>
        <v>0</v>
      </c>
      <c r="I356" s="43" t="s">
        <v>435</v>
      </c>
      <c r="J356" s="34">
        <f t="shared" si="101"/>
        <v>4</v>
      </c>
      <c r="K356" s="28">
        <v>43145</v>
      </c>
      <c r="L356" s="28">
        <v>43691</v>
      </c>
      <c r="M356" s="60">
        <f t="shared" si="103"/>
        <v>1.4958904109589042</v>
      </c>
      <c r="N356" s="4">
        <f t="shared" si="104"/>
        <v>0</v>
      </c>
      <c r="O356" s="43" t="s">
        <v>44</v>
      </c>
      <c r="P356" t="str">
        <f t="shared" si="109"/>
        <v>0</v>
      </c>
      <c r="Q356" s="44">
        <v>140000</v>
      </c>
      <c r="R356" s="43">
        <v>10000</v>
      </c>
      <c r="S356" s="34" t="str">
        <f>IF($V356="USD",INDEX('Dólar Spot'!$B:$B,MATCH(Base!$K356,'Dólar Spot'!$A:$A,0)),"")</f>
        <v/>
      </c>
      <c r="T356" s="4">
        <f t="shared" si="111"/>
        <v>1400000000</v>
      </c>
      <c r="U356" s="8">
        <f t="shared" si="110"/>
        <v>14</v>
      </c>
      <c r="V356" s="43" t="s">
        <v>41</v>
      </c>
      <c r="W356" s="45">
        <v>110</v>
      </c>
      <c r="X356" s="46"/>
      <c r="Y356" s="9">
        <f>IF(AND(V356="DI",$W356=100),$X356/100,
IF(AND(V356="DI",$W356&lt;&gt;100,$X356=""),INDEX('Debs %CDI'!$Q:$Q,MATCH(Base!$C356,'Debs %CDI'!$A:$A,0)),
IF($V356="USD",INDEX(Bonds!$AF:$AF,MATCH(Base!$C356,Bonds!$B:$B,0)),
IF($V356="IPCA",INDEX('Debs IPCA'!$Z:$Z,MATCH(Base!$C356,'Debs IPCA'!$A:$A,0))))))</f>
        <v>7.4150203878619323E-3</v>
      </c>
      <c r="Z356" s="43">
        <v>252</v>
      </c>
      <c r="AA356" s="43" t="s">
        <v>30</v>
      </c>
      <c r="AB356" s="43" t="s">
        <v>32</v>
      </c>
      <c r="AC356">
        <f t="shared" si="105"/>
        <v>0</v>
      </c>
      <c r="AD356" s="43" t="s">
        <v>31</v>
      </c>
      <c r="AE356">
        <f t="shared" si="106"/>
        <v>1</v>
      </c>
      <c r="AF356" s="34" t="str" cm="1">
        <f t="array" ref="AF356">INDEX(Ratings!$B$2:$M$40,_xlfn.XMATCH(Base!F356,Ratings!$A$2:$A$40),_xlfn.XMATCH(YEAR(Base!K356),Ratings!$B$1:$M$1))</f>
        <v>BB</v>
      </c>
      <c r="AG356">
        <f t="shared" si="96"/>
        <v>0</v>
      </c>
      <c r="AH356">
        <f>IFERROR(IFERROR(IFERROR(INDEX('EMBI+'!$B:$B,MATCH(Base!$K356,'EMBI+'!$A:$A,0)),INDEX('EMBI+'!$B:$B,MATCH(Base!$K356+1,'EMBI+'!$A:$A,0))),INDEX('EMBI+'!$B:$B,MATCH(Base!$K356+2,'EMBI+'!$A:$A,0))),INDEX('EMBI+'!$B:$B,MATCH(Base!$K356+3,'EMBI+'!$A:$A,0)))/100</f>
        <v>2.4900000000000002</v>
      </c>
      <c r="AL356" s="43"/>
      <c r="AM356" s="28"/>
      <c r="AN356" s="28"/>
    </row>
    <row r="357" spans="1:40" x14ac:dyDescent="0.35">
      <c r="A357">
        <f t="shared" si="97"/>
        <v>355</v>
      </c>
      <c r="B357">
        <f>IF(G357="Bonds",COUNTIF($G$3:G357,"Bonds"),0)</f>
        <v>0</v>
      </c>
      <c r="C357" t="str">
        <f t="shared" si="99"/>
        <v>Natura Cosméticos4336444095</v>
      </c>
      <c r="D357">
        <f t="shared" si="100"/>
        <v>27</v>
      </c>
      <c r="E357" s="43" t="s">
        <v>430</v>
      </c>
      <c r="F357" s="43" t="s">
        <v>431</v>
      </c>
      <c r="G357" s="43" t="s">
        <v>25</v>
      </c>
      <c r="H357">
        <f t="shared" si="102"/>
        <v>0</v>
      </c>
      <c r="I357" s="43" t="s">
        <v>436</v>
      </c>
      <c r="J357" s="34">
        <f t="shared" si="101"/>
        <v>5</v>
      </c>
      <c r="K357" s="28">
        <v>43364</v>
      </c>
      <c r="L357" s="28">
        <v>44095</v>
      </c>
      <c r="M357" s="60">
        <f t="shared" si="103"/>
        <v>2.0027397260273974</v>
      </c>
      <c r="N357" s="4">
        <f t="shared" si="104"/>
        <v>0</v>
      </c>
      <c r="O357" s="43" t="s">
        <v>44</v>
      </c>
      <c r="P357" t="str">
        <f t="shared" si="109"/>
        <v>0</v>
      </c>
      <c r="Q357" s="44">
        <v>38904</v>
      </c>
      <c r="R357" s="43">
        <v>10000</v>
      </c>
      <c r="S357" s="34" t="str">
        <f>IF($V357="USD",INDEX('Dólar Spot'!$B:$B,MATCH(Base!$K357,'Dólar Spot'!$A:$A,0)),"")</f>
        <v/>
      </c>
      <c r="T357" s="4">
        <f t="shared" si="111"/>
        <v>389040000</v>
      </c>
      <c r="U357" s="8">
        <f t="shared" si="110"/>
        <v>3.8904000000000001</v>
      </c>
      <c r="V357" s="43" t="s">
        <v>41</v>
      </c>
      <c r="W357" s="45">
        <v>109.5</v>
      </c>
      <c r="X357" s="46"/>
      <c r="Y357" s="9">
        <f>IF(AND(V357="DI",$W357=100),$X357/100,
IF(AND(V357="DI",$W357&lt;&gt;100,$X357=""),INDEX('Debs %CDI'!$Q:$Q,MATCH(Base!$C357,'Debs %CDI'!$A:$A,0)),
IF($V357="USD",INDEX(Bonds!$AF:$AF,MATCH(Base!$C357,Bonds!$B:$B,0)),
IF($V357="IPCA",INDEX('Debs IPCA'!$Z:$Z,MATCH(Base!$C357,'Debs IPCA'!$A:$A,0))))))</f>
        <v>8.8213961141190914E-3</v>
      </c>
      <c r="Z357" s="43">
        <v>252</v>
      </c>
      <c r="AA357" s="43" t="s">
        <v>30</v>
      </c>
      <c r="AB357" s="43" t="s">
        <v>32</v>
      </c>
      <c r="AC357">
        <f t="shared" si="105"/>
        <v>0</v>
      </c>
      <c r="AD357" s="43" t="s">
        <v>32</v>
      </c>
      <c r="AE357">
        <f t="shared" si="106"/>
        <v>0</v>
      </c>
      <c r="AF357" s="34" t="str" cm="1">
        <f t="array" ref="AF357">INDEX(Ratings!$B$2:$M$40,_xlfn.XMATCH(Base!F357,Ratings!$A$2:$A$40),_xlfn.XMATCH(YEAR(Base!K357),Ratings!$B$1:$M$1))</f>
        <v>BB</v>
      </c>
      <c r="AG357">
        <f t="shared" si="96"/>
        <v>0</v>
      </c>
      <c r="AH357">
        <f>IFERROR(IFERROR(IFERROR(INDEX('EMBI+'!$B:$B,MATCH(Base!$K357,'EMBI+'!$A:$A,0)),INDEX('EMBI+'!$B:$B,MATCH(Base!$K357+1,'EMBI+'!$A:$A,0))),INDEX('EMBI+'!$B:$B,MATCH(Base!$K357+2,'EMBI+'!$A:$A,0))),INDEX('EMBI+'!$B:$B,MATCH(Base!$K357+3,'EMBI+'!$A:$A,0)))/100</f>
        <v>2.87</v>
      </c>
      <c r="AL357" s="43"/>
      <c r="AM357" s="28"/>
      <c r="AN357" s="28"/>
    </row>
    <row r="358" spans="1:40" x14ac:dyDescent="0.35">
      <c r="A358">
        <f t="shared" si="97"/>
        <v>356</v>
      </c>
      <c r="B358">
        <f>IF(G358="Bonds",COUNTIF($G$3:G358,"Bonds"),0)</f>
        <v>0</v>
      </c>
      <c r="C358" t="str">
        <f t="shared" si="99"/>
        <v>Natura Cosméticos4169543156</v>
      </c>
      <c r="D358">
        <f t="shared" si="100"/>
        <v>27</v>
      </c>
      <c r="E358" s="43" t="s">
        <v>430</v>
      </c>
      <c r="F358" s="43" t="s">
        <v>431</v>
      </c>
      <c r="G358" s="43" t="s">
        <v>25</v>
      </c>
      <c r="H358">
        <f t="shared" si="102"/>
        <v>0</v>
      </c>
      <c r="I358" s="43" t="s">
        <v>437</v>
      </c>
      <c r="J358" s="34">
        <f t="shared" si="101"/>
        <v>6</v>
      </c>
      <c r="K358" s="28">
        <v>41695</v>
      </c>
      <c r="L358" s="28">
        <v>43156</v>
      </c>
      <c r="M358" s="60">
        <f t="shared" si="103"/>
        <v>4.0027397260273974</v>
      </c>
      <c r="N358" s="4">
        <f t="shared" si="104"/>
        <v>0</v>
      </c>
      <c r="O358" s="43" t="s">
        <v>44</v>
      </c>
      <c r="P358" t="str">
        <f t="shared" si="109"/>
        <v>0</v>
      </c>
      <c r="Q358" s="44">
        <v>20000</v>
      </c>
      <c r="R358" s="43">
        <v>10000</v>
      </c>
      <c r="S358" s="34" t="str">
        <f>IF($V358="USD",INDEX('Dólar Spot'!$B:$B,MATCH(Base!$K358,'Dólar Spot'!$A:$A,0)),"")</f>
        <v/>
      </c>
      <c r="T358" s="4">
        <f t="shared" si="111"/>
        <v>200000000</v>
      </c>
      <c r="U358" s="8">
        <f t="shared" si="110"/>
        <v>2</v>
      </c>
      <c r="V358" s="43" t="s">
        <v>41</v>
      </c>
      <c r="W358" s="45">
        <v>107.5</v>
      </c>
      <c r="X358" s="46"/>
      <c r="Y358" s="9">
        <f>IF(AND(V358="DI",$W358=100),$X358/100,
IF(AND(V358="DI",$W358&lt;&gt;100,$X358=""),INDEX('Debs %CDI'!$Q:$Q,MATCH(Base!$C358,'Debs %CDI'!$A:$A,0)),
IF($V358="USD",INDEX(Bonds!$AF:$AF,MATCH(Base!$C358,Bonds!$B:$B,0)),
IF($V358="IPCA",INDEX('Debs IPCA'!$Z:$Z,MATCH(Base!$C358,'Debs IPCA'!$A:$A,0))))))</f>
        <v>9.2460075600163446E-3</v>
      </c>
      <c r="Z358" s="43">
        <v>252</v>
      </c>
      <c r="AA358" s="43" t="s">
        <v>30</v>
      </c>
      <c r="AB358" s="43" t="s">
        <v>32</v>
      </c>
      <c r="AC358">
        <f t="shared" si="105"/>
        <v>0</v>
      </c>
      <c r="AD358" s="43" t="s">
        <v>32</v>
      </c>
      <c r="AE358">
        <f t="shared" si="106"/>
        <v>0</v>
      </c>
      <c r="AF358" s="34" t="str" cm="1">
        <f t="array" ref="AF358">INDEX(Ratings!$B$2:$M$40,_xlfn.XMATCH(Base!F358,Ratings!$A$2:$A$40),_xlfn.XMATCH(YEAR(Base!K358),Ratings!$B$1:$M$1))</f>
        <v>BBB</v>
      </c>
      <c r="AG358">
        <f t="shared" si="96"/>
        <v>1</v>
      </c>
      <c r="AH358">
        <f>IFERROR(IFERROR(IFERROR(INDEX('EMBI+'!$B:$B,MATCH(Base!$K358,'EMBI+'!$A:$A,0)),INDEX('EMBI+'!$B:$B,MATCH(Base!$K358+1,'EMBI+'!$A:$A,0))),INDEX('EMBI+'!$B:$B,MATCH(Base!$K358+2,'EMBI+'!$A:$A,0))),INDEX('EMBI+'!$B:$B,MATCH(Base!$K358+3,'EMBI+'!$A:$A,0)))/100</f>
        <v>2.44</v>
      </c>
      <c r="AL358" s="43"/>
      <c r="AM358" s="28"/>
      <c r="AN358" s="28"/>
    </row>
    <row r="359" spans="1:40" x14ac:dyDescent="0.35">
      <c r="A359">
        <f t="shared" si="97"/>
        <v>357</v>
      </c>
      <c r="B359">
        <f>IF(G359="Bonds",COUNTIF($G$3:G359,"Bonds"),0)</f>
        <v>0</v>
      </c>
      <c r="C359" t="str">
        <f t="shared" si="99"/>
        <v>Natura Cosméticos4207943540</v>
      </c>
      <c r="D359">
        <f t="shared" si="100"/>
        <v>27</v>
      </c>
      <c r="E359" s="43" t="s">
        <v>430</v>
      </c>
      <c r="F359" s="43" t="s">
        <v>431</v>
      </c>
      <c r="G359" s="43" t="s">
        <v>25</v>
      </c>
      <c r="H359">
        <f t="shared" si="102"/>
        <v>0</v>
      </c>
      <c r="I359" s="43" t="s">
        <v>438</v>
      </c>
      <c r="J359" s="34">
        <f t="shared" si="101"/>
        <v>7</v>
      </c>
      <c r="K359" s="28">
        <v>42079</v>
      </c>
      <c r="L359" s="28">
        <v>43540</v>
      </c>
      <c r="M359" s="60">
        <f t="shared" si="103"/>
        <v>4.0027397260273974</v>
      </c>
      <c r="N359" s="4">
        <f t="shared" si="104"/>
        <v>0</v>
      </c>
      <c r="O359" s="43" t="s">
        <v>44</v>
      </c>
      <c r="P359" t="str">
        <f t="shared" si="109"/>
        <v>0</v>
      </c>
      <c r="Q359" s="44">
        <v>25000</v>
      </c>
      <c r="R359" s="43">
        <v>10000</v>
      </c>
      <c r="S359" s="34" t="str">
        <f>IF($V359="USD",INDEX('Dólar Spot'!$B:$B,MATCH(Base!$K359,'Dólar Spot'!$A:$A,0)),"")</f>
        <v/>
      </c>
      <c r="T359" s="4">
        <f t="shared" si="111"/>
        <v>250000000</v>
      </c>
      <c r="U359" s="8">
        <f t="shared" si="110"/>
        <v>2.5</v>
      </c>
      <c r="V359" s="43" t="s">
        <v>41</v>
      </c>
      <c r="W359" s="45">
        <v>108.25</v>
      </c>
      <c r="X359" s="46"/>
      <c r="Y359" s="9">
        <f>IF(AND(V359="DI",$W359=100),$X359/100,
IF(AND(V359="DI",$W359&lt;&gt;100,$X359=""),INDEX('Debs %CDI'!$Q:$Q,MATCH(Base!$C359,'Debs %CDI'!$A:$A,0)),
IF($V359="USD",INDEX(Bonds!$AF:$AF,MATCH(Base!$C359,Bonds!$B:$B,0)),
IF($V359="IPCA",INDEX('Debs IPCA'!$Z:$Z,MATCH(Base!$C359,'Debs IPCA'!$A:$A,0))))))</f>
        <v>1.1077013807165486E-2</v>
      </c>
      <c r="Z359" s="43">
        <v>252</v>
      </c>
      <c r="AA359" s="43" t="s">
        <v>30</v>
      </c>
      <c r="AB359" s="43" t="s">
        <v>32</v>
      </c>
      <c r="AC359">
        <f t="shared" si="105"/>
        <v>0</v>
      </c>
      <c r="AD359" s="43" t="s">
        <v>32</v>
      </c>
      <c r="AE359">
        <f t="shared" si="106"/>
        <v>0</v>
      </c>
      <c r="AF359" s="34" t="str" cm="1">
        <f t="array" ref="AF359">INDEX(Ratings!$B$2:$M$40,_xlfn.XMATCH(Base!F359,Ratings!$A$2:$A$40),_xlfn.XMATCH(YEAR(Base!K359),Ratings!$B$1:$M$1))</f>
        <v>BBB</v>
      </c>
      <c r="AG359">
        <f t="shared" si="96"/>
        <v>1</v>
      </c>
      <c r="AH359">
        <f>IFERROR(IFERROR(IFERROR(INDEX('EMBI+'!$B:$B,MATCH(Base!$K359,'EMBI+'!$A:$A,0)),INDEX('EMBI+'!$B:$B,MATCH(Base!$K359+1,'EMBI+'!$A:$A,0))),INDEX('EMBI+'!$B:$B,MATCH(Base!$K359+2,'EMBI+'!$A:$A,0))),INDEX('EMBI+'!$B:$B,MATCH(Base!$K359+3,'EMBI+'!$A:$A,0)))/100</f>
        <v>3.44</v>
      </c>
      <c r="AL359" s="43"/>
      <c r="AM359" s="28"/>
      <c r="AN359" s="28"/>
    </row>
    <row r="360" spans="1:40" x14ac:dyDescent="0.35">
      <c r="A360">
        <f t="shared" si="97"/>
        <v>358</v>
      </c>
      <c r="B360">
        <f>IF(G360="Bonds",COUNTIF($G$3:G360,"Bonds"),0)</f>
        <v>0</v>
      </c>
      <c r="C360" t="str">
        <f t="shared" si="99"/>
        <v>Natura Cosméticos4300344464</v>
      </c>
      <c r="D360">
        <f t="shared" si="100"/>
        <v>27</v>
      </c>
      <c r="E360" s="43" t="s">
        <v>430</v>
      </c>
      <c r="F360" s="43" t="s">
        <v>431</v>
      </c>
      <c r="G360" s="43" t="s">
        <v>25</v>
      </c>
      <c r="H360">
        <f t="shared" si="102"/>
        <v>0</v>
      </c>
      <c r="I360" s="43" t="s">
        <v>439</v>
      </c>
      <c r="J360" s="34">
        <f t="shared" si="101"/>
        <v>8</v>
      </c>
      <c r="K360" s="28">
        <v>43003</v>
      </c>
      <c r="L360" s="28">
        <v>44464</v>
      </c>
      <c r="M360" s="60">
        <f t="shared" si="103"/>
        <v>4.0027397260273974</v>
      </c>
      <c r="N360" s="4">
        <f t="shared" si="104"/>
        <v>0</v>
      </c>
      <c r="O360" s="43" t="s">
        <v>44</v>
      </c>
      <c r="P360" t="str">
        <f t="shared" si="109"/>
        <v>0</v>
      </c>
      <c r="Q360" s="44">
        <v>182727</v>
      </c>
      <c r="R360" s="43">
        <v>10000</v>
      </c>
      <c r="S360" s="34" t="str">
        <f>IF($V360="USD",INDEX('Dólar Spot'!$B:$B,MATCH(Base!$K360,'Dólar Spot'!$A:$A,0)),"")</f>
        <v/>
      </c>
      <c r="T360" s="4">
        <f t="shared" si="111"/>
        <v>1827270000</v>
      </c>
      <c r="U360" s="8">
        <f t="shared" si="110"/>
        <v>18.2727</v>
      </c>
      <c r="V360" s="43" t="s">
        <v>41</v>
      </c>
      <c r="W360" s="45">
        <v>100</v>
      </c>
      <c r="X360" s="46">
        <v>1.75</v>
      </c>
      <c r="Y360" s="9">
        <f>IF(AND(V360="DI",$W360=100),$X360/100,
IF(AND(V360="DI",$W360&lt;&gt;100,$X360=""),INDEX('Debs %CDI'!$Q:$Q,MATCH(Base!$C360,'Debs %CDI'!$A:$A,0)),
IF($V360="USD",INDEX(Bonds!$AF:$AF,MATCH(Base!$C360,Bonds!$B:$B,0)),
IF($V360="IPCA",INDEX('Debs IPCA'!$Z:$Z,MATCH(Base!$C360,'Debs IPCA'!$A:$A,0))))))</f>
        <v>1.7500000000000002E-2</v>
      </c>
      <c r="Z360" s="43">
        <v>252</v>
      </c>
      <c r="AA360" s="43" t="s">
        <v>30</v>
      </c>
      <c r="AB360" s="43" t="s">
        <v>32</v>
      </c>
      <c r="AC360">
        <f t="shared" si="105"/>
        <v>0</v>
      </c>
      <c r="AD360" s="43" t="s">
        <v>32</v>
      </c>
      <c r="AE360">
        <f t="shared" si="106"/>
        <v>0</v>
      </c>
      <c r="AF360" s="34" t="str" cm="1">
        <f t="array" ref="AF360">INDEX(Ratings!$B$2:$M$40,_xlfn.XMATCH(Base!F360,Ratings!$A$2:$A$40),_xlfn.XMATCH(YEAR(Base!K360),Ratings!$B$1:$M$1))</f>
        <v>NR</v>
      </c>
      <c r="AG360">
        <f t="shared" si="96"/>
        <v>0</v>
      </c>
      <c r="AH360">
        <f>IFERROR(IFERROR(IFERROR(INDEX('EMBI+'!$B:$B,MATCH(Base!$K360,'EMBI+'!$A:$A,0)),INDEX('EMBI+'!$B:$B,MATCH(Base!$K360+1,'EMBI+'!$A:$A,0))),INDEX('EMBI+'!$B:$B,MATCH(Base!$K360+2,'EMBI+'!$A:$A,0))),INDEX('EMBI+'!$B:$B,MATCH(Base!$K360+3,'EMBI+'!$A:$A,0)))/100</f>
        <v>2.57</v>
      </c>
      <c r="AL360" s="43"/>
      <c r="AM360" s="28"/>
      <c r="AN360" s="28"/>
    </row>
    <row r="361" spans="1:40" x14ac:dyDescent="0.35">
      <c r="A361">
        <f t="shared" si="97"/>
        <v>359</v>
      </c>
      <c r="B361">
        <f>IF(G361="Bonds",COUNTIF($G$3:G361,"Bonds"),0)</f>
        <v>0</v>
      </c>
      <c r="C361" t="str">
        <f t="shared" si="99"/>
        <v>Natura Cosméticos4336444460</v>
      </c>
      <c r="D361">
        <f t="shared" si="100"/>
        <v>27</v>
      </c>
      <c r="E361" s="43" t="s">
        <v>430</v>
      </c>
      <c r="F361" s="43" t="s">
        <v>431</v>
      </c>
      <c r="G361" s="43" t="s">
        <v>25</v>
      </c>
      <c r="H361">
        <f t="shared" si="102"/>
        <v>0</v>
      </c>
      <c r="I361" s="43" t="s">
        <v>440</v>
      </c>
      <c r="J361" s="34">
        <f t="shared" si="101"/>
        <v>9</v>
      </c>
      <c r="K361" s="28">
        <v>43364</v>
      </c>
      <c r="L361" s="28">
        <v>44460</v>
      </c>
      <c r="M361" s="60">
        <f t="shared" si="103"/>
        <v>3.0027397260273974</v>
      </c>
      <c r="N361" s="4">
        <f t="shared" si="104"/>
        <v>0</v>
      </c>
      <c r="O361" s="43" t="s">
        <v>44</v>
      </c>
      <c r="P361" t="str">
        <f t="shared" si="109"/>
        <v>0</v>
      </c>
      <c r="Q361" s="44">
        <v>30831</v>
      </c>
      <c r="R361" s="43">
        <v>10000</v>
      </c>
      <c r="S361" s="34" t="str">
        <f>IF($V361="USD",INDEX('Dólar Spot'!$B:$B,MATCH(Base!$K361,'Dólar Spot'!$A:$A,0)),"")</f>
        <v/>
      </c>
      <c r="T361" s="4">
        <f t="shared" si="111"/>
        <v>308310000</v>
      </c>
      <c r="U361" s="8">
        <f t="shared" si="110"/>
        <v>3.0831</v>
      </c>
      <c r="V361" s="43" t="s">
        <v>41</v>
      </c>
      <c r="W361" s="45">
        <v>110.5</v>
      </c>
      <c r="X361" s="46"/>
      <c r="Y361" s="9">
        <f>IF(AND(V361="DI",$W361=100),$X361/100,
IF(AND(V361="DI",$W361&lt;&gt;100,$X361=""),INDEX('Debs %CDI'!$Q:$Q,MATCH(Base!$C361,'Debs %CDI'!$A:$A,0)),
IF($V361="USD",INDEX(Bonds!$AF:$AF,MATCH(Base!$C361,Bonds!$B:$B,0)),
IF($V361="IPCA",INDEX('Debs IPCA'!$Z:$Z,MATCH(Base!$C361,'Debs IPCA'!$A:$A,0))))))</f>
        <v>1.081201627685595E-2</v>
      </c>
      <c r="Z361" s="43">
        <v>252</v>
      </c>
      <c r="AA361" s="43" t="s">
        <v>30</v>
      </c>
      <c r="AB361" s="43" t="s">
        <v>32</v>
      </c>
      <c r="AC361">
        <f t="shared" si="105"/>
        <v>0</v>
      </c>
      <c r="AD361" s="43" t="s">
        <v>32</v>
      </c>
      <c r="AE361">
        <f t="shared" si="106"/>
        <v>0</v>
      </c>
      <c r="AF361" s="34" t="str" cm="1">
        <f t="array" ref="AF361">INDEX(Ratings!$B$2:$M$40,_xlfn.XMATCH(Base!F361,Ratings!$A$2:$A$40),_xlfn.XMATCH(YEAR(Base!K361),Ratings!$B$1:$M$1))</f>
        <v>BB</v>
      </c>
      <c r="AG361">
        <f t="shared" si="96"/>
        <v>0</v>
      </c>
      <c r="AH361">
        <f>IFERROR(IFERROR(IFERROR(INDEX('EMBI+'!$B:$B,MATCH(Base!$K361,'EMBI+'!$A:$A,0)),INDEX('EMBI+'!$B:$B,MATCH(Base!$K361+1,'EMBI+'!$A:$A,0))),INDEX('EMBI+'!$B:$B,MATCH(Base!$K361+2,'EMBI+'!$A:$A,0))),INDEX('EMBI+'!$B:$B,MATCH(Base!$K361+3,'EMBI+'!$A:$A,0)))/100</f>
        <v>2.87</v>
      </c>
      <c r="AL361" s="43"/>
      <c r="AM361" s="28"/>
      <c r="AN361" s="28"/>
    </row>
    <row r="362" spans="1:40" x14ac:dyDescent="0.35">
      <c r="A362">
        <f t="shared" si="97"/>
        <v>360</v>
      </c>
      <c r="B362">
        <f>IF(G362="Bonds",COUNTIF($G$3:G362,"Bonds"),0)</f>
        <v>0</v>
      </c>
      <c r="C362" t="str">
        <f t="shared" si="99"/>
        <v>Natura Cosméticos4169543521</v>
      </c>
      <c r="D362">
        <f t="shared" si="100"/>
        <v>27</v>
      </c>
      <c r="E362" s="43" t="s">
        <v>430</v>
      </c>
      <c r="F362" s="43" t="s">
        <v>431</v>
      </c>
      <c r="G362" s="43" t="s">
        <v>25</v>
      </c>
      <c r="H362">
        <f t="shared" si="102"/>
        <v>0</v>
      </c>
      <c r="I362" s="43" t="s">
        <v>441</v>
      </c>
      <c r="J362" s="34">
        <f t="shared" si="101"/>
        <v>10</v>
      </c>
      <c r="K362" s="28">
        <v>41695</v>
      </c>
      <c r="L362" s="28">
        <v>43521</v>
      </c>
      <c r="M362" s="60">
        <f t="shared" si="103"/>
        <v>5.0027397260273974</v>
      </c>
      <c r="N362" s="4">
        <f t="shared" si="104"/>
        <v>1</v>
      </c>
      <c r="O362" s="43" t="s">
        <v>44</v>
      </c>
      <c r="P362" t="str">
        <f t="shared" si="109"/>
        <v>0</v>
      </c>
      <c r="Q362" s="44">
        <v>20000</v>
      </c>
      <c r="R362" s="43">
        <v>10000</v>
      </c>
      <c r="S362" s="34" t="str">
        <f>IF($V362="USD",INDEX('Dólar Spot'!$B:$B,MATCH(Base!$K362,'Dólar Spot'!$A:$A,0)),"")</f>
        <v/>
      </c>
      <c r="T362" s="4">
        <f t="shared" si="111"/>
        <v>200000000</v>
      </c>
      <c r="U362" s="8">
        <f t="shared" si="110"/>
        <v>2</v>
      </c>
      <c r="V362" s="43" t="s">
        <v>41</v>
      </c>
      <c r="W362" s="45">
        <v>108</v>
      </c>
      <c r="X362" s="46"/>
      <c r="Y362" s="9">
        <f>IF(AND(V362="DI",$W362=100),$X362/100,
IF(AND(V362="DI",$W362&lt;&gt;100,$X362=""),INDEX('Debs %CDI'!$Q:$Q,MATCH(Base!$C362,'Debs %CDI'!$A:$A,0)),
IF($V362="USD",INDEX(Bonds!$AF:$AF,MATCH(Base!$C362,Bonds!$B:$B,0)),
IF($V362="IPCA",INDEX('Debs IPCA'!$Z:$Z,MATCH(Base!$C362,'Debs IPCA'!$A:$A,0))))))</f>
        <v>9.9579739307182093E-3</v>
      </c>
      <c r="Z362" s="43">
        <v>252</v>
      </c>
      <c r="AA362" s="43" t="s">
        <v>30</v>
      </c>
      <c r="AB362" s="43" t="s">
        <v>32</v>
      </c>
      <c r="AC362">
        <f t="shared" si="105"/>
        <v>0</v>
      </c>
      <c r="AD362" s="43" t="s">
        <v>32</v>
      </c>
      <c r="AE362">
        <f t="shared" si="106"/>
        <v>0</v>
      </c>
      <c r="AF362" s="34" t="str" cm="1">
        <f t="array" ref="AF362">INDEX(Ratings!$B$2:$M$40,_xlfn.XMATCH(Base!F362,Ratings!$A$2:$A$40),_xlfn.XMATCH(YEAR(Base!K362),Ratings!$B$1:$M$1))</f>
        <v>BBB</v>
      </c>
      <c r="AG362">
        <f t="shared" si="96"/>
        <v>1</v>
      </c>
      <c r="AH362">
        <f>IFERROR(IFERROR(IFERROR(INDEX('EMBI+'!$B:$B,MATCH(Base!$K362,'EMBI+'!$A:$A,0)),INDEX('EMBI+'!$B:$B,MATCH(Base!$K362+1,'EMBI+'!$A:$A,0))),INDEX('EMBI+'!$B:$B,MATCH(Base!$K362+2,'EMBI+'!$A:$A,0))),INDEX('EMBI+'!$B:$B,MATCH(Base!$K362+3,'EMBI+'!$A:$A,0)))/100</f>
        <v>2.44</v>
      </c>
      <c r="AL362" s="43"/>
      <c r="AM362" s="28"/>
      <c r="AN362" s="28"/>
    </row>
    <row r="363" spans="1:40" x14ac:dyDescent="0.35">
      <c r="A363">
        <f t="shared" si="97"/>
        <v>361</v>
      </c>
      <c r="B363">
        <f>IF(G363="Bonds",COUNTIF($G$3:G363,"Bonds"),0)</f>
        <v>0</v>
      </c>
      <c r="C363" t="str">
        <f t="shared" si="99"/>
        <v>Natura Cosméticos4207943906</v>
      </c>
      <c r="D363">
        <f t="shared" si="100"/>
        <v>27</v>
      </c>
      <c r="E363" s="43" t="s">
        <v>430</v>
      </c>
      <c r="F363" s="43" t="s">
        <v>431</v>
      </c>
      <c r="G363" s="43" t="s">
        <v>25</v>
      </c>
      <c r="H363">
        <f t="shared" si="102"/>
        <v>0</v>
      </c>
      <c r="I363" s="43" t="s">
        <v>442</v>
      </c>
      <c r="J363" s="34">
        <f t="shared" si="101"/>
        <v>11</v>
      </c>
      <c r="K363" s="28">
        <v>42079</v>
      </c>
      <c r="L363" s="28">
        <v>43906</v>
      </c>
      <c r="M363" s="60">
        <f t="shared" si="103"/>
        <v>5.0054794520547947</v>
      </c>
      <c r="N363" s="4">
        <f t="shared" si="104"/>
        <v>1</v>
      </c>
      <c r="O363" s="43" t="s">
        <v>44</v>
      </c>
      <c r="P363" t="str">
        <f t="shared" si="109"/>
        <v>0</v>
      </c>
      <c r="Q363" s="44">
        <v>15000</v>
      </c>
      <c r="R363" s="43">
        <v>10000</v>
      </c>
      <c r="S363" s="34" t="str">
        <f>IF($V363="USD",INDEX('Dólar Spot'!$B:$B,MATCH(Base!$K363,'Dólar Spot'!$A:$A,0)),"")</f>
        <v/>
      </c>
      <c r="T363" s="4">
        <f t="shared" si="111"/>
        <v>150000000</v>
      </c>
      <c r="U363" s="8">
        <f t="shared" si="110"/>
        <v>1.5</v>
      </c>
      <c r="V363" s="43" t="s">
        <v>41</v>
      </c>
      <c r="W363" s="45">
        <v>109</v>
      </c>
      <c r="X363" s="46"/>
      <c r="Y363" s="9">
        <f>IF(AND(V363="DI",$W363=100),$X363/100,
IF(AND(V363="DI",$W363&lt;&gt;100,$X363=""),INDEX('Debs %CDI'!$Q:$Q,MATCH(Base!$C363,'Debs %CDI'!$A:$A,0)),
IF($V363="USD",INDEX(Bonds!$AF:$AF,MATCH(Base!$C363,Bonds!$B:$B,0)),
IF($V363="IPCA",INDEX('Debs IPCA'!$Z:$Z,MATCH(Base!$C363,'Debs IPCA'!$A:$A,0))))))</f>
        <v>1.2010042098670064E-2</v>
      </c>
      <c r="Z363" s="43">
        <v>252</v>
      </c>
      <c r="AA363" s="43" t="s">
        <v>30</v>
      </c>
      <c r="AB363" s="43" t="s">
        <v>32</v>
      </c>
      <c r="AC363">
        <f t="shared" si="105"/>
        <v>0</v>
      </c>
      <c r="AD363" s="43" t="s">
        <v>32</v>
      </c>
      <c r="AE363">
        <f t="shared" si="106"/>
        <v>0</v>
      </c>
      <c r="AF363" s="34" t="str" cm="1">
        <f t="array" ref="AF363">INDEX(Ratings!$B$2:$M$40,_xlfn.XMATCH(Base!F363,Ratings!$A$2:$A$40),_xlfn.XMATCH(YEAR(Base!K363),Ratings!$B$1:$M$1))</f>
        <v>BBB</v>
      </c>
      <c r="AG363">
        <f t="shared" si="96"/>
        <v>1</v>
      </c>
      <c r="AH363">
        <f>IFERROR(IFERROR(IFERROR(INDEX('EMBI+'!$B:$B,MATCH(Base!$K363,'EMBI+'!$A:$A,0)),INDEX('EMBI+'!$B:$B,MATCH(Base!$K363+1,'EMBI+'!$A:$A,0))),INDEX('EMBI+'!$B:$B,MATCH(Base!$K363+2,'EMBI+'!$A:$A,0))),INDEX('EMBI+'!$B:$B,MATCH(Base!$K363+3,'EMBI+'!$A:$A,0)))/100</f>
        <v>3.44</v>
      </c>
      <c r="AL363" s="43"/>
      <c r="AM363" s="28"/>
      <c r="AN363" s="28"/>
    </row>
    <row r="364" spans="1:40" x14ac:dyDescent="0.35">
      <c r="A364">
        <f t="shared" si="97"/>
        <v>362</v>
      </c>
      <c r="B364">
        <f>IF(G364="Bonds",COUNTIF($G$3:G364,"Bonds"),0)</f>
        <v>0</v>
      </c>
      <c r="C364" t="str">
        <f t="shared" si="99"/>
        <v>Natura Cosméticos4336444825</v>
      </c>
      <c r="D364">
        <f t="shared" si="100"/>
        <v>27</v>
      </c>
      <c r="E364" s="43" t="s">
        <v>430</v>
      </c>
      <c r="F364" s="43" t="s">
        <v>431</v>
      </c>
      <c r="G364" s="43" t="s">
        <v>25</v>
      </c>
      <c r="H364">
        <f t="shared" si="102"/>
        <v>0</v>
      </c>
      <c r="I364" s="43" t="s">
        <v>443</v>
      </c>
      <c r="J364" s="34">
        <f t="shared" si="101"/>
        <v>12</v>
      </c>
      <c r="K364" s="28">
        <v>43364</v>
      </c>
      <c r="L364" s="28">
        <v>44825</v>
      </c>
      <c r="M364" s="60">
        <f t="shared" si="103"/>
        <v>4.0027397260273974</v>
      </c>
      <c r="N364" s="4">
        <f t="shared" si="104"/>
        <v>0</v>
      </c>
      <c r="O364" s="43" t="s">
        <v>44</v>
      </c>
      <c r="P364" t="str">
        <f t="shared" si="109"/>
        <v>0</v>
      </c>
      <c r="Q364" s="44">
        <v>30265</v>
      </c>
      <c r="R364" s="43">
        <v>10000</v>
      </c>
      <c r="S364" s="34" t="str">
        <f>IF($V364="USD",INDEX('Dólar Spot'!$B:$B,MATCH(Base!$K364,'Dólar Spot'!$A:$A,0)),"")</f>
        <v/>
      </c>
      <c r="T364" s="4">
        <f t="shared" si="111"/>
        <v>302650000</v>
      </c>
      <c r="U364" s="8">
        <f t="shared" si="110"/>
        <v>3.0265</v>
      </c>
      <c r="V364" s="43" t="s">
        <v>41</v>
      </c>
      <c r="W364" s="45">
        <v>112</v>
      </c>
      <c r="X364" s="46"/>
      <c r="Y364" s="9">
        <f>IF(AND(V364="DI",$W364=100),$X364/100,
IF(AND(V364="DI",$W364&lt;&gt;100,$X364=""),INDEX('Debs %CDI'!$Q:$Q,MATCH(Base!$C364,'Debs %CDI'!$A:$A,0)),
IF($V364="USD",INDEX(Bonds!$AF:$AF,MATCH(Base!$C364,Bonds!$B:$B,0)),
IF($V364="IPCA",INDEX('Debs IPCA'!$Z:$Z,MATCH(Base!$C364,'Debs IPCA'!$A:$A,0))))))</f>
        <v>1.3189020710146215E-2</v>
      </c>
      <c r="Z364" s="43">
        <v>252</v>
      </c>
      <c r="AA364" s="43" t="s">
        <v>30</v>
      </c>
      <c r="AB364" s="43" t="s">
        <v>32</v>
      </c>
      <c r="AC364">
        <f t="shared" si="105"/>
        <v>0</v>
      </c>
      <c r="AD364" s="43" t="s">
        <v>32</v>
      </c>
      <c r="AE364">
        <f t="shared" si="106"/>
        <v>0</v>
      </c>
      <c r="AF364" s="34" t="str" cm="1">
        <f t="array" ref="AF364">INDEX(Ratings!$B$2:$M$40,_xlfn.XMATCH(Base!F364,Ratings!$A$2:$A$40),_xlfn.XMATCH(YEAR(Base!K364),Ratings!$B$1:$M$1))</f>
        <v>BB</v>
      </c>
      <c r="AG364">
        <f t="shared" si="96"/>
        <v>0</v>
      </c>
      <c r="AH364">
        <f>IFERROR(IFERROR(IFERROR(INDEX('EMBI+'!$B:$B,MATCH(Base!$K364,'EMBI+'!$A:$A,0)),INDEX('EMBI+'!$B:$B,MATCH(Base!$K364+1,'EMBI+'!$A:$A,0))),INDEX('EMBI+'!$B:$B,MATCH(Base!$K364+2,'EMBI+'!$A:$A,0))),INDEX('EMBI+'!$B:$B,MATCH(Base!$K364+3,'EMBI+'!$A:$A,0)))/100</f>
        <v>2.87</v>
      </c>
      <c r="AL364" s="43"/>
      <c r="AM364" s="28"/>
      <c r="AN364" s="28"/>
    </row>
    <row r="365" spans="1:40" x14ac:dyDescent="0.35">
      <c r="A365">
        <f t="shared" si="97"/>
        <v>363</v>
      </c>
      <c r="B365">
        <f>IF(G365="Bonds",COUNTIF($G$3:G365,"Bonds"),0)</f>
        <v>0</v>
      </c>
      <c r="C365" t="str">
        <f t="shared" si="99"/>
        <v>Natura Cosméticos4370345530</v>
      </c>
      <c r="D365">
        <f t="shared" si="100"/>
        <v>27</v>
      </c>
      <c r="E365" s="43" t="s">
        <v>430</v>
      </c>
      <c r="F365" s="43" t="s">
        <v>431</v>
      </c>
      <c r="G365" s="43" t="s">
        <v>25</v>
      </c>
      <c r="H365">
        <f t="shared" si="102"/>
        <v>0</v>
      </c>
      <c r="I365" s="43" t="s">
        <v>444</v>
      </c>
      <c r="J365" s="34">
        <f t="shared" si="101"/>
        <v>13</v>
      </c>
      <c r="K365" s="28">
        <v>43703</v>
      </c>
      <c r="L365" s="28">
        <v>45530</v>
      </c>
      <c r="M365" s="60">
        <f t="shared" si="103"/>
        <v>5.0054794520547947</v>
      </c>
      <c r="N365" s="4">
        <f t="shared" si="104"/>
        <v>1</v>
      </c>
      <c r="O365" s="43" t="s">
        <v>44</v>
      </c>
      <c r="P365" t="str">
        <f t="shared" si="109"/>
        <v>0</v>
      </c>
      <c r="Q365" s="44">
        <v>40000</v>
      </c>
      <c r="R365" s="43">
        <v>10000</v>
      </c>
      <c r="S365" s="34" t="str">
        <f>IF($V365="USD",INDEX('Dólar Spot'!$B:$B,MATCH(Base!$K365,'Dólar Spot'!$A:$A,0)),"")</f>
        <v/>
      </c>
      <c r="T365" s="4">
        <f t="shared" si="111"/>
        <v>400000000</v>
      </c>
      <c r="U365" s="8">
        <f t="shared" si="110"/>
        <v>4</v>
      </c>
      <c r="V365" s="43" t="s">
        <v>41</v>
      </c>
      <c r="W365" s="45">
        <v>100</v>
      </c>
      <c r="X365" s="46">
        <v>1</v>
      </c>
      <c r="Y365" s="9">
        <f>IF(AND(V365="DI",$W365=100),$X365/100,
IF(AND(V365="DI",$W365&lt;&gt;100,$X365=""),INDEX('Debs %CDI'!$Q:$Q,MATCH(Base!$C365,'Debs %CDI'!$A:$A,0)),
IF($V365="USD",INDEX(Bonds!$AF:$AF,MATCH(Base!$C365,Bonds!$B:$B,0)),
IF($V365="IPCA",INDEX('Debs IPCA'!$Z:$Z,MATCH(Base!$C365,'Debs IPCA'!$A:$A,0))))))</f>
        <v>0.01</v>
      </c>
      <c r="Z365" s="43">
        <v>252</v>
      </c>
      <c r="AA365" s="43" t="s">
        <v>30</v>
      </c>
      <c r="AB365" s="43" t="s">
        <v>32</v>
      </c>
      <c r="AC365">
        <f t="shared" si="105"/>
        <v>0</v>
      </c>
      <c r="AD365" s="43" t="s">
        <v>31</v>
      </c>
      <c r="AE365">
        <f t="shared" si="106"/>
        <v>1</v>
      </c>
      <c r="AF365" s="34" t="str" cm="1">
        <f t="array" ref="AF365">INDEX(Ratings!$B$2:$M$40,_xlfn.XMATCH(Base!F365,Ratings!$A$2:$A$40),_xlfn.XMATCH(YEAR(Base!K365),Ratings!$B$1:$M$1))</f>
        <v>BB</v>
      </c>
      <c r="AG365">
        <f t="shared" si="96"/>
        <v>0</v>
      </c>
      <c r="AH365">
        <f>IFERROR(IFERROR(IFERROR(INDEX('EMBI+'!$B:$B,MATCH(Base!$K365,'EMBI+'!$A:$A,0)),INDEX('EMBI+'!$B:$B,MATCH(Base!$K365+1,'EMBI+'!$A:$A,0))),INDEX('EMBI+'!$B:$B,MATCH(Base!$K365+2,'EMBI+'!$A:$A,0))),INDEX('EMBI+'!$B:$B,MATCH(Base!$K365+3,'EMBI+'!$A:$A,0)))/100</f>
        <v>2.4500000000000002</v>
      </c>
      <c r="AL365" s="43"/>
      <c r="AM365" s="28"/>
      <c r="AN365" s="28"/>
    </row>
    <row r="366" spans="1:40" x14ac:dyDescent="0.35">
      <c r="A366">
        <f t="shared" si="97"/>
        <v>364</v>
      </c>
      <c r="B366">
        <f>IF(G366="Bonds",COUNTIF($G$3:G366,"Bonds"),0)</f>
        <v>0</v>
      </c>
      <c r="C366" t="str">
        <f t="shared" si="99"/>
        <v>Natura Cosméticos4370345530</v>
      </c>
      <c r="D366">
        <f t="shared" si="100"/>
        <v>27</v>
      </c>
      <c r="E366" s="43" t="s">
        <v>430</v>
      </c>
      <c r="F366" s="43" t="s">
        <v>431</v>
      </c>
      <c r="G366" s="43" t="s">
        <v>25</v>
      </c>
      <c r="H366">
        <f t="shared" si="102"/>
        <v>0</v>
      </c>
      <c r="I366" s="43" t="s">
        <v>445</v>
      </c>
      <c r="J366" s="34">
        <f t="shared" si="101"/>
        <v>14</v>
      </c>
      <c r="K366" s="28">
        <v>43703</v>
      </c>
      <c r="L366" s="28">
        <v>45530</v>
      </c>
      <c r="M366" s="60">
        <f t="shared" si="103"/>
        <v>5.0054794520547947</v>
      </c>
      <c r="N366" s="4">
        <f t="shared" si="104"/>
        <v>1</v>
      </c>
      <c r="O366" s="43" t="s">
        <v>44</v>
      </c>
      <c r="P366" t="str">
        <f t="shared" si="109"/>
        <v>0</v>
      </c>
      <c r="Q366" s="44">
        <v>9570</v>
      </c>
      <c r="R366" s="43">
        <v>10000</v>
      </c>
      <c r="S366" s="34" t="str">
        <f>IF($V366="USD",INDEX('Dólar Spot'!$B:$B,MATCH(Base!$K366,'Dólar Spot'!$A:$A,0)),"")</f>
        <v/>
      </c>
      <c r="T366" s="4">
        <f t="shared" si="111"/>
        <v>95700000</v>
      </c>
      <c r="U366" s="8">
        <f t="shared" si="110"/>
        <v>0.95699999999999996</v>
      </c>
      <c r="V366" s="43" t="s">
        <v>41</v>
      </c>
      <c r="W366" s="45">
        <v>100</v>
      </c>
      <c r="X366" s="46">
        <v>1.1499999999999999</v>
      </c>
      <c r="Y366" s="9">
        <f>IF(AND(V366="DI",$W366=100),$X366/100,
IF(AND(V366="DI",$W366&lt;&gt;100,$X366=""),INDEX('Debs %CDI'!$Q:$Q,MATCH(Base!$C366,'Debs %CDI'!$A:$A,0)),
IF($V366="USD",INDEX(Bonds!$AF:$AF,MATCH(Base!$C366,Bonds!$B:$B,0)),
IF($V366="IPCA",INDEX('Debs IPCA'!$Z:$Z,MATCH(Base!$C366,'Debs IPCA'!$A:$A,0))))))</f>
        <v>1.15E-2</v>
      </c>
      <c r="Z366" s="43">
        <v>252</v>
      </c>
      <c r="AA366" s="43" t="s">
        <v>30</v>
      </c>
      <c r="AB366" s="43" t="s">
        <v>32</v>
      </c>
      <c r="AC366">
        <f t="shared" si="105"/>
        <v>0</v>
      </c>
      <c r="AD366" s="43" t="s">
        <v>31</v>
      </c>
      <c r="AE366">
        <f t="shared" si="106"/>
        <v>1</v>
      </c>
      <c r="AF366" s="34" t="str" cm="1">
        <f t="array" ref="AF366">INDEX(Ratings!$B$2:$M$40,_xlfn.XMATCH(Base!F366,Ratings!$A$2:$A$40),_xlfn.XMATCH(YEAR(Base!K366),Ratings!$B$1:$M$1))</f>
        <v>BB</v>
      </c>
      <c r="AG366">
        <f t="shared" si="96"/>
        <v>0</v>
      </c>
      <c r="AH366">
        <f>IFERROR(IFERROR(IFERROR(INDEX('EMBI+'!$B:$B,MATCH(Base!$K366,'EMBI+'!$A:$A,0)),INDEX('EMBI+'!$B:$B,MATCH(Base!$K366+1,'EMBI+'!$A:$A,0))),INDEX('EMBI+'!$B:$B,MATCH(Base!$K366+2,'EMBI+'!$A:$A,0))),INDEX('EMBI+'!$B:$B,MATCH(Base!$K366+3,'EMBI+'!$A:$A,0)))/100</f>
        <v>2.4500000000000002</v>
      </c>
      <c r="AL366" s="43"/>
      <c r="AM366" s="28"/>
      <c r="AN366" s="28"/>
    </row>
    <row r="367" spans="1:40" x14ac:dyDescent="0.35">
      <c r="A367">
        <f t="shared" si="97"/>
        <v>365</v>
      </c>
      <c r="B367">
        <f>IF(G367="Bonds",COUNTIF($G$3:G367,"Bonds"),0)</f>
        <v>0</v>
      </c>
      <c r="C367" t="str">
        <f t="shared" si="99"/>
        <v>Natura Cosméticos4370345530</v>
      </c>
      <c r="D367">
        <f t="shared" si="100"/>
        <v>27</v>
      </c>
      <c r="E367" s="43" t="s">
        <v>430</v>
      </c>
      <c r="F367" s="43" t="s">
        <v>431</v>
      </c>
      <c r="G367" s="43" t="s">
        <v>25</v>
      </c>
      <c r="H367">
        <f t="shared" si="102"/>
        <v>0</v>
      </c>
      <c r="I367" s="43" t="s">
        <v>446</v>
      </c>
      <c r="J367" s="34">
        <f t="shared" si="101"/>
        <v>15</v>
      </c>
      <c r="K367" s="28">
        <v>43703</v>
      </c>
      <c r="L367" s="28">
        <v>45530</v>
      </c>
      <c r="M367" s="60">
        <f t="shared" si="103"/>
        <v>5.0054794520547947</v>
      </c>
      <c r="N367" s="4">
        <f t="shared" si="104"/>
        <v>1</v>
      </c>
      <c r="O367" s="43" t="s">
        <v>44</v>
      </c>
      <c r="P367" t="str">
        <f t="shared" si="109"/>
        <v>0</v>
      </c>
      <c r="Q367" s="44">
        <v>68726</v>
      </c>
      <c r="R367" s="43">
        <v>10000</v>
      </c>
      <c r="S367" s="34" t="str">
        <f>IF($V367="USD",INDEX('Dólar Spot'!$B:$B,MATCH(Base!$K367,'Dólar Spot'!$A:$A,0)),"")</f>
        <v/>
      </c>
      <c r="T367" s="4">
        <f t="shared" si="111"/>
        <v>687260000</v>
      </c>
      <c r="U367" s="8">
        <f t="shared" si="110"/>
        <v>6.8726000000000003</v>
      </c>
      <c r="V367" s="43" t="s">
        <v>41</v>
      </c>
      <c r="W367" s="45">
        <v>100</v>
      </c>
      <c r="X367" s="46">
        <v>1.1499999999999999</v>
      </c>
      <c r="Y367" s="9">
        <f>IF(AND(V367="DI",$W367=100),$X367/100,
IF(AND(V367="DI",$W367&lt;&gt;100,$X367=""),INDEX('Debs %CDI'!$Q:$Q,MATCH(Base!$C367,'Debs %CDI'!$A:$A,0)),
IF($V367="USD",INDEX(Bonds!$AF:$AF,MATCH(Base!$C367,Bonds!$B:$B,0)),
IF($V367="IPCA",INDEX('Debs IPCA'!$Z:$Z,MATCH(Base!$C367,'Debs IPCA'!$A:$A,0))))))</f>
        <v>1.15E-2</v>
      </c>
      <c r="Z367" s="43">
        <v>252</v>
      </c>
      <c r="AA367" s="43" t="s">
        <v>30</v>
      </c>
      <c r="AB367" s="43" t="s">
        <v>32</v>
      </c>
      <c r="AC367">
        <f t="shared" si="105"/>
        <v>0</v>
      </c>
      <c r="AD367" s="43" t="s">
        <v>31</v>
      </c>
      <c r="AE367">
        <f t="shared" si="106"/>
        <v>1</v>
      </c>
      <c r="AF367" s="34" t="str" cm="1">
        <f t="array" ref="AF367">INDEX(Ratings!$B$2:$M$40,_xlfn.XMATCH(Base!F367,Ratings!$A$2:$A$40),_xlfn.XMATCH(YEAR(Base!K367),Ratings!$B$1:$M$1))</f>
        <v>BB</v>
      </c>
      <c r="AG367">
        <f t="shared" si="96"/>
        <v>0</v>
      </c>
      <c r="AH367">
        <f>IFERROR(IFERROR(IFERROR(INDEX('EMBI+'!$B:$B,MATCH(Base!$K367,'EMBI+'!$A:$A,0)),INDEX('EMBI+'!$B:$B,MATCH(Base!$K367+1,'EMBI+'!$A:$A,0))),INDEX('EMBI+'!$B:$B,MATCH(Base!$K367+2,'EMBI+'!$A:$A,0))),INDEX('EMBI+'!$B:$B,MATCH(Base!$K367+3,'EMBI+'!$A:$A,0)))/100</f>
        <v>2.4500000000000002</v>
      </c>
      <c r="AL367" s="43"/>
      <c r="AM367" s="28"/>
      <c r="AN367" s="28"/>
    </row>
    <row r="368" spans="1:40" x14ac:dyDescent="0.35">
      <c r="A368">
        <f t="shared" si="97"/>
        <v>366</v>
      </c>
      <c r="B368">
        <f>IF(G368="Bonds",COUNTIF($G$3:G368,"Bonds"),0)</f>
        <v>0</v>
      </c>
      <c r="C368" t="str">
        <f t="shared" si="99"/>
        <v>Natura Cosméticos4370345530</v>
      </c>
      <c r="D368">
        <f t="shared" si="100"/>
        <v>27</v>
      </c>
      <c r="E368" s="43" t="s">
        <v>430</v>
      </c>
      <c r="F368" s="43" t="s">
        <v>431</v>
      </c>
      <c r="G368" s="43" t="s">
        <v>25</v>
      </c>
      <c r="H368">
        <f t="shared" si="102"/>
        <v>0</v>
      </c>
      <c r="I368" s="43" t="s">
        <v>447</v>
      </c>
      <c r="J368" s="34">
        <f t="shared" si="101"/>
        <v>16</v>
      </c>
      <c r="K368" s="28">
        <v>43703</v>
      </c>
      <c r="L368" s="28">
        <v>45530</v>
      </c>
      <c r="M368" s="60">
        <f t="shared" si="103"/>
        <v>5.0054794520547947</v>
      </c>
      <c r="N368" s="4">
        <f t="shared" si="104"/>
        <v>1</v>
      </c>
      <c r="O368" s="43" t="s">
        <v>44</v>
      </c>
      <c r="P368" t="str">
        <f t="shared" si="109"/>
        <v>0</v>
      </c>
      <c r="Q368" s="44">
        <v>39452</v>
      </c>
      <c r="R368" s="43">
        <v>10000</v>
      </c>
      <c r="S368" s="34" t="str">
        <f>IF($V368="USD",INDEX('Dólar Spot'!$B:$B,MATCH(Base!$K368,'Dólar Spot'!$A:$A,0)),"")</f>
        <v/>
      </c>
      <c r="T368" s="4">
        <f t="shared" si="111"/>
        <v>394520000</v>
      </c>
      <c r="U368" s="8">
        <f t="shared" si="110"/>
        <v>3.9451999999999998</v>
      </c>
      <c r="V368" s="43" t="s">
        <v>41</v>
      </c>
      <c r="W368" s="45">
        <v>100</v>
      </c>
      <c r="X368" s="46">
        <v>1.1499999999999999</v>
      </c>
      <c r="Y368" s="9">
        <f>IF(AND(V368="DI",$W368=100),$X368/100,
IF(AND(V368="DI",$W368&lt;&gt;100,$X368=""),INDEX('Debs %CDI'!$Q:$Q,MATCH(Base!$C368,'Debs %CDI'!$A:$A,0)),
IF($V368="USD",INDEX(Bonds!$AF:$AF,MATCH(Base!$C368,Bonds!$B:$B,0)),
IF($V368="IPCA",INDEX('Debs IPCA'!$Z:$Z,MATCH(Base!$C368,'Debs IPCA'!$A:$A,0))))))</f>
        <v>1.15E-2</v>
      </c>
      <c r="Z368" s="43">
        <v>252</v>
      </c>
      <c r="AA368" s="43" t="s">
        <v>30</v>
      </c>
      <c r="AB368" s="43" t="s">
        <v>32</v>
      </c>
      <c r="AC368">
        <f t="shared" si="105"/>
        <v>0</v>
      </c>
      <c r="AD368" s="43" t="s">
        <v>31</v>
      </c>
      <c r="AE368">
        <f t="shared" si="106"/>
        <v>1</v>
      </c>
      <c r="AF368" s="34" t="str" cm="1">
        <f t="array" ref="AF368">INDEX(Ratings!$B$2:$M$40,_xlfn.XMATCH(Base!F368,Ratings!$A$2:$A$40),_xlfn.XMATCH(YEAR(Base!K368),Ratings!$B$1:$M$1))</f>
        <v>BB</v>
      </c>
      <c r="AG368">
        <f t="shared" si="96"/>
        <v>0</v>
      </c>
      <c r="AH368">
        <f>IFERROR(IFERROR(IFERROR(INDEX('EMBI+'!$B:$B,MATCH(Base!$K368,'EMBI+'!$A:$A,0)),INDEX('EMBI+'!$B:$B,MATCH(Base!$K368+1,'EMBI+'!$A:$A,0))),INDEX('EMBI+'!$B:$B,MATCH(Base!$K368+2,'EMBI+'!$A:$A,0))),INDEX('EMBI+'!$B:$B,MATCH(Base!$K368+3,'EMBI+'!$A:$A,0)))/100</f>
        <v>2.4500000000000002</v>
      </c>
      <c r="AL368" s="43"/>
      <c r="AM368" s="28"/>
      <c r="AN368" s="28"/>
    </row>
    <row r="369" spans="1:40" x14ac:dyDescent="0.35">
      <c r="A369">
        <f t="shared" si="97"/>
        <v>367</v>
      </c>
      <c r="B369">
        <f>IF(G369="Bonds",COUNTIF($G$3:G369,"Bonds"),0)</f>
        <v>0</v>
      </c>
      <c r="C369" t="str">
        <f t="shared" si="99"/>
        <v>Natura Cosméticos4476346589</v>
      </c>
      <c r="D369">
        <f t="shared" si="100"/>
        <v>27</v>
      </c>
      <c r="E369" s="43" t="s">
        <v>430</v>
      </c>
      <c r="F369" s="43" t="s">
        <v>431</v>
      </c>
      <c r="G369" s="43" t="s">
        <v>25</v>
      </c>
      <c r="H369">
        <f t="shared" si="102"/>
        <v>0</v>
      </c>
      <c r="I369" s="43" t="s">
        <v>860</v>
      </c>
      <c r="J369" s="34">
        <f t="shared" si="101"/>
        <v>17</v>
      </c>
      <c r="K369" s="28">
        <v>44763</v>
      </c>
      <c r="L369" s="28">
        <v>46589</v>
      </c>
      <c r="M369" s="60">
        <f t="shared" si="103"/>
        <v>5.0027397260273974</v>
      </c>
      <c r="N369" s="4">
        <f t="shared" si="104"/>
        <v>1</v>
      </c>
      <c r="O369" s="43" t="s">
        <v>44</v>
      </c>
      <c r="P369" t="str">
        <f t="shared" si="109"/>
        <v>0</v>
      </c>
      <c r="Q369" s="44">
        <v>826030</v>
      </c>
      <c r="R369" s="43">
        <v>1000</v>
      </c>
      <c r="S369" s="34" t="str">
        <f>IF($V369="USD",INDEX('Dólar Spot'!$B:$B,MATCH(Base!$K369,'Dólar Spot'!$A:$A,0)),"")</f>
        <v/>
      </c>
      <c r="T369" s="4">
        <f t="shared" si="111"/>
        <v>826030000</v>
      </c>
      <c r="U369" s="8">
        <f t="shared" si="110"/>
        <v>8.2603000000000009</v>
      </c>
      <c r="V369" s="43" t="s">
        <v>41</v>
      </c>
      <c r="W369" s="45">
        <v>100</v>
      </c>
      <c r="X369" s="46">
        <v>1.65</v>
      </c>
      <c r="Y369" s="9">
        <f>IF(AND(V369="DI",$W369=100),$X369/100,
IF(AND(V369="DI",$W369&lt;&gt;100,$X369=""),INDEX('Debs %CDI'!$Q:$Q,MATCH(Base!$C369,'Debs %CDI'!$A:$A,0)),
IF($V369="USD",INDEX(Bonds!$AF:$AF,MATCH(Base!$C369,Bonds!$B:$B,0)),
IF($V369="IPCA",INDEX('Debs IPCA'!$Z:$Z,MATCH(Base!$C369,'Debs IPCA'!$A:$A,0))))))</f>
        <v>1.6500000000000001E-2</v>
      </c>
      <c r="Z369" s="43">
        <v>252</v>
      </c>
      <c r="AA369" s="43" t="s">
        <v>30</v>
      </c>
      <c r="AB369" s="43" t="s">
        <v>32</v>
      </c>
      <c r="AC369">
        <f t="shared" si="105"/>
        <v>0</v>
      </c>
      <c r="AD369" s="43" t="s">
        <v>31</v>
      </c>
      <c r="AE369">
        <f t="shared" si="106"/>
        <v>1</v>
      </c>
      <c r="AF369" s="34" t="str" cm="1">
        <f t="array" ref="AF369">INDEX(Ratings!$B$2:$M$40,_xlfn.XMATCH(Base!F369,Ratings!$A$2:$A$40),_xlfn.XMATCH(YEAR(Base!K369),Ratings!$B$1:$M$1))</f>
        <v>BB</v>
      </c>
      <c r="AG369">
        <f t="shared" si="96"/>
        <v>0</v>
      </c>
      <c r="AH369">
        <f>IFERROR(IFERROR(IFERROR(INDEX('EMBI+'!$B:$B,MATCH(Base!$K369,'EMBI+'!$A:$A,0)),INDEX('EMBI+'!$B:$B,MATCH(Base!$K369+1,'EMBI+'!$A:$A,0))),INDEX('EMBI+'!$B:$B,MATCH(Base!$K369+2,'EMBI+'!$A:$A,0))),INDEX('EMBI+'!$B:$B,MATCH(Base!$K369+3,'EMBI+'!$A:$A,0)))/100</f>
        <v>3.37</v>
      </c>
      <c r="AL369" s="43"/>
      <c r="AM369" s="28"/>
      <c r="AN369" s="28"/>
    </row>
    <row r="370" spans="1:40" x14ac:dyDescent="0.35">
      <c r="A370">
        <f t="shared" si="97"/>
        <v>368</v>
      </c>
      <c r="B370">
        <f>IF(G370="Bonds",COUNTIF($G$3:G370,"Bonds"),0)</f>
        <v>100</v>
      </c>
      <c r="C370" t="str">
        <f t="shared" si="99"/>
        <v>Natura Cosméticos4431903/05/2028</v>
      </c>
      <c r="D370">
        <f t="shared" si="100"/>
        <v>27</v>
      </c>
      <c r="E370" s="43" t="s">
        <v>448</v>
      </c>
      <c r="F370" s="43" t="s">
        <v>431</v>
      </c>
      <c r="G370" s="43" t="s">
        <v>34</v>
      </c>
      <c r="H370">
        <f t="shared" si="102"/>
        <v>1</v>
      </c>
      <c r="I370" s="43"/>
      <c r="J370" s="34">
        <f t="shared" si="101"/>
        <v>18</v>
      </c>
      <c r="K370" s="28">
        <v>44319</v>
      </c>
      <c r="L370" s="28" t="s">
        <v>449</v>
      </c>
      <c r="M370" s="60">
        <f t="shared" si="103"/>
        <v>7.0054794520547947</v>
      </c>
      <c r="N370" s="4">
        <f t="shared" si="104"/>
        <v>1</v>
      </c>
      <c r="O370" s="43" t="s">
        <v>36</v>
      </c>
      <c r="P370" t="str">
        <f t="shared" si="109"/>
        <v>0</v>
      </c>
      <c r="Q370" s="43"/>
      <c r="R370" s="43"/>
      <c r="S370" s="34">
        <f>IF($V370="USD",INDEX('Dólar Spot'!$B:$B,MATCH(Base!$K370,'Dólar Spot'!$A:$A,0)),"")</f>
        <v>5.4081000000000001</v>
      </c>
      <c r="T370" s="44">
        <v>1000000000</v>
      </c>
      <c r="U370" s="8">
        <f t="shared" si="110"/>
        <v>54.081000000000003</v>
      </c>
      <c r="V370" s="43" t="s">
        <v>651</v>
      </c>
      <c r="W370" s="45" t="s">
        <v>29</v>
      </c>
      <c r="X370" s="53">
        <v>4.125</v>
      </c>
      <c r="Y370" s="9">
        <f>IF(AND(V370="DI",$W370=100),$X370/100,
IF(AND(V370="DI",$W370&lt;&gt;100,$X370=""),INDEX('Debs %CDI'!$Q:$Q,MATCH(Base!$C370,'Debs %CDI'!$A:$A,0)),
IF($V370="USD",INDEX(Bonds!$AF:$AF,MATCH(Base!$C370,Bonds!$B:$B,0)),
IF($V370="IPCA",INDEX('Debs IPCA'!$Z:$Z,MATCH(Base!$C370,'Debs IPCA'!$A:$A,0))))))</f>
        <v>2.1758156496881842E-2</v>
      </c>
      <c r="Z370" s="43">
        <v>360</v>
      </c>
      <c r="AA370" s="43" t="s">
        <v>37</v>
      </c>
      <c r="AB370" s="43" t="s">
        <v>32</v>
      </c>
      <c r="AC370">
        <f t="shared" si="105"/>
        <v>0</v>
      </c>
      <c r="AD370" s="43" t="s">
        <v>31</v>
      </c>
      <c r="AE370">
        <f t="shared" si="106"/>
        <v>1</v>
      </c>
      <c r="AF370" s="34" t="str" cm="1">
        <f t="array" ref="AF370">INDEX(Ratings!$B$2:$M$40,_xlfn.XMATCH(Base!F370,Ratings!$A$2:$A$40),_xlfn.XMATCH(YEAR(Base!K370),Ratings!$B$1:$M$1))</f>
        <v>BB</v>
      </c>
      <c r="AG370">
        <f t="shared" si="96"/>
        <v>0</v>
      </c>
      <c r="AH370">
        <f>IFERROR(IFERROR(IFERROR(INDEX('EMBI+'!$B:$B,MATCH(Base!$K370,'EMBI+'!$A:$A,0)),INDEX('EMBI+'!$B:$B,MATCH(Base!$K370+1,'EMBI+'!$A:$A,0))),INDEX('EMBI+'!$B:$B,MATCH(Base!$K370+2,'EMBI+'!$A:$A,0))),INDEX('EMBI+'!$B:$B,MATCH(Base!$K370+3,'EMBI+'!$A:$A,0)))/100</f>
        <v>2.77</v>
      </c>
      <c r="AL370" s="43"/>
      <c r="AM370" s="28"/>
      <c r="AN370" s="28"/>
    </row>
    <row r="371" spans="1:40" x14ac:dyDescent="0.35">
      <c r="A371">
        <f t="shared" si="97"/>
        <v>369</v>
      </c>
      <c r="B371">
        <f>IF(G371="Bonds",COUNTIF($G$3:G371,"Bonds"),0)</f>
        <v>101</v>
      </c>
      <c r="C371" t="str">
        <f t="shared" si="99"/>
        <v>Natura Cosméticos4313201/02/2023</v>
      </c>
      <c r="D371">
        <f t="shared" si="100"/>
        <v>27</v>
      </c>
      <c r="E371" s="43" t="s">
        <v>448</v>
      </c>
      <c r="F371" s="43" t="s">
        <v>431</v>
      </c>
      <c r="G371" s="43" t="s">
        <v>34</v>
      </c>
      <c r="H371">
        <f t="shared" si="102"/>
        <v>1</v>
      </c>
      <c r="I371" s="43"/>
      <c r="J371" s="34">
        <f t="shared" si="101"/>
        <v>19</v>
      </c>
      <c r="K371" s="28">
        <v>43132</v>
      </c>
      <c r="L371" s="28" t="s">
        <v>450</v>
      </c>
      <c r="M371" s="60">
        <f t="shared" si="103"/>
        <v>5.0027397260273974</v>
      </c>
      <c r="N371" s="4">
        <f t="shared" si="104"/>
        <v>1</v>
      </c>
      <c r="O371" s="43" t="s">
        <v>29</v>
      </c>
      <c r="P371" t="str">
        <f t="shared" si="109"/>
        <v>0</v>
      </c>
      <c r="Q371" s="43"/>
      <c r="R371" s="43"/>
      <c r="S371" s="34">
        <f>IF($V371="USD",INDEX('Dólar Spot'!$B:$B,MATCH(Base!$K371,'Dólar Spot'!$A:$A,0)),"")</f>
        <v>3.1724000000000001</v>
      </c>
      <c r="T371" s="44">
        <v>750000000</v>
      </c>
      <c r="U371" s="8">
        <f t="shared" si="110"/>
        <v>23.792999999999999</v>
      </c>
      <c r="V371" s="43" t="s">
        <v>651</v>
      </c>
      <c r="W371" s="45" t="s">
        <v>29</v>
      </c>
      <c r="X371" s="53">
        <v>5.375</v>
      </c>
      <c r="Y371" s="9">
        <f>IF(AND(V371="DI",$W371=100),$X371/100,
IF(AND(V371="DI",$W371&lt;&gt;100,$X371=""),INDEX('Debs %CDI'!$Q:$Q,MATCH(Base!$C371,'Debs %CDI'!$A:$A,0)),
IF($V371="USD",INDEX(Bonds!$AF:$AF,MATCH(Base!$C371,Bonds!$B:$B,0)),
IF($V371="IPCA",INDEX('Debs IPCA'!$Z:$Z,MATCH(Base!$C371,'Debs IPCA'!$A:$A,0))))))</f>
        <v>1.805013833392799E-2</v>
      </c>
      <c r="Z371" s="43">
        <v>360</v>
      </c>
      <c r="AA371" s="43" t="s">
        <v>37</v>
      </c>
      <c r="AB371" s="43" t="s">
        <v>32</v>
      </c>
      <c r="AC371">
        <f t="shared" si="105"/>
        <v>0</v>
      </c>
      <c r="AD371" s="43" t="s">
        <v>31</v>
      </c>
      <c r="AE371">
        <f t="shared" si="106"/>
        <v>1</v>
      </c>
      <c r="AF371" s="34" t="str" cm="1">
        <f t="array" ref="AF371">INDEX(Ratings!$B$2:$M$40,_xlfn.XMATCH(Base!F371,Ratings!$A$2:$A$40),_xlfn.XMATCH(YEAR(Base!K371),Ratings!$B$1:$M$1))</f>
        <v>BB</v>
      </c>
      <c r="AG371">
        <f t="shared" si="96"/>
        <v>0</v>
      </c>
      <c r="AH371">
        <f>IFERROR(IFERROR(IFERROR(INDEX('EMBI+'!$B:$B,MATCH(Base!$K371,'EMBI+'!$A:$A,0)),INDEX('EMBI+'!$B:$B,MATCH(Base!$K371+1,'EMBI+'!$A:$A,0))),INDEX('EMBI+'!$B:$B,MATCH(Base!$K371+2,'EMBI+'!$A:$A,0))),INDEX('EMBI+'!$B:$B,MATCH(Base!$K371+3,'EMBI+'!$A:$A,0)))/100</f>
        <v>2.27</v>
      </c>
      <c r="AL371" s="43"/>
      <c r="AM371" s="28"/>
      <c r="AN371" s="28"/>
    </row>
    <row r="372" spans="1:40" x14ac:dyDescent="0.35">
      <c r="A372">
        <f t="shared" si="97"/>
        <v>370</v>
      </c>
      <c r="B372">
        <f>IF(G372="Bonds",COUNTIF($G$3:G372,"Bonds"),0)</f>
        <v>102</v>
      </c>
      <c r="C372" t="str">
        <f t="shared" ref="C372:C435" si="112">F372&amp;K372&amp;L372</f>
        <v>Natura Cosméticos4466447227</v>
      </c>
      <c r="D372">
        <f t="shared" ref="D372:D435" si="113">IF(F372&lt;&gt;F371,D371+1,D371)</f>
        <v>27</v>
      </c>
      <c r="E372" s="43" t="s">
        <v>875</v>
      </c>
      <c r="F372" s="43" t="s">
        <v>431</v>
      </c>
      <c r="G372" s="43" t="s">
        <v>34</v>
      </c>
      <c r="H372">
        <f t="shared" ref="H372" si="114">IF(G372="Bonds",1,0)</f>
        <v>1</v>
      </c>
      <c r="I372" s="43"/>
      <c r="J372" s="34">
        <f t="shared" ref="J372:J435" si="115">IF(F372=F371,J371+1,1)</f>
        <v>20</v>
      </c>
      <c r="K372" s="28">
        <v>44664</v>
      </c>
      <c r="L372" s="28">
        <v>47227</v>
      </c>
      <c r="M372" s="60">
        <f t="shared" ref="M372" si="116">(L372-K372)/365</f>
        <v>7.021917808219178</v>
      </c>
      <c r="N372" s="4">
        <f t="shared" ref="N372" si="117">IF(M372&gt;5,1,0)</f>
        <v>1</v>
      </c>
      <c r="O372" s="43" t="s">
        <v>29</v>
      </c>
      <c r="P372" t="str">
        <f t="shared" ref="P372" si="118">IF(OR(O372="Real",O372="Flutuante",O372="SR SECURED"),"1","0")</f>
        <v>0</v>
      </c>
      <c r="Q372" s="43"/>
      <c r="R372" s="43"/>
      <c r="S372" s="34">
        <f>IF($V372="USD",INDEX('Dólar Spot'!$B:$B,MATCH(Base!$K372,'Dólar Spot'!$A:$A,0)),"")</f>
        <v>4.6898999999999997</v>
      </c>
      <c r="T372" s="44">
        <v>600000000</v>
      </c>
      <c r="U372" s="8">
        <f t="shared" ref="U372" si="119">IF(V372="USD",T372*S372/100000000,Q372*R372/100000000)</f>
        <v>28.139399999999998</v>
      </c>
      <c r="V372" s="43" t="s">
        <v>651</v>
      </c>
      <c r="W372" s="45">
        <v>0</v>
      </c>
      <c r="X372" s="53">
        <v>6.125</v>
      </c>
      <c r="Y372" s="9">
        <f>IF(AND(V372="DI",$W372=100),$X372/100,
IF(AND(V372="DI",$W372&lt;&gt;100,$X372=""),INDEX('Debs %CDI'!$Q:$Q,MATCH(Base!$C372,'Debs %CDI'!$A:$A,0)),
IF($V372="USD",INDEX(Bonds!$AF:$AF,MATCH(Base!$C372,Bonds!$B:$B,0)),
IF($V372="IPCA",INDEX('Debs IPCA'!$Z:$Z,MATCH(Base!$C372,'Debs IPCA'!$A:$A,0))))))</f>
        <v>2.7997534810879632E-2</v>
      </c>
      <c r="Z372" s="43">
        <v>360</v>
      </c>
      <c r="AA372" s="43" t="s">
        <v>37</v>
      </c>
      <c r="AB372" s="43" t="s">
        <v>32</v>
      </c>
      <c r="AC372">
        <f t="shared" ref="AC372" si="120">IF(AB372="S",1,0)</f>
        <v>0</v>
      </c>
      <c r="AD372" s="43" t="s">
        <v>31</v>
      </c>
      <c r="AE372">
        <f t="shared" ref="AE372" si="121">IF(OR(AD372="N",AD372="AT MATURITY"),0,1)</f>
        <v>1</v>
      </c>
      <c r="AF372" s="34" t="str" cm="1">
        <f t="array" ref="AF372">INDEX(Ratings!$B$2:$M$40,_xlfn.XMATCH(Base!F372,Ratings!$A$2:$A$40),_xlfn.XMATCH(YEAR(Base!K372),Ratings!$B$1:$M$1))</f>
        <v>BB</v>
      </c>
      <c r="AG372">
        <f t="shared" si="96"/>
        <v>0</v>
      </c>
      <c r="AH372">
        <f>IFERROR(IFERROR(IFERROR(INDEX('EMBI+'!$B:$B,MATCH(Base!$K372,'EMBI+'!$A:$A,0)),INDEX('EMBI+'!$B:$B,MATCH(Base!$K372+1,'EMBI+'!$A:$A,0))),INDEX('EMBI+'!$B:$B,MATCH(Base!$K372+2,'EMBI+'!$A:$A,0))),INDEX('EMBI+'!$B:$B,MATCH(Base!$K372+3,'EMBI+'!$A:$A,0)))/100</f>
        <v>2.96</v>
      </c>
      <c r="AL372" s="43"/>
      <c r="AM372" s="28"/>
      <c r="AN372" s="28"/>
    </row>
    <row r="373" spans="1:40" x14ac:dyDescent="0.35">
      <c r="A373">
        <f t="shared" si="97"/>
        <v>371</v>
      </c>
      <c r="B373">
        <f>IF(G373="Bonds",COUNTIF($G$3:G373,"Bonds"),0)</f>
        <v>0</v>
      </c>
      <c r="C373" t="str">
        <f t="shared" si="112"/>
        <v>Oi4136143552</v>
      </c>
      <c r="D373">
        <f t="shared" si="113"/>
        <v>28</v>
      </c>
      <c r="E373" s="43" t="s">
        <v>451</v>
      </c>
      <c r="F373" s="43" t="s">
        <v>452</v>
      </c>
      <c r="G373" s="43" t="s">
        <v>25</v>
      </c>
      <c r="H373">
        <f t="shared" si="102"/>
        <v>0</v>
      </c>
      <c r="I373" s="43" t="s">
        <v>453</v>
      </c>
      <c r="J373" s="34">
        <f t="shared" si="115"/>
        <v>1</v>
      </c>
      <c r="K373" s="28">
        <v>41361</v>
      </c>
      <c r="L373" s="28">
        <v>43552</v>
      </c>
      <c r="M373" s="60">
        <f t="shared" si="103"/>
        <v>6.0027397260273974</v>
      </c>
      <c r="N373" s="4">
        <f t="shared" si="104"/>
        <v>1</v>
      </c>
      <c r="O373" s="43" t="s">
        <v>44</v>
      </c>
      <c r="P373" t="str">
        <f t="shared" si="109"/>
        <v>0</v>
      </c>
      <c r="Q373" s="44">
        <v>150000</v>
      </c>
      <c r="R373" s="43">
        <v>10000</v>
      </c>
      <c r="S373" s="34" t="str">
        <f>IF($V373="USD",INDEX('Dólar Spot'!$B:$B,MATCH(Base!$K373,'Dólar Spot'!$A:$A,0)),"")</f>
        <v/>
      </c>
      <c r="T373" s="4">
        <f t="shared" ref="T373:T378" si="122">Q373*R373</f>
        <v>1500000000</v>
      </c>
      <c r="U373" s="8">
        <f t="shared" si="110"/>
        <v>15</v>
      </c>
      <c r="V373" s="43" t="s">
        <v>41</v>
      </c>
      <c r="W373" s="45">
        <v>100</v>
      </c>
      <c r="X373" s="46">
        <v>0.75</v>
      </c>
      <c r="Y373" s="9">
        <f>IF(AND(V373="DI",$W373=100),$X373/100,
IF(AND(V373="DI",$W373&lt;&gt;100,$X373=""),INDEX('Debs %CDI'!$Q:$Q,MATCH(Base!$C373,'Debs %CDI'!$A:$A,0)),
IF($V373="USD",INDEX(Bonds!$AF:$AF,MATCH(Base!$C373,Bonds!$B:$B,0)),
IF($V373="IPCA",INDEX('Debs IPCA'!$Z:$Z,MATCH(Base!$C373,'Debs IPCA'!$A:$A,0))))))</f>
        <v>7.4999999999999997E-3</v>
      </c>
      <c r="Z373" s="43">
        <v>252</v>
      </c>
      <c r="AA373" s="43" t="s">
        <v>30</v>
      </c>
      <c r="AB373" s="43" t="s">
        <v>32</v>
      </c>
      <c r="AC373">
        <f t="shared" si="105"/>
        <v>0</v>
      </c>
      <c r="AD373" s="43" t="s">
        <v>31</v>
      </c>
      <c r="AE373">
        <f t="shared" si="106"/>
        <v>1</v>
      </c>
      <c r="AF373" s="34" t="str" cm="1">
        <f t="array" ref="AF373">INDEX(Ratings!$B$2:$M$40,_xlfn.XMATCH(Base!F373,Ratings!$A$2:$A$40),_xlfn.XMATCH(YEAR(Base!K373),Ratings!$B$1:$M$1))</f>
        <v>BBB-</v>
      </c>
      <c r="AG373">
        <f t="shared" si="96"/>
        <v>1</v>
      </c>
      <c r="AH373">
        <f>IFERROR(IFERROR(IFERROR(INDEX('EMBI+'!$B:$B,MATCH(Base!$K373,'EMBI+'!$A:$A,0)),INDEX('EMBI+'!$B:$B,MATCH(Base!$K373+1,'EMBI+'!$A:$A,0))),INDEX('EMBI+'!$B:$B,MATCH(Base!$K373+2,'EMBI+'!$A:$A,0))),INDEX('EMBI+'!$B:$B,MATCH(Base!$K373+3,'EMBI+'!$A:$A,0)))/100</f>
        <v>1.89</v>
      </c>
      <c r="AL373" s="43"/>
      <c r="AM373" s="28"/>
      <c r="AN373" s="28"/>
    </row>
    <row r="374" spans="1:40" x14ac:dyDescent="0.35">
      <c r="A374">
        <f t="shared" si="97"/>
        <v>372</v>
      </c>
      <c r="B374">
        <f>IF(G374="Bonds",COUNTIF($G$3:G374,"Bonds"),0)</f>
        <v>0</v>
      </c>
      <c r="C374" t="str">
        <f t="shared" si="112"/>
        <v>Oi4076342955</v>
      </c>
      <c r="D374">
        <f t="shared" si="113"/>
        <v>28</v>
      </c>
      <c r="E374" s="43" t="s">
        <v>451</v>
      </c>
      <c r="F374" s="43" t="s">
        <v>452</v>
      </c>
      <c r="G374" s="43" t="s">
        <v>25</v>
      </c>
      <c r="H374">
        <f t="shared" si="102"/>
        <v>0</v>
      </c>
      <c r="I374" s="43" t="s">
        <v>454</v>
      </c>
      <c r="J374" s="34">
        <f t="shared" si="115"/>
        <v>2</v>
      </c>
      <c r="K374" s="28">
        <v>40763</v>
      </c>
      <c r="L374" s="28">
        <v>42955</v>
      </c>
      <c r="M374" s="60">
        <f t="shared" si="103"/>
        <v>6.0054794520547947</v>
      </c>
      <c r="N374" s="4">
        <f t="shared" si="104"/>
        <v>1</v>
      </c>
      <c r="O374" s="43" t="s">
        <v>44</v>
      </c>
      <c r="P374" t="str">
        <f t="shared" si="109"/>
        <v>0</v>
      </c>
      <c r="Q374" s="44">
        <v>100</v>
      </c>
      <c r="R374" s="43">
        <v>10000000</v>
      </c>
      <c r="S374" s="34" t="str">
        <f>IF($V374="USD",INDEX('Dólar Spot'!$B:$B,MATCH(Base!$K374,'Dólar Spot'!$A:$A,0)),"")</f>
        <v/>
      </c>
      <c r="T374" s="4">
        <f t="shared" si="122"/>
        <v>1000000000</v>
      </c>
      <c r="U374" s="8">
        <f t="shared" si="110"/>
        <v>10</v>
      </c>
      <c r="V374" s="43" t="s">
        <v>41</v>
      </c>
      <c r="W374" s="45">
        <v>100</v>
      </c>
      <c r="X374" s="46">
        <v>1</v>
      </c>
      <c r="Y374" s="9">
        <f>IF(AND(V374="DI",$W374=100),$X374/100,
IF(AND(V374="DI",$W374&lt;&gt;100,$X374=""),INDEX('Debs %CDI'!$Q:$Q,MATCH(Base!$C374,'Debs %CDI'!$A:$A,0)),
IF($V374="USD",INDEX(Bonds!$AF:$AF,MATCH(Base!$C374,Bonds!$B:$B,0)),
IF($V374="IPCA",INDEX('Debs IPCA'!$Z:$Z,MATCH(Base!$C374,'Debs IPCA'!$A:$A,0))))))</f>
        <v>0.01</v>
      </c>
      <c r="Z374" s="43">
        <v>252</v>
      </c>
      <c r="AA374" s="43" t="s">
        <v>30</v>
      </c>
      <c r="AB374" s="43" t="s">
        <v>32</v>
      </c>
      <c r="AC374">
        <f t="shared" si="105"/>
        <v>0</v>
      </c>
      <c r="AD374" s="43" t="s">
        <v>31</v>
      </c>
      <c r="AE374">
        <f t="shared" si="106"/>
        <v>1</v>
      </c>
      <c r="AF374" s="34" t="str" cm="1">
        <f t="array" ref="AF374">INDEX(Ratings!$B$2:$M$40,_xlfn.XMATCH(Base!F374,Ratings!$A$2:$A$40),_xlfn.XMATCH(YEAR(Base!K374),Ratings!$B$1:$M$1))</f>
        <v>BBB</v>
      </c>
      <c r="AG374">
        <f t="shared" si="96"/>
        <v>1</v>
      </c>
      <c r="AH374">
        <f>IFERROR(IFERROR(IFERROR(INDEX('EMBI+'!$B:$B,MATCH(Base!$K374,'EMBI+'!$A:$A,0)),INDEX('EMBI+'!$B:$B,MATCH(Base!$K374+1,'EMBI+'!$A:$A,0))),INDEX('EMBI+'!$B:$B,MATCH(Base!$K374+2,'EMBI+'!$A:$A,0))),INDEX('EMBI+'!$B:$B,MATCH(Base!$K374+3,'EMBI+'!$A:$A,0)))/100</f>
        <v>2.12</v>
      </c>
      <c r="AL374" s="43"/>
      <c r="AM374" s="28"/>
      <c r="AN374" s="28"/>
    </row>
    <row r="375" spans="1:40" x14ac:dyDescent="0.35">
      <c r="A375">
        <f t="shared" si="97"/>
        <v>373</v>
      </c>
      <c r="B375">
        <f>IF(G375="Bonds",COUNTIF($G$3:G375,"Bonds"),0)</f>
        <v>0</v>
      </c>
      <c r="C375" t="str">
        <f t="shared" si="112"/>
        <v>Oi4090543462</v>
      </c>
      <c r="D375">
        <f t="shared" si="113"/>
        <v>28</v>
      </c>
      <c r="E375" s="43" t="s">
        <v>451</v>
      </c>
      <c r="F375" s="43" t="s">
        <v>452</v>
      </c>
      <c r="G375" s="43" t="s">
        <v>25</v>
      </c>
      <c r="H375">
        <f t="shared" si="102"/>
        <v>0</v>
      </c>
      <c r="I375" s="43" t="s">
        <v>455</v>
      </c>
      <c r="J375" s="34">
        <f t="shared" si="115"/>
        <v>3</v>
      </c>
      <c r="K375" s="28">
        <v>40905</v>
      </c>
      <c r="L375" s="28">
        <v>43462</v>
      </c>
      <c r="M375" s="60">
        <f t="shared" si="103"/>
        <v>7.0054794520547947</v>
      </c>
      <c r="N375" s="4">
        <f t="shared" si="104"/>
        <v>1</v>
      </c>
      <c r="O375" s="43" t="s">
        <v>44</v>
      </c>
      <c r="P375" t="str">
        <f t="shared" si="109"/>
        <v>0</v>
      </c>
      <c r="Q375" s="44">
        <v>2350</v>
      </c>
      <c r="R375" s="43">
        <v>1000000</v>
      </c>
      <c r="S375" s="34" t="str">
        <f>IF($V375="USD",INDEX('Dólar Spot'!$B:$B,MATCH(Base!$K375,'Dólar Spot'!$A:$A,0)),"")</f>
        <v/>
      </c>
      <c r="T375" s="4">
        <f t="shared" si="122"/>
        <v>2350000000</v>
      </c>
      <c r="U375" s="8">
        <f t="shared" si="110"/>
        <v>23.5</v>
      </c>
      <c r="V375" s="43" t="s">
        <v>41</v>
      </c>
      <c r="W375" s="45">
        <v>100</v>
      </c>
      <c r="X375" s="46">
        <v>1.1499999999999999</v>
      </c>
      <c r="Y375" s="9">
        <f>IF(AND(V375="DI",$W375=100),$X375/100,
IF(AND(V375="DI",$W375&lt;&gt;100,$X375=""),INDEX('Debs %CDI'!$Q:$Q,MATCH(Base!$C375,'Debs %CDI'!$A:$A,0)),
IF($V375="USD",INDEX(Bonds!$AF:$AF,MATCH(Base!$C375,Bonds!$B:$B,0)),
IF($V375="IPCA",INDEX('Debs IPCA'!$Z:$Z,MATCH(Base!$C375,'Debs IPCA'!$A:$A,0))))))</f>
        <v>1.15E-2</v>
      </c>
      <c r="Z375" s="43">
        <v>252</v>
      </c>
      <c r="AA375" s="43" t="s">
        <v>30</v>
      </c>
      <c r="AB375" s="43" t="s">
        <v>32</v>
      </c>
      <c r="AC375">
        <f t="shared" si="105"/>
        <v>0</v>
      </c>
      <c r="AD375" s="43" t="s">
        <v>31</v>
      </c>
      <c r="AE375">
        <f t="shared" si="106"/>
        <v>1</v>
      </c>
      <c r="AF375" s="34" t="str" cm="1">
        <f t="array" ref="AF375">INDEX(Ratings!$B$2:$M$40,_xlfn.XMATCH(Base!F375,Ratings!$A$2:$A$40),_xlfn.XMATCH(YEAR(Base!K375),Ratings!$B$1:$M$1))</f>
        <v>BBB</v>
      </c>
      <c r="AG375">
        <f t="shared" si="96"/>
        <v>1</v>
      </c>
      <c r="AH375">
        <f>IFERROR(IFERROR(IFERROR(INDEX('EMBI+'!$B:$B,MATCH(Base!$K375,'EMBI+'!$A:$A,0)),INDEX('EMBI+'!$B:$B,MATCH(Base!$K375+1,'EMBI+'!$A:$A,0))),INDEX('EMBI+'!$B:$B,MATCH(Base!$K375+2,'EMBI+'!$A:$A,0))),INDEX('EMBI+'!$B:$B,MATCH(Base!$K375+3,'EMBI+'!$A:$A,0)))/100</f>
        <v>2.2000000000000002</v>
      </c>
      <c r="AL375" s="43"/>
      <c r="AM375" s="28"/>
      <c r="AN375" s="28"/>
    </row>
    <row r="376" spans="1:40" x14ac:dyDescent="0.35">
      <c r="A376">
        <f t="shared" si="97"/>
        <v>374</v>
      </c>
      <c r="B376">
        <f>IF(G376="Bonds",COUNTIF($G$3:G376,"Bonds"),0)</f>
        <v>0</v>
      </c>
      <c r="C376" t="str">
        <f t="shared" si="112"/>
        <v>Oi4098342809</v>
      </c>
      <c r="D376">
        <f t="shared" si="113"/>
        <v>28</v>
      </c>
      <c r="E376" s="43" t="s">
        <v>451</v>
      </c>
      <c r="F376" s="43" t="s">
        <v>452</v>
      </c>
      <c r="G376" s="43" t="s">
        <v>25</v>
      </c>
      <c r="H376">
        <f t="shared" si="102"/>
        <v>0</v>
      </c>
      <c r="I376" s="43" t="s">
        <v>456</v>
      </c>
      <c r="J376" s="34">
        <f t="shared" si="115"/>
        <v>4</v>
      </c>
      <c r="K376" s="28">
        <v>40983</v>
      </c>
      <c r="L376" s="28">
        <v>42809</v>
      </c>
      <c r="M376" s="60">
        <f t="shared" si="103"/>
        <v>5.0027397260273974</v>
      </c>
      <c r="N376" s="4">
        <f t="shared" si="104"/>
        <v>1</v>
      </c>
      <c r="O376" s="43" t="s">
        <v>44</v>
      </c>
      <c r="P376" t="str">
        <f t="shared" si="109"/>
        <v>0</v>
      </c>
      <c r="Q376" s="44">
        <v>40000</v>
      </c>
      <c r="R376" s="43">
        <v>10000</v>
      </c>
      <c r="S376" s="34" t="str">
        <f>IF($V376="USD",INDEX('Dólar Spot'!$B:$B,MATCH(Base!$K376,'Dólar Spot'!$A:$A,0)),"")</f>
        <v/>
      </c>
      <c r="T376" s="4">
        <f t="shared" si="122"/>
        <v>400000000</v>
      </c>
      <c r="U376" s="8">
        <f t="shared" si="110"/>
        <v>4</v>
      </c>
      <c r="V376" s="43" t="s">
        <v>41</v>
      </c>
      <c r="W376" s="45">
        <v>100</v>
      </c>
      <c r="X376" s="46">
        <v>0.94</v>
      </c>
      <c r="Y376" s="9">
        <f>IF(AND(V376="DI",$W376=100),$X376/100,
IF(AND(V376="DI",$W376&lt;&gt;100,$X376=""),INDEX('Debs %CDI'!$Q:$Q,MATCH(Base!$C376,'Debs %CDI'!$A:$A,0)),
IF($V376="USD",INDEX(Bonds!$AF:$AF,MATCH(Base!$C376,Bonds!$B:$B,0)),
IF($V376="IPCA",INDEX('Debs IPCA'!$Z:$Z,MATCH(Base!$C376,'Debs IPCA'!$A:$A,0))))))</f>
        <v>9.3999999999999986E-3</v>
      </c>
      <c r="Z376" s="43">
        <v>252</v>
      </c>
      <c r="AA376" s="43" t="s">
        <v>30</v>
      </c>
      <c r="AB376" s="43" t="s">
        <v>32</v>
      </c>
      <c r="AC376">
        <f t="shared" si="105"/>
        <v>0</v>
      </c>
      <c r="AD376" s="43" t="s">
        <v>31</v>
      </c>
      <c r="AE376">
        <f t="shared" si="106"/>
        <v>1</v>
      </c>
      <c r="AF376" s="34" t="str" cm="1">
        <f t="array" ref="AF376">INDEX(Ratings!$B$2:$M$40,_xlfn.XMATCH(Base!F376,Ratings!$A$2:$A$40),_xlfn.XMATCH(YEAR(Base!K376),Ratings!$B$1:$M$1))</f>
        <v>BBB</v>
      </c>
      <c r="AG376">
        <f t="shared" si="96"/>
        <v>1</v>
      </c>
      <c r="AH376">
        <f>IFERROR(IFERROR(IFERROR(INDEX('EMBI+'!$B:$B,MATCH(Base!$K376,'EMBI+'!$A:$A,0)),INDEX('EMBI+'!$B:$B,MATCH(Base!$K376+1,'EMBI+'!$A:$A,0))),INDEX('EMBI+'!$B:$B,MATCH(Base!$K376+2,'EMBI+'!$A:$A,0))),INDEX('EMBI+'!$B:$B,MATCH(Base!$K376+3,'EMBI+'!$A:$A,0)))/100</f>
        <v>1.69</v>
      </c>
      <c r="AL376" s="43"/>
      <c r="AM376" s="28"/>
      <c r="AN376" s="28"/>
    </row>
    <row r="377" spans="1:40" x14ac:dyDescent="0.35">
      <c r="A377">
        <f t="shared" si="97"/>
        <v>375</v>
      </c>
      <c r="B377">
        <f>IF(G377="Bonds",COUNTIF($G$3:G377,"Bonds"),0)</f>
        <v>0</v>
      </c>
      <c r="C377" t="str">
        <f t="shared" si="112"/>
        <v>Oi4098343905</v>
      </c>
      <c r="D377">
        <f t="shared" si="113"/>
        <v>28</v>
      </c>
      <c r="E377" s="43" t="s">
        <v>451</v>
      </c>
      <c r="F377" s="43" t="s">
        <v>452</v>
      </c>
      <c r="G377" s="43" t="s">
        <v>25</v>
      </c>
      <c r="H377">
        <f t="shared" si="102"/>
        <v>0</v>
      </c>
      <c r="I377" s="43" t="s">
        <v>457</v>
      </c>
      <c r="J377" s="34">
        <f t="shared" si="115"/>
        <v>5</v>
      </c>
      <c r="K377" s="28">
        <v>40983</v>
      </c>
      <c r="L377" s="28">
        <v>43905</v>
      </c>
      <c r="M377" s="60">
        <f t="shared" si="103"/>
        <v>8.0054794520547947</v>
      </c>
      <c r="N377" s="4">
        <f t="shared" si="104"/>
        <v>1</v>
      </c>
      <c r="O377" s="43" t="s">
        <v>44</v>
      </c>
      <c r="P377" t="str">
        <f t="shared" si="109"/>
        <v>0</v>
      </c>
      <c r="Q377" s="44">
        <v>160000</v>
      </c>
      <c r="R377" s="43">
        <v>10000</v>
      </c>
      <c r="S377" s="34" t="str">
        <f>IF($V377="USD",INDEX('Dólar Spot'!$B:$B,MATCH(Base!$K377,'Dólar Spot'!$A:$A,0)),"")</f>
        <v/>
      </c>
      <c r="T377" s="4">
        <f t="shared" si="122"/>
        <v>1600000000</v>
      </c>
      <c r="U377" s="8">
        <f t="shared" si="110"/>
        <v>16</v>
      </c>
      <c r="V377" s="43" t="s">
        <v>28</v>
      </c>
      <c r="W377" s="45" t="s">
        <v>29</v>
      </c>
      <c r="X377" s="46">
        <v>6.2</v>
      </c>
      <c r="Y377" s="9">
        <f>IF(AND(V377="DI",$W377=100),$X377/100,
IF(AND(V377="DI",$W377&lt;&gt;100,$X377=""),INDEX('Debs %CDI'!$Q:$Q,MATCH(Base!$C377,'Debs %CDI'!$A:$A,0)),
IF($V377="USD",INDEX(Bonds!$AF:$AF,MATCH(Base!$C377,Bonds!$B:$B,0)),
IF($V377="IPCA",INDEX('Debs IPCA'!$Z:$Z,MATCH(Base!$C377,'Debs IPCA'!$A:$A,0))))))</f>
        <v>1.2374478439314052E-2</v>
      </c>
      <c r="Z377" s="43">
        <v>252</v>
      </c>
      <c r="AA377" s="43" t="s">
        <v>30</v>
      </c>
      <c r="AB377" s="43" t="s">
        <v>32</v>
      </c>
      <c r="AC377">
        <f t="shared" si="105"/>
        <v>0</v>
      </c>
      <c r="AD377" s="43" t="s">
        <v>31</v>
      </c>
      <c r="AE377">
        <f t="shared" si="106"/>
        <v>1</v>
      </c>
      <c r="AF377" s="34" t="str" cm="1">
        <f t="array" ref="AF377">INDEX(Ratings!$B$2:$M$40,_xlfn.XMATCH(Base!F377,Ratings!$A$2:$A$40),_xlfn.XMATCH(YEAR(Base!K377),Ratings!$B$1:$M$1))</f>
        <v>BBB</v>
      </c>
      <c r="AG377">
        <f t="shared" si="96"/>
        <v>1</v>
      </c>
      <c r="AH377">
        <f>IFERROR(IFERROR(IFERROR(INDEX('EMBI+'!$B:$B,MATCH(Base!$K377,'EMBI+'!$A:$A,0)),INDEX('EMBI+'!$B:$B,MATCH(Base!$K377+1,'EMBI+'!$A:$A,0))),INDEX('EMBI+'!$B:$B,MATCH(Base!$K377+2,'EMBI+'!$A:$A,0))),INDEX('EMBI+'!$B:$B,MATCH(Base!$K377+3,'EMBI+'!$A:$A,0)))/100</f>
        <v>1.69</v>
      </c>
      <c r="AL377" s="43"/>
      <c r="AM377" s="28"/>
      <c r="AN377" s="28"/>
    </row>
    <row r="378" spans="1:40" x14ac:dyDescent="0.35">
      <c r="A378">
        <f t="shared" si="97"/>
        <v>376</v>
      </c>
      <c r="B378">
        <f>IF(G378="Bonds",COUNTIF($G$3:G378,"Bonds"),0)</f>
        <v>0</v>
      </c>
      <c r="C378" t="str">
        <f t="shared" si="112"/>
        <v>Oi4313649365</v>
      </c>
      <c r="D378">
        <f t="shared" si="113"/>
        <v>28</v>
      </c>
      <c r="E378" s="43" t="s">
        <v>451</v>
      </c>
      <c r="F378" s="43" t="s">
        <v>452</v>
      </c>
      <c r="G378" s="43" t="s">
        <v>25</v>
      </c>
      <c r="H378">
        <f t="shared" si="102"/>
        <v>0</v>
      </c>
      <c r="I378" s="43" t="s">
        <v>458</v>
      </c>
      <c r="J378" s="34">
        <f t="shared" si="115"/>
        <v>6</v>
      </c>
      <c r="K378" s="28">
        <v>43136</v>
      </c>
      <c r="L378" s="28">
        <v>49365</v>
      </c>
      <c r="M378" s="60">
        <f t="shared" si="103"/>
        <v>17.065753424657533</v>
      </c>
      <c r="N378" s="4">
        <f t="shared" si="104"/>
        <v>1</v>
      </c>
      <c r="O378" s="43" t="s">
        <v>44</v>
      </c>
      <c r="P378" t="str">
        <f t="shared" si="109"/>
        <v>0</v>
      </c>
      <c r="Q378" s="44">
        <v>4168602</v>
      </c>
      <c r="R378" s="43">
        <v>1000</v>
      </c>
      <c r="S378" s="34" t="str">
        <f>IF($V378="USD",INDEX('Dólar Spot'!$B:$B,MATCH(Base!$K378,'Dólar Spot'!$A:$A,0)),"")</f>
        <v/>
      </c>
      <c r="T378" s="4">
        <f t="shared" si="122"/>
        <v>4168602000</v>
      </c>
      <c r="U378" s="8">
        <f t="shared" si="110"/>
        <v>41.686019999999999</v>
      </c>
      <c r="V378" s="43" t="s">
        <v>41</v>
      </c>
      <c r="W378" s="45">
        <v>80</v>
      </c>
      <c r="X378" s="46" t="s">
        <v>91</v>
      </c>
      <c r="Y378" s="9">
        <f>IF(AND(V378="DI",$W378=100),$X378/100,
IF(AND(V378="DI",$W378&lt;&gt;100,$X378=""),INDEX('Debs %CDI'!$Q:$Q,MATCH(Base!$C378,'Debs %CDI'!$A:$A,0)),
IF($V378="USD",INDEX(Bonds!$AF:$AF,MATCH(Base!$C378,Bonds!$B:$B,0)),
IF($V378="IPCA",INDEX('Debs IPCA'!$Z:$Z,MATCH(Base!$C378,'Debs IPCA'!$A:$A,0))))))</f>
        <v>-2.0816001846274228E-2</v>
      </c>
      <c r="Z378" s="43">
        <v>252</v>
      </c>
      <c r="AA378" s="43" t="s">
        <v>30</v>
      </c>
      <c r="AB378" s="43" t="s">
        <v>32</v>
      </c>
      <c r="AC378">
        <f t="shared" si="105"/>
        <v>0</v>
      </c>
      <c r="AD378" s="43" t="s">
        <v>31</v>
      </c>
      <c r="AE378">
        <f t="shared" si="106"/>
        <v>1</v>
      </c>
      <c r="AF378" s="34" t="str" cm="1">
        <f t="array" ref="AF378">INDEX(Ratings!$B$2:$M$40,_xlfn.XMATCH(Base!F378,Ratings!$A$2:$A$40),_xlfn.XMATCH(YEAR(Base!K378),Ratings!$B$1:$M$1))</f>
        <v>D</v>
      </c>
      <c r="AG378">
        <f t="shared" si="96"/>
        <v>0</v>
      </c>
      <c r="AH378">
        <f>IFERROR(IFERROR(IFERROR(INDEX('EMBI+'!$B:$B,MATCH(Base!$K378,'EMBI+'!$A:$A,0)),INDEX('EMBI+'!$B:$B,MATCH(Base!$K378+1,'EMBI+'!$A:$A,0))),INDEX('EMBI+'!$B:$B,MATCH(Base!$K378+2,'EMBI+'!$A:$A,0))),INDEX('EMBI+'!$B:$B,MATCH(Base!$K378+3,'EMBI+'!$A:$A,0)))/100</f>
        <v>2.4300000000000002</v>
      </c>
      <c r="AL378" s="43"/>
      <c r="AM378" s="28"/>
      <c r="AN378" s="28"/>
    </row>
    <row r="379" spans="1:40" x14ac:dyDescent="0.35">
      <c r="A379">
        <f t="shared" si="97"/>
        <v>377</v>
      </c>
      <c r="B379">
        <f>IF(G379="Bonds",COUNTIF($G$3:G379,"Bonds"),0)</f>
        <v>103</v>
      </c>
      <c r="C379" t="str">
        <f t="shared" si="112"/>
        <v>Oi4094910/02/2022</v>
      </c>
      <c r="D379">
        <f t="shared" si="113"/>
        <v>28</v>
      </c>
      <c r="E379" s="43" t="s">
        <v>459</v>
      </c>
      <c r="F379" s="43" t="s">
        <v>452</v>
      </c>
      <c r="G379" s="43" t="s">
        <v>34</v>
      </c>
      <c r="H379">
        <f t="shared" si="102"/>
        <v>1</v>
      </c>
      <c r="I379" s="43"/>
      <c r="J379" s="34">
        <f t="shared" si="115"/>
        <v>7</v>
      </c>
      <c r="K379" s="28">
        <v>40949</v>
      </c>
      <c r="L379" s="28" t="s">
        <v>396</v>
      </c>
      <c r="M379" s="60">
        <f t="shared" si="103"/>
        <v>10.008219178082191</v>
      </c>
      <c r="N379" s="4">
        <f t="shared" si="104"/>
        <v>1</v>
      </c>
      <c r="O379" s="43" t="s">
        <v>36</v>
      </c>
      <c r="P379" t="str">
        <f t="shared" si="109"/>
        <v>0</v>
      </c>
      <c r="Q379" s="43"/>
      <c r="R379" s="43"/>
      <c r="S379" s="34">
        <f>IF($V379="USD",INDEX('Dólar Spot'!$B:$B,MATCH(Base!$K379,'Dólar Spot'!$A:$A,0)),"")</f>
        <v>1.7254</v>
      </c>
      <c r="T379" s="44">
        <v>1100000000</v>
      </c>
      <c r="U379" s="8">
        <f t="shared" si="110"/>
        <v>18.979399999999998</v>
      </c>
      <c r="V379" s="43" t="s">
        <v>651</v>
      </c>
      <c r="W379" s="45" t="s">
        <v>29</v>
      </c>
      <c r="X379" s="53">
        <v>5.75</v>
      </c>
      <c r="Y379" s="9">
        <f>IF(AND(V379="DI",$W379=100),$X379/100,
IF(AND(V379="DI",$W379&lt;&gt;100,$X379=""),INDEX('Debs %CDI'!$Q:$Q,MATCH(Base!$C379,'Debs %CDI'!$A:$A,0)),
IF($V379="USD",INDEX(Bonds!$AF:$AF,MATCH(Base!$C379,Bonds!$B:$B,0)),
IF($V379="IPCA",INDEX('Debs IPCA'!$Z:$Z,MATCH(Base!$C379,'Debs IPCA'!$A:$A,0))))))</f>
        <v>1.8277996246921946E-2</v>
      </c>
      <c r="Z379" s="43">
        <v>360</v>
      </c>
      <c r="AA379" s="43" t="s">
        <v>37</v>
      </c>
      <c r="AB379" s="43" t="s">
        <v>32</v>
      </c>
      <c r="AC379">
        <f t="shared" si="105"/>
        <v>0</v>
      </c>
      <c r="AD379" s="43" t="s">
        <v>32</v>
      </c>
      <c r="AE379">
        <f t="shared" si="106"/>
        <v>0</v>
      </c>
      <c r="AF379" s="34" t="str" cm="1">
        <f t="array" ref="AF379">INDEX(Ratings!$B$2:$M$40,_xlfn.XMATCH(Base!F379,Ratings!$A$2:$A$40),_xlfn.XMATCH(YEAR(Base!K379),Ratings!$B$1:$M$1))</f>
        <v>BBB</v>
      </c>
      <c r="AG379">
        <f t="shared" si="96"/>
        <v>1</v>
      </c>
      <c r="AH379">
        <f>IFERROR(IFERROR(IFERROR(INDEX('EMBI+'!$B:$B,MATCH(Base!$K379,'EMBI+'!$A:$A,0)),INDEX('EMBI+'!$B:$B,MATCH(Base!$K379+1,'EMBI+'!$A:$A,0))),INDEX('EMBI+'!$B:$B,MATCH(Base!$K379+2,'EMBI+'!$A:$A,0))),INDEX('EMBI+'!$B:$B,MATCH(Base!$K379+3,'EMBI+'!$A:$A,0)))/100</f>
        <v>2.0099999999999998</v>
      </c>
      <c r="AL379" s="43"/>
      <c r="AM379" s="28"/>
      <c r="AN379" s="28"/>
    </row>
    <row r="380" spans="1:40" x14ac:dyDescent="0.35">
      <c r="A380">
        <f t="shared" si="97"/>
        <v>378</v>
      </c>
      <c r="B380">
        <f>IF(G380="Bonds",COUNTIF($G$3:G380,"Bonds"),0)</f>
        <v>104</v>
      </c>
      <c r="C380" t="str">
        <f t="shared" si="112"/>
        <v>Oi4330827/07/2025</v>
      </c>
      <c r="D380">
        <f t="shared" si="113"/>
        <v>28</v>
      </c>
      <c r="E380" s="43" t="s">
        <v>460</v>
      </c>
      <c r="F380" s="43" t="s">
        <v>452</v>
      </c>
      <c r="G380" s="43" t="s">
        <v>34</v>
      </c>
      <c r="H380">
        <f t="shared" si="102"/>
        <v>1</v>
      </c>
      <c r="I380" s="43"/>
      <c r="J380" s="34">
        <f t="shared" si="115"/>
        <v>8</v>
      </c>
      <c r="K380" s="28">
        <v>43308</v>
      </c>
      <c r="L380" s="28" t="s">
        <v>461</v>
      </c>
      <c r="M380" s="60">
        <f t="shared" si="103"/>
        <v>7.0054794520547947</v>
      </c>
      <c r="N380" s="4">
        <f t="shared" si="104"/>
        <v>1</v>
      </c>
      <c r="O380" s="43" t="s">
        <v>36</v>
      </c>
      <c r="P380" t="str">
        <f t="shared" si="109"/>
        <v>0</v>
      </c>
      <c r="Q380" s="43"/>
      <c r="R380" s="43"/>
      <c r="S380" s="34">
        <f>IF($V380="USD",INDEX('Dólar Spot'!$B:$B,MATCH(Base!$K380,'Dólar Spot'!$A:$A,0)),"")</f>
        <v>3.7158000000000002</v>
      </c>
      <c r="T380" s="44">
        <v>1655600000</v>
      </c>
      <c r="U380" s="8">
        <f t="shared" si="110"/>
        <v>61.518784799999999</v>
      </c>
      <c r="V380" s="43" t="s">
        <v>651</v>
      </c>
      <c r="W380" s="45" t="s">
        <v>29</v>
      </c>
      <c r="X380" s="53">
        <v>10</v>
      </c>
      <c r="Y380" s="9">
        <f>IF(AND(V380="DI",$W380=100),$X380/100,
IF(AND(V380="DI",$W380&lt;&gt;100,$X380=""),INDEX('Debs %CDI'!$Q:$Q,MATCH(Base!$C380,'Debs %CDI'!$A:$A,0)),
IF($V380="USD",INDEX(Bonds!$AF:$AF,MATCH(Base!$C380,Bonds!$B:$B,0)),
IF($V380="IPCA",INDEX('Debs IPCA'!$Z:$Z,MATCH(Base!$C380,'Debs IPCA'!$A:$A,0))))))</f>
        <v>5.3772411338334658E-2</v>
      </c>
      <c r="Z380" s="43">
        <v>360</v>
      </c>
      <c r="AA380" s="43" t="s">
        <v>37</v>
      </c>
      <c r="AB380" s="43" t="s">
        <v>32</v>
      </c>
      <c r="AC380">
        <f t="shared" si="105"/>
        <v>0</v>
      </c>
      <c r="AD380" s="43" t="s">
        <v>32</v>
      </c>
      <c r="AE380">
        <f t="shared" si="106"/>
        <v>0</v>
      </c>
      <c r="AF380" s="34" t="str" cm="1">
        <f t="array" ref="AF380">INDEX(Ratings!$B$2:$M$40,_xlfn.XMATCH(Base!F380,Ratings!$A$2:$A$40),_xlfn.XMATCH(YEAR(Base!K380),Ratings!$B$1:$M$1))</f>
        <v>D</v>
      </c>
      <c r="AG380">
        <f t="shared" si="96"/>
        <v>0</v>
      </c>
      <c r="AH380">
        <f>IFERROR(IFERROR(IFERROR(INDEX('EMBI+'!$B:$B,MATCH(Base!$K380,'EMBI+'!$A:$A,0)),INDEX('EMBI+'!$B:$B,MATCH(Base!$K380+1,'EMBI+'!$A:$A,0))),INDEX('EMBI+'!$B:$B,MATCH(Base!$K380+2,'EMBI+'!$A:$A,0))),INDEX('EMBI+'!$B:$B,MATCH(Base!$K380+3,'EMBI+'!$A:$A,0)))/100</f>
        <v>2.64</v>
      </c>
      <c r="AL380" s="43"/>
      <c r="AM380" s="28"/>
      <c r="AN380" s="28"/>
    </row>
    <row r="381" spans="1:40" x14ac:dyDescent="0.35">
      <c r="A381">
        <f t="shared" si="97"/>
        <v>379</v>
      </c>
      <c r="B381">
        <f>IF(G381="Bonds",COUNTIF($G$3:G381,"Bonds"),0)</f>
        <v>0</v>
      </c>
      <c r="C381" t="str">
        <f t="shared" si="112"/>
        <v>Petrobras4177943971</v>
      </c>
      <c r="D381">
        <f t="shared" si="113"/>
        <v>29</v>
      </c>
      <c r="E381" s="43" t="s">
        <v>462</v>
      </c>
      <c r="F381" s="43" t="s">
        <v>463</v>
      </c>
      <c r="G381" s="43" t="s">
        <v>25</v>
      </c>
      <c r="H381">
        <f t="shared" si="102"/>
        <v>0</v>
      </c>
      <c r="I381" s="43" t="s">
        <v>464</v>
      </c>
      <c r="J381" s="34">
        <f t="shared" si="115"/>
        <v>1</v>
      </c>
      <c r="K381" s="28">
        <v>41779</v>
      </c>
      <c r="L381" s="28">
        <v>43971</v>
      </c>
      <c r="M381" s="60">
        <f t="shared" si="103"/>
        <v>6.0054794520547947</v>
      </c>
      <c r="N381" s="4">
        <f t="shared" si="104"/>
        <v>1</v>
      </c>
      <c r="O381" s="43" t="s">
        <v>44</v>
      </c>
      <c r="P381" t="str">
        <f t="shared" si="109"/>
        <v>0</v>
      </c>
      <c r="Q381" s="44">
        <v>20</v>
      </c>
      <c r="R381" s="43">
        <v>40000000</v>
      </c>
      <c r="S381" s="34" t="str">
        <f>IF($V381="USD",INDEX('Dólar Spot'!$B:$B,MATCH(Base!$K381,'Dólar Spot'!$A:$A,0)),"")</f>
        <v/>
      </c>
      <c r="T381" s="4">
        <f t="shared" ref="T381:T390" si="123">Q381*R381</f>
        <v>800000000</v>
      </c>
      <c r="U381" s="8">
        <f t="shared" si="110"/>
        <v>8</v>
      </c>
      <c r="V381" s="43" t="s">
        <v>41</v>
      </c>
      <c r="W381" s="45">
        <v>104.5</v>
      </c>
      <c r="X381" s="46"/>
      <c r="Y381" s="9">
        <f>IF(AND(V381="DI",$W381=100),$X381/100,
IF(AND(V381="DI",$W381&lt;&gt;100,$X381=""),INDEX('Debs %CDI'!$Q:$Q,MATCH(Base!$C381,'Debs %CDI'!$A:$A,0)),
IF($V381="USD",INDEX(Bonds!$AF:$AF,MATCH(Base!$C381,Bonds!$B:$B,0)),
IF($V381="IPCA",INDEX('Debs IPCA'!$Z:$Z,MATCH(Base!$C381,'Debs IPCA'!$A:$A,0))))))</f>
        <v>5.5261974590611537E-3</v>
      </c>
      <c r="Z381" s="43">
        <v>252</v>
      </c>
      <c r="AA381" s="43" t="s">
        <v>30</v>
      </c>
      <c r="AB381" s="43" t="s">
        <v>32</v>
      </c>
      <c r="AC381">
        <f t="shared" si="105"/>
        <v>0</v>
      </c>
      <c r="AD381" s="43" t="s">
        <v>31</v>
      </c>
      <c r="AE381">
        <f t="shared" si="106"/>
        <v>1</v>
      </c>
      <c r="AF381" s="34" t="str" cm="1">
        <f t="array" ref="AF381">INDEX(Ratings!$B$2:$M$40,_xlfn.XMATCH(Base!F381,Ratings!$A$2:$A$40),_xlfn.XMATCH(YEAR(Base!K381),Ratings!$B$1:$M$1))</f>
        <v>BBB</v>
      </c>
      <c r="AG381">
        <f t="shared" si="96"/>
        <v>1</v>
      </c>
      <c r="AH381">
        <f>IFERROR(IFERROR(IFERROR(INDEX('EMBI+'!$B:$B,MATCH(Base!$K381,'EMBI+'!$A:$A,0)),INDEX('EMBI+'!$B:$B,MATCH(Base!$K381+1,'EMBI+'!$A:$A,0))),INDEX('EMBI+'!$B:$B,MATCH(Base!$K381+2,'EMBI+'!$A:$A,0))),INDEX('EMBI+'!$B:$B,MATCH(Base!$K381+3,'EMBI+'!$A:$A,0)))/100</f>
        <v>2.16</v>
      </c>
      <c r="AL381" s="43"/>
      <c r="AM381" s="28"/>
      <c r="AN381" s="28"/>
    </row>
    <row r="382" spans="1:40" x14ac:dyDescent="0.35">
      <c r="A382">
        <f t="shared" si="97"/>
        <v>380</v>
      </c>
      <c r="B382">
        <f>IF(G382="Bonds",COUNTIF($G$3:G382,"Bonds"),0)</f>
        <v>0</v>
      </c>
      <c r="C382" t="str">
        <f t="shared" si="112"/>
        <v>Petrobras4296244788</v>
      </c>
      <c r="D382">
        <f t="shared" si="113"/>
        <v>29</v>
      </c>
      <c r="E382" s="43" t="s">
        <v>462</v>
      </c>
      <c r="F382" s="43" t="s">
        <v>463</v>
      </c>
      <c r="G382" s="43" t="s">
        <v>25</v>
      </c>
      <c r="H382">
        <f t="shared" si="102"/>
        <v>0</v>
      </c>
      <c r="I382" s="43" t="s">
        <v>465</v>
      </c>
      <c r="J382" s="34">
        <f t="shared" si="115"/>
        <v>2</v>
      </c>
      <c r="K382" s="28">
        <v>42962</v>
      </c>
      <c r="L382" s="28">
        <v>44788</v>
      </c>
      <c r="M382" s="60">
        <f t="shared" si="103"/>
        <v>5.0027397260273974</v>
      </c>
      <c r="N382" s="4">
        <f t="shared" si="104"/>
        <v>1</v>
      </c>
      <c r="O382" s="43" t="s">
        <v>44</v>
      </c>
      <c r="P382" t="str">
        <f t="shared" si="109"/>
        <v>0</v>
      </c>
      <c r="Q382" s="44">
        <v>301000</v>
      </c>
      <c r="R382" s="43">
        <v>1000</v>
      </c>
      <c r="S382" s="34" t="str">
        <f>IF($V382="USD",INDEX('Dólar Spot'!$B:$B,MATCH(Base!$K382,'Dólar Spot'!$A:$A,0)),"")</f>
        <v/>
      </c>
      <c r="T382" s="4">
        <f t="shared" si="123"/>
        <v>301000000</v>
      </c>
      <c r="U382" s="8">
        <f t="shared" si="110"/>
        <v>3.01</v>
      </c>
      <c r="V382" s="43" t="s">
        <v>28</v>
      </c>
      <c r="W382" s="45" t="s">
        <v>29</v>
      </c>
      <c r="X382" s="46">
        <v>4.7176</v>
      </c>
      <c r="Y382" s="9">
        <f>IF(AND(V382="DI",$W382=100),$X382/100,
IF(AND(V382="DI",$W382&lt;&gt;100,$X382=""),INDEX('Debs %CDI'!$Q:$Q,MATCH(Base!$C382,'Debs %CDI'!$A:$A,0)),
IF($V382="USD",INDEX(Bonds!$AF:$AF,MATCH(Base!$C382,Bonds!$B:$B,0)),
IF($V382="IPCA",INDEX('Debs IPCA'!$Z:$Z,MATCH(Base!$C382,'Debs IPCA'!$A:$A,0))))))</f>
        <v>-1.1025469042358349E-3</v>
      </c>
      <c r="Z382" s="43">
        <v>252</v>
      </c>
      <c r="AA382" s="43" t="s">
        <v>30</v>
      </c>
      <c r="AB382" s="43" t="s">
        <v>31</v>
      </c>
      <c r="AC382">
        <f t="shared" si="105"/>
        <v>1</v>
      </c>
      <c r="AD382" s="43" t="s">
        <v>31</v>
      </c>
      <c r="AE382">
        <f t="shared" si="106"/>
        <v>1</v>
      </c>
      <c r="AF382" s="34" t="str" cm="1">
        <f t="array" ref="AF382">INDEX(Ratings!$B$2:$M$40,_xlfn.XMATCH(Base!F382,Ratings!$A$2:$A$40),_xlfn.XMATCH(YEAR(Base!K382),Ratings!$B$1:$M$1))</f>
        <v>BB</v>
      </c>
      <c r="AG382">
        <f t="shared" si="96"/>
        <v>0</v>
      </c>
      <c r="AH382">
        <f>IFERROR(IFERROR(IFERROR(INDEX('EMBI+'!$B:$B,MATCH(Base!$K382,'EMBI+'!$A:$A,0)),INDEX('EMBI+'!$B:$B,MATCH(Base!$K382+1,'EMBI+'!$A:$A,0))),INDEX('EMBI+'!$B:$B,MATCH(Base!$K382+2,'EMBI+'!$A:$A,0))),INDEX('EMBI+'!$B:$B,MATCH(Base!$K382+3,'EMBI+'!$A:$A,0)))/100</f>
        <v>2.69</v>
      </c>
      <c r="AL382" s="43"/>
      <c r="AM382" s="28"/>
      <c r="AN382" s="28"/>
    </row>
    <row r="383" spans="1:40" x14ac:dyDescent="0.35">
      <c r="A383">
        <f t="shared" si="97"/>
        <v>381</v>
      </c>
      <c r="B383">
        <f>IF(G383="Bonds",COUNTIF($G$3:G383,"Bonds"),0)</f>
        <v>0</v>
      </c>
      <c r="C383" t="str">
        <f t="shared" si="112"/>
        <v>Petrobras4348046037</v>
      </c>
      <c r="D383">
        <f t="shared" si="113"/>
        <v>29</v>
      </c>
      <c r="E383" s="43" t="s">
        <v>462</v>
      </c>
      <c r="F383" s="43" t="s">
        <v>463</v>
      </c>
      <c r="G383" s="43" t="s">
        <v>25</v>
      </c>
      <c r="H383">
        <f t="shared" si="102"/>
        <v>0</v>
      </c>
      <c r="I383" s="43" t="s">
        <v>466</v>
      </c>
      <c r="J383" s="34">
        <f t="shared" si="115"/>
        <v>3</v>
      </c>
      <c r="K383" s="28">
        <v>43480</v>
      </c>
      <c r="L383" s="28">
        <v>46037</v>
      </c>
      <c r="M383" s="60">
        <f t="shared" si="103"/>
        <v>7.0054794520547947</v>
      </c>
      <c r="N383" s="4">
        <f t="shared" si="104"/>
        <v>1</v>
      </c>
      <c r="O383" s="43" t="s">
        <v>44</v>
      </c>
      <c r="P383" t="str">
        <f t="shared" si="109"/>
        <v>0</v>
      </c>
      <c r="Q383" s="44">
        <v>898397</v>
      </c>
      <c r="R383" s="43">
        <v>1000</v>
      </c>
      <c r="S383" s="34" t="str">
        <f>IF($V383="USD",INDEX('Dólar Spot'!$B:$B,MATCH(Base!$K383,'Dólar Spot'!$A:$A,0)),"")</f>
        <v/>
      </c>
      <c r="T383" s="4">
        <f t="shared" si="123"/>
        <v>898397000</v>
      </c>
      <c r="U383" s="8">
        <f t="shared" si="110"/>
        <v>8.9839699999999993</v>
      </c>
      <c r="V383" s="43" t="s">
        <v>28</v>
      </c>
      <c r="W383" s="45" t="s">
        <v>29</v>
      </c>
      <c r="X383" s="46">
        <v>4.0460000000000003</v>
      </c>
      <c r="Y383" s="9">
        <f>IF(AND(V383="DI",$W383=100),$X383/100,
IF(AND(V383="DI",$W383&lt;&gt;100,$X383=""),INDEX('Debs %CDI'!$Q:$Q,MATCH(Base!$C383,'Debs %CDI'!$A:$A,0)),
IF($V383="USD",INDEX(Bonds!$AF:$AF,MATCH(Base!$C383,Bonds!$B:$B,0)),
IF($V383="IPCA",INDEX('Debs IPCA'!$Z:$Z,MATCH(Base!$C383,'Debs IPCA'!$A:$A,0))))))</f>
        <v>-3.5346357219493418E-3</v>
      </c>
      <c r="Z383" s="43">
        <v>252</v>
      </c>
      <c r="AA383" s="43" t="s">
        <v>30</v>
      </c>
      <c r="AB383" s="43" t="s">
        <v>31</v>
      </c>
      <c r="AC383">
        <f t="shared" si="105"/>
        <v>1</v>
      </c>
      <c r="AD383" s="43" t="s">
        <v>32</v>
      </c>
      <c r="AE383">
        <f t="shared" si="106"/>
        <v>0</v>
      </c>
      <c r="AF383" s="34" t="str" cm="1">
        <f t="array" ref="AF383">INDEX(Ratings!$B$2:$M$40,_xlfn.XMATCH(Base!F383,Ratings!$A$2:$A$40),_xlfn.XMATCH(YEAR(Base!K383),Ratings!$B$1:$M$1))</f>
        <v>BB-</v>
      </c>
      <c r="AG383">
        <f t="shared" si="96"/>
        <v>0</v>
      </c>
      <c r="AH383">
        <f>IFERROR(IFERROR(IFERROR(INDEX('EMBI+'!$B:$B,MATCH(Base!$K383,'EMBI+'!$A:$A,0)),INDEX('EMBI+'!$B:$B,MATCH(Base!$K383+1,'EMBI+'!$A:$A,0))),INDEX('EMBI+'!$B:$B,MATCH(Base!$K383+2,'EMBI+'!$A:$A,0))),INDEX('EMBI+'!$B:$B,MATCH(Base!$K383+3,'EMBI+'!$A:$A,0)))/100</f>
        <v>2.5499999999999998</v>
      </c>
      <c r="AL383" s="43"/>
      <c r="AM383" s="28"/>
      <c r="AN383" s="28"/>
    </row>
    <row r="384" spans="1:40" x14ac:dyDescent="0.35">
      <c r="A384">
        <f t="shared" si="97"/>
        <v>382</v>
      </c>
      <c r="B384">
        <f>IF(G384="Bonds",COUNTIF($G$3:G384,"Bonds"),0)</f>
        <v>0</v>
      </c>
      <c r="C384" t="str">
        <f t="shared" si="112"/>
        <v>Petrobras4369247376</v>
      </c>
      <c r="D384">
        <f t="shared" si="113"/>
        <v>29</v>
      </c>
      <c r="E384" s="43" t="s">
        <v>462</v>
      </c>
      <c r="F384" s="43" t="s">
        <v>463</v>
      </c>
      <c r="G384" s="43" t="s">
        <v>25</v>
      </c>
      <c r="H384">
        <f t="shared" si="102"/>
        <v>0</v>
      </c>
      <c r="I384" s="43" t="s">
        <v>467</v>
      </c>
      <c r="J384" s="34">
        <f t="shared" si="115"/>
        <v>4</v>
      </c>
      <c r="K384" s="28">
        <v>43692</v>
      </c>
      <c r="L384" s="28">
        <v>47376</v>
      </c>
      <c r="M384" s="60">
        <f t="shared" si="103"/>
        <v>10.093150684931507</v>
      </c>
      <c r="N384" s="4">
        <f t="shared" si="104"/>
        <v>1</v>
      </c>
      <c r="O384" s="43" t="s">
        <v>44</v>
      </c>
      <c r="P384" t="str">
        <f t="shared" si="109"/>
        <v>0</v>
      </c>
      <c r="Q384" s="44">
        <v>1529339</v>
      </c>
      <c r="R384" s="43">
        <v>1000</v>
      </c>
      <c r="S384" s="34" t="str">
        <f>IF($V384="USD",INDEX('Dólar Spot'!$B:$B,MATCH(Base!$K384,'Dólar Spot'!$A:$A,0)),"")</f>
        <v/>
      </c>
      <c r="T384" s="4">
        <f t="shared" si="123"/>
        <v>1529339000</v>
      </c>
      <c r="U384" s="8">
        <f t="shared" si="110"/>
        <v>15.29339</v>
      </c>
      <c r="V384" s="43" t="s">
        <v>28</v>
      </c>
      <c r="W384" s="45" t="s">
        <v>29</v>
      </c>
      <c r="X384" s="46">
        <v>3.6</v>
      </c>
      <c r="Y384" s="9">
        <f>IF(AND(V384="DI",$W384=100),$X384/100,
IF(AND(V384="DI",$W384&lt;&gt;100,$X384=""),INDEX('Debs %CDI'!$Q:$Q,MATCH(Base!$C384,'Debs %CDI'!$A:$A,0)),
IF($V384="USD",INDEX(Bonds!$AF:$AF,MATCH(Base!$C384,Bonds!$B:$B,0)),
IF($V384="IPCA",INDEX('Debs IPCA'!$Z:$Z,MATCH(Base!$C384,'Debs IPCA'!$A:$A,0))))))</f>
        <v>8.6028476264177201E-4</v>
      </c>
      <c r="Z384" s="43">
        <v>252</v>
      </c>
      <c r="AA384" s="43" t="s">
        <v>30</v>
      </c>
      <c r="AB384" s="43" t="s">
        <v>31</v>
      </c>
      <c r="AC384">
        <f t="shared" si="105"/>
        <v>1</v>
      </c>
      <c r="AD384" s="43" t="s">
        <v>32</v>
      </c>
      <c r="AE384">
        <f t="shared" si="106"/>
        <v>0</v>
      </c>
      <c r="AF384" s="34" t="str" cm="1">
        <f t="array" ref="AF384">INDEX(Ratings!$B$2:$M$40,_xlfn.XMATCH(Base!F384,Ratings!$A$2:$A$40),_xlfn.XMATCH(YEAR(Base!K384),Ratings!$B$1:$M$1))</f>
        <v>BB-</v>
      </c>
      <c r="AG384">
        <f t="shared" si="96"/>
        <v>0</v>
      </c>
      <c r="AH384">
        <f>IFERROR(IFERROR(IFERROR(INDEX('EMBI+'!$B:$B,MATCH(Base!$K384,'EMBI+'!$A:$A,0)),INDEX('EMBI+'!$B:$B,MATCH(Base!$K384+1,'EMBI+'!$A:$A,0))),INDEX('EMBI+'!$B:$B,MATCH(Base!$K384+2,'EMBI+'!$A:$A,0))),INDEX('EMBI+'!$B:$B,MATCH(Base!$K384+3,'EMBI+'!$A:$A,0)))/100</f>
        <v>2.5099999999999998</v>
      </c>
      <c r="AL384" s="43"/>
      <c r="AM384" s="28"/>
      <c r="AN384" s="28"/>
    </row>
    <row r="385" spans="1:40" x14ac:dyDescent="0.35">
      <c r="A385">
        <f t="shared" si="97"/>
        <v>383</v>
      </c>
      <c r="B385">
        <f>IF(G385="Bonds",COUNTIF($G$3:G385,"Bonds"),0)</f>
        <v>0</v>
      </c>
      <c r="C385" t="str">
        <f t="shared" si="112"/>
        <v>Petrobras4296245519</v>
      </c>
      <c r="D385">
        <f t="shared" si="113"/>
        <v>29</v>
      </c>
      <c r="E385" s="43" t="s">
        <v>462</v>
      </c>
      <c r="F385" s="43" t="s">
        <v>463</v>
      </c>
      <c r="G385" s="43" t="s">
        <v>25</v>
      </c>
      <c r="H385">
        <f t="shared" si="102"/>
        <v>0</v>
      </c>
      <c r="I385" s="43" t="s">
        <v>468</v>
      </c>
      <c r="J385" s="34">
        <f t="shared" si="115"/>
        <v>5</v>
      </c>
      <c r="K385" s="28">
        <v>42962</v>
      </c>
      <c r="L385" s="28">
        <v>45519</v>
      </c>
      <c r="M385" s="60">
        <f t="shared" si="103"/>
        <v>7.0054794520547947</v>
      </c>
      <c r="N385" s="4">
        <f t="shared" si="104"/>
        <v>1</v>
      </c>
      <c r="O385" s="43" t="s">
        <v>44</v>
      </c>
      <c r="P385" t="str">
        <f t="shared" si="109"/>
        <v>0</v>
      </c>
      <c r="Q385" s="44">
        <v>1089892</v>
      </c>
      <c r="R385" s="43">
        <v>1000</v>
      </c>
      <c r="S385" s="34" t="str">
        <f>IF($V385="USD",INDEX('Dólar Spot'!$B:$B,MATCH(Base!$K385,'Dólar Spot'!$A:$A,0)),"")</f>
        <v/>
      </c>
      <c r="T385" s="4">
        <f t="shared" si="123"/>
        <v>1089892000</v>
      </c>
      <c r="U385" s="8">
        <f t="shared" si="110"/>
        <v>10.89892</v>
      </c>
      <c r="V385" s="43" t="s">
        <v>28</v>
      </c>
      <c r="W385" s="45" t="s">
        <v>29</v>
      </c>
      <c r="X385" s="46">
        <v>5.2092000000000001</v>
      </c>
      <c r="Y385" s="9">
        <f>IF(AND(V385="DI",$W385=100),$X385/100,
IF(AND(V385="DI",$W385&lt;&gt;100,$X385=""),INDEX('Debs %CDI'!$Q:$Q,MATCH(Base!$C385,'Debs %CDI'!$A:$A,0)),
IF($V385="USD",INDEX(Bonds!$AF:$AF,MATCH(Base!$C385,Bonds!$B:$B,0)),
IF($V385="IPCA",INDEX('Debs IPCA'!$Z:$Z,MATCH(Base!$C385,'Debs IPCA'!$A:$A,0))))))</f>
        <v>1.8373437826946226E-3</v>
      </c>
      <c r="Z385" s="43">
        <v>252</v>
      </c>
      <c r="AA385" s="43" t="s">
        <v>30</v>
      </c>
      <c r="AB385" s="43" t="s">
        <v>31</v>
      </c>
      <c r="AC385">
        <f t="shared" si="105"/>
        <v>1</v>
      </c>
      <c r="AD385" s="43" t="s">
        <v>31</v>
      </c>
      <c r="AE385">
        <f t="shared" si="106"/>
        <v>1</v>
      </c>
      <c r="AF385" s="34" t="str" cm="1">
        <f t="array" ref="AF385">INDEX(Ratings!$B$2:$M$40,_xlfn.XMATCH(Base!F385,Ratings!$A$2:$A$40),_xlfn.XMATCH(YEAR(Base!K385),Ratings!$B$1:$M$1))</f>
        <v>BB</v>
      </c>
      <c r="AG385">
        <f t="shared" si="96"/>
        <v>0</v>
      </c>
      <c r="AH385">
        <f>IFERROR(IFERROR(IFERROR(INDEX('EMBI+'!$B:$B,MATCH(Base!$K385,'EMBI+'!$A:$A,0)),INDEX('EMBI+'!$B:$B,MATCH(Base!$K385+1,'EMBI+'!$A:$A,0))),INDEX('EMBI+'!$B:$B,MATCH(Base!$K385+2,'EMBI+'!$A:$A,0))),INDEX('EMBI+'!$B:$B,MATCH(Base!$K385+3,'EMBI+'!$A:$A,0)))/100</f>
        <v>2.69</v>
      </c>
      <c r="AL385" s="43"/>
      <c r="AM385" s="28"/>
      <c r="AN385" s="28"/>
    </row>
    <row r="386" spans="1:40" x14ac:dyDescent="0.35">
      <c r="A386">
        <f t="shared" si="97"/>
        <v>384</v>
      </c>
      <c r="B386">
        <f>IF(G386="Bonds",COUNTIF($G$3:G386,"Bonds"),0)</f>
        <v>0</v>
      </c>
      <c r="C386" t="str">
        <f t="shared" si="112"/>
        <v>Petrobras4348047133</v>
      </c>
      <c r="D386">
        <f t="shared" si="113"/>
        <v>29</v>
      </c>
      <c r="E386" s="43" t="s">
        <v>462</v>
      </c>
      <c r="F386" s="43" t="s">
        <v>463</v>
      </c>
      <c r="G386" s="43" t="s">
        <v>25</v>
      </c>
      <c r="H386">
        <f t="shared" si="102"/>
        <v>0</v>
      </c>
      <c r="I386" s="43" t="s">
        <v>469</v>
      </c>
      <c r="J386" s="34">
        <f t="shared" si="115"/>
        <v>6</v>
      </c>
      <c r="K386" s="28">
        <v>43480</v>
      </c>
      <c r="L386" s="28">
        <v>47133</v>
      </c>
      <c r="M386" s="60">
        <f t="shared" si="103"/>
        <v>10.008219178082191</v>
      </c>
      <c r="N386" s="4">
        <f t="shared" si="104"/>
        <v>1</v>
      </c>
      <c r="O386" s="43" t="s">
        <v>44</v>
      </c>
      <c r="P386" t="str">
        <f t="shared" si="109"/>
        <v>0</v>
      </c>
      <c r="Q386" s="44">
        <v>1694089</v>
      </c>
      <c r="R386" s="43">
        <v>1000</v>
      </c>
      <c r="S386" s="34" t="str">
        <f>IF($V386="USD",INDEX('Dólar Spot'!$B:$B,MATCH(Base!$K386,'Dólar Spot'!$A:$A,0)),"")</f>
        <v/>
      </c>
      <c r="T386" s="4">
        <f t="shared" si="123"/>
        <v>1694089000</v>
      </c>
      <c r="U386" s="8">
        <f t="shared" si="110"/>
        <v>16.94089</v>
      </c>
      <c r="V386" s="43" t="s">
        <v>28</v>
      </c>
      <c r="W386" s="45" t="s">
        <v>29</v>
      </c>
      <c r="X386" s="46">
        <v>4.2186000000000003</v>
      </c>
      <c r="Y386" s="9">
        <f>IF(AND(V386="DI",$W386=100),$X386/100,
IF(AND(V386="DI",$W386&lt;&gt;100,$X386=""),INDEX('Debs %CDI'!$Q:$Q,MATCH(Base!$C386,'Debs %CDI'!$A:$A,0)),
IF($V386="USD",INDEX(Bonds!$AF:$AF,MATCH(Base!$C386,Bonds!$B:$B,0)),
IF($V386="IPCA",INDEX('Debs IPCA'!$Z:$Z,MATCH(Base!$C386,'Debs IPCA'!$A:$A,0))))))</f>
        <v>-4.1516193542532331E-3</v>
      </c>
      <c r="Z386" s="43">
        <v>252</v>
      </c>
      <c r="AA386" s="43" t="s">
        <v>30</v>
      </c>
      <c r="AB386" s="43" t="s">
        <v>31</v>
      </c>
      <c r="AC386">
        <f t="shared" si="105"/>
        <v>1</v>
      </c>
      <c r="AD386" s="43" t="s">
        <v>32</v>
      </c>
      <c r="AE386">
        <f t="shared" si="106"/>
        <v>0</v>
      </c>
      <c r="AF386" s="34" t="str" cm="1">
        <f t="array" ref="AF386">INDEX(Ratings!$B$2:$M$40,_xlfn.XMATCH(Base!F386,Ratings!$A$2:$A$40),_xlfn.XMATCH(YEAR(Base!K386),Ratings!$B$1:$M$1))</f>
        <v>BB-</v>
      </c>
      <c r="AG386">
        <f t="shared" si="96"/>
        <v>0</v>
      </c>
      <c r="AH386">
        <f>IFERROR(IFERROR(IFERROR(INDEX('EMBI+'!$B:$B,MATCH(Base!$K386,'EMBI+'!$A:$A,0)),INDEX('EMBI+'!$B:$B,MATCH(Base!$K386+1,'EMBI+'!$A:$A,0))),INDEX('EMBI+'!$B:$B,MATCH(Base!$K386+2,'EMBI+'!$A:$A,0))),INDEX('EMBI+'!$B:$B,MATCH(Base!$K386+3,'EMBI+'!$A:$A,0)))/100</f>
        <v>2.5499999999999998</v>
      </c>
      <c r="AL386" s="43"/>
      <c r="AM386" s="28"/>
      <c r="AN386" s="28"/>
    </row>
    <row r="387" spans="1:40" x14ac:dyDescent="0.35">
      <c r="A387">
        <f t="shared" si="97"/>
        <v>385</v>
      </c>
      <c r="B387">
        <f>IF(G387="Bonds",COUNTIF($G$3:G387,"Bonds"),0)</f>
        <v>0</v>
      </c>
      <c r="C387" t="str">
        <f t="shared" si="112"/>
        <v>Petrobras4369249202</v>
      </c>
      <c r="D387">
        <f t="shared" si="113"/>
        <v>29</v>
      </c>
      <c r="E387" s="43" t="s">
        <v>462</v>
      </c>
      <c r="F387" s="43" t="s">
        <v>463</v>
      </c>
      <c r="G387" s="43" t="s">
        <v>25</v>
      </c>
      <c r="H387">
        <f t="shared" si="102"/>
        <v>0</v>
      </c>
      <c r="I387" s="43" t="s">
        <v>470</v>
      </c>
      <c r="J387" s="34">
        <f t="shared" si="115"/>
        <v>7</v>
      </c>
      <c r="K387" s="28">
        <v>43692</v>
      </c>
      <c r="L387" s="28">
        <v>49202</v>
      </c>
      <c r="M387" s="60">
        <f t="shared" si="103"/>
        <v>15.095890410958905</v>
      </c>
      <c r="N387" s="4">
        <f t="shared" si="104"/>
        <v>1</v>
      </c>
      <c r="O387" s="43" t="s">
        <v>44</v>
      </c>
      <c r="P387" t="str">
        <f t="shared" si="109"/>
        <v>0</v>
      </c>
      <c r="Q387" s="44">
        <v>1478670</v>
      </c>
      <c r="R387" s="43">
        <v>1000</v>
      </c>
      <c r="S387" s="34" t="str">
        <f>IF($V387="USD",INDEX('Dólar Spot'!$B:$B,MATCH(Base!$K387,'Dólar Spot'!$A:$A,0)),"")</f>
        <v/>
      </c>
      <c r="T387" s="4">
        <f t="shared" si="123"/>
        <v>1478670000</v>
      </c>
      <c r="U387" s="8">
        <f t="shared" si="110"/>
        <v>14.7867</v>
      </c>
      <c r="V387" s="43" t="s">
        <v>28</v>
      </c>
      <c r="W387" s="45" t="s">
        <v>29</v>
      </c>
      <c r="X387" s="46">
        <v>3.9</v>
      </c>
      <c r="Y387" s="9">
        <f>IF(AND(V387="DI",$W387=100),$X387/100,
IF(AND(V387="DI",$W387&lt;&gt;100,$X387=""),INDEX('Debs %CDI'!$Q:$Q,MATCH(Base!$C387,'Debs %CDI'!$A:$A,0)),
IF($V387="USD",INDEX(Bonds!$AF:$AF,MATCH(Base!$C387,Bonds!$B:$B,0)),
IF($V387="IPCA",INDEX('Debs IPCA'!$Z:$Z,MATCH(Base!$C387,'Debs IPCA'!$A:$A,0))))))</f>
        <v>9.6104995909662705E-4</v>
      </c>
      <c r="Z387" s="43">
        <v>252</v>
      </c>
      <c r="AA387" s="43" t="s">
        <v>30</v>
      </c>
      <c r="AB387" s="43" t="s">
        <v>31</v>
      </c>
      <c r="AC387">
        <f t="shared" si="105"/>
        <v>1</v>
      </c>
      <c r="AD387" s="43" t="s">
        <v>32</v>
      </c>
      <c r="AE387">
        <f t="shared" si="106"/>
        <v>0</v>
      </c>
      <c r="AF387" s="34" t="str" cm="1">
        <f t="array" ref="AF387">INDEX(Ratings!$B$2:$M$40,_xlfn.XMATCH(Base!F387,Ratings!$A$2:$A$40),_xlfn.XMATCH(YEAR(Base!K387),Ratings!$B$1:$M$1))</f>
        <v>BB-</v>
      </c>
      <c r="AG387">
        <f t="shared" si="96"/>
        <v>0</v>
      </c>
      <c r="AH387">
        <f>IFERROR(IFERROR(IFERROR(INDEX('EMBI+'!$B:$B,MATCH(Base!$K387,'EMBI+'!$A:$A,0)),INDEX('EMBI+'!$B:$B,MATCH(Base!$K387+1,'EMBI+'!$A:$A,0))),INDEX('EMBI+'!$B:$B,MATCH(Base!$K387+2,'EMBI+'!$A:$A,0))),INDEX('EMBI+'!$B:$B,MATCH(Base!$K387+3,'EMBI+'!$A:$A,0)))/100</f>
        <v>2.5099999999999998</v>
      </c>
      <c r="AL387" s="43"/>
      <c r="AM387" s="28"/>
      <c r="AN387" s="28"/>
    </row>
    <row r="388" spans="1:40" x14ac:dyDescent="0.35">
      <c r="A388">
        <f t="shared" si="97"/>
        <v>386</v>
      </c>
      <c r="B388">
        <f>IF(G388="Bonds",COUNTIF($G$3:G388,"Bonds"),0)</f>
        <v>0</v>
      </c>
      <c r="C388" t="str">
        <f t="shared" si="112"/>
        <v>Petrobras4296244788</v>
      </c>
      <c r="D388">
        <f t="shared" si="113"/>
        <v>29</v>
      </c>
      <c r="E388" s="43" t="s">
        <v>462</v>
      </c>
      <c r="F388" s="43" t="s">
        <v>463</v>
      </c>
      <c r="G388" s="43" t="s">
        <v>25</v>
      </c>
      <c r="H388">
        <f t="shared" si="102"/>
        <v>0</v>
      </c>
      <c r="I388" s="43" t="s">
        <v>471</v>
      </c>
      <c r="J388" s="34">
        <f t="shared" si="115"/>
        <v>8</v>
      </c>
      <c r="K388" s="28">
        <v>42962</v>
      </c>
      <c r="L388" s="28">
        <v>44788</v>
      </c>
      <c r="M388" s="60">
        <f t="shared" si="103"/>
        <v>5.0027397260273974</v>
      </c>
      <c r="N388" s="4">
        <f t="shared" si="104"/>
        <v>1</v>
      </c>
      <c r="O388" s="43" t="s">
        <v>44</v>
      </c>
      <c r="P388" t="str">
        <f t="shared" si="109"/>
        <v>0</v>
      </c>
      <c r="Q388" s="44">
        <v>3346237</v>
      </c>
      <c r="R388" s="43">
        <v>1000</v>
      </c>
      <c r="S388" s="34" t="str">
        <f>IF($V388="USD",INDEX('Dólar Spot'!$B:$B,MATCH(Base!$K388,'Dólar Spot'!$A:$A,0)),"")</f>
        <v/>
      </c>
      <c r="T388" s="4">
        <f t="shared" si="123"/>
        <v>3346237000</v>
      </c>
      <c r="U388" s="8">
        <f t="shared" si="110"/>
        <v>33.46237</v>
      </c>
      <c r="V388" s="43" t="s">
        <v>41</v>
      </c>
      <c r="W388" s="45">
        <v>106.75</v>
      </c>
      <c r="X388" s="46"/>
      <c r="Y388" s="9">
        <f>IF(AND(V388="DI",$W388=100),$X388/100,
IF(AND(V388="DI",$W388&lt;&gt;100,$X388=""),INDEX('Debs %CDI'!$Q:$Q,MATCH(Base!$C388,'Debs %CDI'!$A:$A,0)),
IF($V388="USD",INDEX(Bonds!$AF:$AF,MATCH(Base!$C388,Bonds!$B:$B,0)),
IF($V388="IPCA",INDEX('Debs IPCA'!$Z:$Z,MATCH(Base!$C388,'Debs IPCA'!$A:$A,0))))))</f>
        <v>6.6759137794922272E-3</v>
      </c>
      <c r="Z388" s="43">
        <v>252</v>
      </c>
      <c r="AA388" s="43" t="s">
        <v>30</v>
      </c>
      <c r="AB388" s="43" t="s">
        <v>32</v>
      </c>
      <c r="AC388">
        <f t="shared" si="105"/>
        <v>0</v>
      </c>
      <c r="AD388" s="43" t="s">
        <v>31</v>
      </c>
      <c r="AE388">
        <f t="shared" si="106"/>
        <v>1</v>
      </c>
      <c r="AF388" s="34" t="str" cm="1">
        <f t="array" ref="AF388">INDEX(Ratings!$B$2:$M$40,_xlfn.XMATCH(Base!F388,Ratings!$A$2:$A$40),_xlfn.XMATCH(YEAR(Base!K388),Ratings!$B$1:$M$1))</f>
        <v>BB</v>
      </c>
      <c r="AG388">
        <f t="shared" ref="AG388:AG451" si="124">IF(AND(AF388&lt;&gt;"BBB-",AF388&lt;&gt;"BBB",AF388&lt;&gt;"BBB+"),0,1)</f>
        <v>0</v>
      </c>
      <c r="AH388">
        <f>IFERROR(IFERROR(IFERROR(INDEX('EMBI+'!$B:$B,MATCH(Base!$K388,'EMBI+'!$A:$A,0)),INDEX('EMBI+'!$B:$B,MATCH(Base!$K388+1,'EMBI+'!$A:$A,0))),INDEX('EMBI+'!$B:$B,MATCH(Base!$K388+2,'EMBI+'!$A:$A,0))),INDEX('EMBI+'!$B:$B,MATCH(Base!$K388+3,'EMBI+'!$A:$A,0)))/100</f>
        <v>2.69</v>
      </c>
      <c r="AL388" s="43"/>
      <c r="AM388" s="28"/>
      <c r="AN388" s="28"/>
    </row>
    <row r="389" spans="1:40" x14ac:dyDescent="0.35">
      <c r="A389">
        <f t="shared" si="97"/>
        <v>387</v>
      </c>
      <c r="B389">
        <f>IF(G389="Bonds",COUNTIF($G$3:G389,"Bonds"),0)</f>
        <v>0</v>
      </c>
      <c r="C389" t="str">
        <f t="shared" si="112"/>
        <v>Petrobras4348046037</v>
      </c>
      <c r="D389">
        <f t="shared" si="113"/>
        <v>29</v>
      </c>
      <c r="E389" s="43" t="s">
        <v>462</v>
      </c>
      <c r="F389" s="43" t="s">
        <v>463</v>
      </c>
      <c r="G389" s="43" t="s">
        <v>25</v>
      </c>
      <c r="H389">
        <f t="shared" si="102"/>
        <v>0</v>
      </c>
      <c r="I389" s="43" t="s">
        <v>472</v>
      </c>
      <c r="J389" s="34">
        <f t="shared" si="115"/>
        <v>9</v>
      </c>
      <c r="K389" s="28">
        <v>43480</v>
      </c>
      <c r="L389" s="28">
        <v>46037</v>
      </c>
      <c r="M389" s="60">
        <f t="shared" si="103"/>
        <v>7.0054794520547947</v>
      </c>
      <c r="N389" s="4">
        <f t="shared" si="104"/>
        <v>1</v>
      </c>
      <c r="O389" s="43" t="s">
        <v>44</v>
      </c>
      <c r="P389" t="str">
        <f t="shared" si="109"/>
        <v>0</v>
      </c>
      <c r="Q389" s="44">
        <v>1007514</v>
      </c>
      <c r="R389" s="43">
        <v>1000</v>
      </c>
      <c r="S389" s="34" t="str">
        <f>IF($V389="USD",INDEX('Dólar Spot'!$B:$B,MATCH(Base!$K389,'Dólar Spot'!$A:$A,0)),"")</f>
        <v/>
      </c>
      <c r="T389" s="4">
        <f t="shared" si="123"/>
        <v>1007514000</v>
      </c>
      <c r="U389" s="8">
        <f t="shared" si="110"/>
        <v>10.075139999999999</v>
      </c>
      <c r="V389" s="43" t="s">
        <v>41</v>
      </c>
      <c r="W389" s="45">
        <v>106.25</v>
      </c>
      <c r="X389" s="46"/>
      <c r="Y389" s="9">
        <f>IF(AND(V389="DI",$W389=100),$X389/100,
IF(AND(V389="DI",$W389&lt;&gt;100,$X389=""),INDEX('Debs %CDI'!$Q:$Q,MATCH(Base!$C389,'Debs %CDI'!$A:$A,0)),
IF($V389="USD",INDEX(Bonds!$AF:$AF,MATCH(Base!$C389,Bonds!$B:$B,0)),
IF($V389="IPCA",INDEX('Debs IPCA'!$Z:$Z,MATCH(Base!$C389,'Debs IPCA'!$A:$A,0))))))</f>
        <v>5.7480659251790966E-3</v>
      </c>
      <c r="Z389" s="43">
        <v>252</v>
      </c>
      <c r="AA389" s="43" t="s">
        <v>30</v>
      </c>
      <c r="AB389" s="43" t="s">
        <v>32</v>
      </c>
      <c r="AC389">
        <f t="shared" si="105"/>
        <v>0</v>
      </c>
      <c r="AD389" s="43" t="s">
        <v>31</v>
      </c>
      <c r="AE389">
        <f t="shared" si="106"/>
        <v>1</v>
      </c>
      <c r="AF389" s="34" t="str" cm="1">
        <f t="array" ref="AF389">INDEX(Ratings!$B$2:$M$40,_xlfn.XMATCH(Base!F389,Ratings!$A$2:$A$40),_xlfn.XMATCH(YEAR(Base!K389),Ratings!$B$1:$M$1))</f>
        <v>BB-</v>
      </c>
      <c r="AG389">
        <f t="shared" si="124"/>
        <v>0</v>
      </c>
      <c r="AH389">
        <f>IFERROR(IFERROR(IFERROR(INDEX('EMBI+'!$B:$B,MATCH(Base!$K389,'EMBI+'!$A:$A,0)),INDEX('EMBI+'!$B:$B,MATCH(Base!$K389+1,'EMBI+'!$A:$A,0))),INDEX('EMBI+'!$B:$B,MATCH(Base!$K389+2,'EMBI+'!$A:$A,0))),INDEX('EMBI+'!$B:$B,MATCH(Base!$K389+3,'EMBI+'!$A:$A,0)))/100</f>
        <v>2.5499999999999998</v>
      </c>
      <c r="AL389" s="43"/>
      <c r="AM389" s="28"/>
      <c r="AN389" s="28"/>
    </row>
    <row r="390" spans="1:40" x14ac:dyDescent="0.35">
      <c r="A390">
        <f t="shared" si="97"/>
        <v>388</v>
      </c>
      <c r="B390">
        <f>IF(G390="Bonds",COUNTIF($G$3:G390,"Bonds"),0)</f>
        <v>0</v>
      </c>
      <c r="C390" t="str">
        <f t="shared" si="112"/>
        <v>Petrobras4296245519</v>
      </c>
      <c r="D390">
        <f t="shared" si="113"/>
        <v>29</v>
      </c>
      <c r="E390" s="43" t="s">
        <v>462</v>
      </c>
      <c r="F390" s="43" t="s">
        <v>463</v>
      </c>
      <c r="G390" s="43" t="s">
        <v>25</v>
      </c>
      <c r="H390">
        <f t="shared" si="102"/>
        <v>0</v>
      </c>
      <c r="I390" s="43" t="s">
        <v>473</v>
      </c>
      <c r="J390" s="34">
        <f t="shared" si="115"/>
        <v>10</v>
      </c>
      <c r="K390" s="28">
        <v>42962</v>
      </c>
      <c r="L390" s="28">
        <v>45519</v>
      </c>
      <c r="M390" s="60">
        <f t="shared" si="103"/>
        <v>7.0054794520547947</v>
      </c>
      <c r="N390" s="4">
        <f t="shared" si="104"/>
        <v>1</v>
      </c>
      <c r="O390" s="43" t="s">
        <v>44</v>
      </c>
      <c r="P390" t="str">
        <f t="shared" si="109"/>
        <v>0</v>
      </c>
      <c r="Q390" s="44">
        <v>251690</v>
      </c>
      <c r="R390" s="43">
        <v>1000</v>
      </c>
      <c r="S390" s="34" t="str">
        <f>IF($V390="USD",INDEX('Dólar Spot'!$B:$B,MATCH(Base!$K390,'Dólar Spot'!$A:$A,0)),"")</f>
        <v/>
      </c>
      <c r="T390" s="4">
        <f t="shared" si="123"/>
        <v>251690000</v>
      </c>
      <c r="U390" s="8">
        <f t="shared" si="110"/>
        <v>2.5169000000000001</v>
      </c>
      <c r="V390" s="43" t="s">
        <v>28</v>
      </c>
      <c r="W390" s="45" t="s">
        <v>29</v>
      </c>
      <c r="X390" s="46">
        <v>5.8385999999999996</v>
      </c>
      <c r="Y390" s="9">
        <f>IF(AND(V390="DI",$W390=100),$X390/100,
IF(AND(V390="DI",$W390&lt;&gt;100,$X390=""),INDEX('Debs %CDI'!$Q:$Q,MATCH(Base!$C390,'Debs %CDI'!$A:$A,0)),
IF($V390="USD",INDEX(Bonds!$AF:$AF,MATCH(Base!$C390,Bonds!$B:$B,0)),
IF($V390="IPCA",INDEX('Debs IPCA'!$Z:$Z,MATCH(Base!$C390,'Debs IPCA'!$A:$A,0))))))</f>
        <v>1.8373437826946226E-3</v>
      </c>
      <c r="Z390" s="43">
        <v>252</v>
      </c>
      <c r="AA390" s="43" t="s">
        <v>30</v>
      </c>
      <c r="AB390" s="43" t="s">
        <v>32</v>
      </c>
      <c r="AC390">
        <f t="shared" si="105"/>
        <v>0</v>
      </c>
      <c r="AD390" s="43" t="s">
        <v>31</v>
      </c>
      <c r="AE390">
        <f t="shared" si="106"/>
        <v>1</v>
      </c>
      <c r="AF390" s="34" t="str" cm="1">
        <f t="array" ref="AF390">INDEX(Ratings!$B$2:$M$40,_xlfn.XMATCH(Base!F390,Ratings!$A$2:$A$40),_xlfn.XMATCH(YEAR(Base!K390),Ratings!$B$1:$M$1))</f>
        <v>BB</v>
      </c>
      <c r="AG390">
        <f t="shared" si="124"/>
        <v>0</v>
      </c>
      <c r="AH390">
        <f>IFERROR(IFERROR(IFERROR(INDEX('EMBI+'!$B:$B,MATCH(Base!$K390,'EMBI+'!$A:$A,0)),INDEX('EMBI+'!$B:$B,MATCH(Base!$K390+1,'EMBI+'!$A:$A,0))),INDEX('EMBI+'!$B:$B,MATCH(Base!$K390+2,'EMBI+'!$A:$A,0))),INDEX('EMBI+'!$B:$B,MATCH(Base!$K390+3,'EMBI+'!$A:$A,0)))/100</f>
        <v>2.69</v>
      </c>
      <c r="AL390" s="43"/>
      <c r="AM390" s="28"/>
      <c r="AN390" s="28"/>
    </row>
    <row r="391" spans="1:40" x14ac:dyDescent="0.35">
      <c r="A391">
        <f t="shared" si="97"/>
        <v>389</v>
      </c>
      <c r="B391">
        <f>IF(G391="Bonds",COUNTIF($G$3:G391,"Bonds"),0)</f>
        <v>105</v>
      </c>
      <c r="C391" t="str">
        <f t="shared" si="112"/>
        <v>Petrobras4398503/01/2031</v>
      </c>
      <c r="D391">
        <f t="shared" si="113"/>
        <v>29</v>
      </c>
      <c r="E391" s="43" t="s">
        <v>474</v>
      </c>
      <c r="F391" s="43" t="s">
        <v>463</v>
      </c>
      <c r="G391" s="43" t="s">
        <v>34</v>
      </c>
      <c r="H391">
        <f t="shared" si="102"/>
        <v>1</v>
      </c>
      <c r="I391" s="43"/>
      <c r="J391" s="34">
        <f t="shared" si="115"/>
        <v>11</v>
      </c>
      <c r="K391" s="28">
        <v>43985</v>
      </c>
      <c r="L391" s="28" t="s">
        <v>475</v>
      </c>
      <c r="M391" s="60">
        <f t="shared" si="103"/>
        <v>10.591780821917808</v>
      </c>
      <c r="N391" s="4">
        <f t="shared" si="104"/>
        <v>1</v>
      </c>
      <c r="O391" s="43" t="s">
        <v>36</v>
      </c>
      <c r="P391" t="str">
        <f t="shared" si="109"/>
        <v>0</v>
      </c>
      <c r="Q391" s="43"/>
      <c r="R391" s="43"/>
      <c r="S391" s="34">
        <f>IF($V391="USD",INDEX('Dólar Spot'!$B:$B,MATCH(Base!$K391,'Dólar Spot'!$A:$A,0)),"")</f>
        <v>5.0510000000000002</v>
      </c>
      <c r="T391" s="44">
        <v>1500000000</v>
      </c>
      <c r="U391" s="8">
        <f t="shared" si="110"/>
        <v>75.765000000000001</v>
      </c>
      <c r="V391" s="43" t="s">
        <v>651</v>
      </c>
      <c r="W391" s="45" t="s">
        <v>29</v>
      </c>
      <c r="X391" s="53">
        <v>5.6</v>
      </c>
      <c r="Y391" s="9">
        <f>IF(AND(V391="DI",$W391=100),$X391/100,
IF(AND(V391="DI",$W391&lt;&gt;100,$X391=""),INDEX('Debs %CDI'!$Q:$Q,MATCH(Base!$C391,'Debs %CDI'!$A:$A,0)),
IF($V391="USD",INDEX(Bonds!$AF:$AF,MATCH(Base!$C391,Bonds!$B:$B,0)),
IF($V391="IPCA",INDEX('Debs IPCA'!$Z:$Z,MATCH(Base!$C391,'Debs IPCA'!$A:$A,0))))))</f>
        <v>3.2445691227251272E-2</v>
      </c>
      <c r="Z391" s="43">
        <v>360</v>
      </c>
      <c r="AA391" s="43" t="s">
        <v>37</v>
      </c>
      <c r="AB391" s="43" t="s">
        <v>32</v>
      </c>
      <c r="AC391">
        <f t="shared" si="105"/>
        <v>0</v>
      </c>
      <c r="AD391" s="43" t="s">
        <v>31</v>
      </c>
      <c r="AE391">
        <f t="shared" si="106"/>
        <v>1</v>
      </c>
      <c r="AF391" s="34" t="str" cm="1">
        <f t="array" ref="AF391">INDEX(Ratings!$B$2:$M$40,_xlfn.XMATCH(Base!F391,Ratings!$A$2:$A$40),_xlfn.XMATCH(YEAR(Base!K391),Ratings!$B$1:$M$1))</f>
        <v>BB-</v>
      </c>
      <c r="AG391">
        <f t="shared" si="124"/>
        <v>0</v>
      </c>
      <c r="AH391">
        <f>IFERROR(IFERROR(IFERROR(INDEX('EMBI+'!$B:$B,MATCH(Base!$K391,'EMBI+'!$A:$A,0)),INDEX('EMBI+'!$B:$B,MATCH(Base!$K391+1,'EMBI+'!$A:$A,0))),INDEX('EMBI+'!$B:$B,MATCH(Base!$K391+2,'EMBI+'!$A:$A,0))),INDEX('EMBI+'!$B:$B,MATCH(Base!$K391+3,'EMBI+'!$A:$A,0)))/100</f>
        <v>3.51</v>
      </c>
      <c r="AL391" s="43"/>
      <c r="AM391" s="28"/>
      <c r="AN391" s="28"/>
    </row>
    <row r="392" spans="1:40" x14ac:dyDescent="0.35">
      <c r="A392">
        <f t="shared" si="97"/>
        <v>390</v>
      </c>
      <c r="B392">
        <f>IF(G392="Bonds",COUNTIF($G$3:G392,"Bonds"),0)</f>
        <v>106</v>
      </c>
      <c r="C392" t="str">
        <f t="shared" si="112"/>
        <v>Petrobras4171517/03/2044</v>
      </c>
      <c r="D392">
        <f t="shared" si="113"/>
        <v>29</v>
      </c>
      <c r="E392" s="43" t="s">
        <v>474</v>
      </c>
      <c r="F392" s="43" t="s">
        <v>463</v>
      </c>
      <c r="G392" s="43" t="s">
        <v>34</v>
      </c>
      <c r="H392">
        <f t="shared" si="102"/>
        <v>1</v>
      </c>
      <c r="I392" s="43"/>
      <c r="J392" s="34">
        <f t="shared" si="115"/>
        <v>12</v>
      </c>
      <c r="K392" s="28">
        <v>41715</v>
      </c>
      <c r="L392" s="28" t="s">
        <v>477</v>
      </c>
      <c r="M392" s="60">
        <f t="shared" si="103"/>
        <v>30.021917808219179</v>
      </c>
      <c r="N392" s="4">
        <f t="shared" si="104"/>
        <v>1</v>
      </c>
      <c r="O392" s="43" t="s">
        <v>36</v>
      </c>
      <c r="P392" t="str">
        <f t="shared" si="109"/>
        <v>0</v>
      </c>
      <c r="Q392" s="43"/>
      <c r="R392" s="43"/>
      <c r="S392" s="34">
        <f>IF($V392="USD",INDEX('Dólar Spot'!$B:$B,MATCH(Base!$K392,'Dólar Spot'!$A:$A,0)),"")</f>
        <v>2.3513000000000002</v>
      </c>
      <c r="T392" s="44">
        <v>1000000000</v>
      </c>
      <c r="U392" s="8">
        <f t="shared" si="110"/>
        <v>23.513000000000002</v>
      </c>
      <c r="V392" s="43" t="s">
        <v>651</v>
      </c>
      <c r="W392" s="45" t="s">
        <v>29</v>
      </c>
      <c r="X392" s="53">
        <v>7.25</v>
      </c>
      <c r="Y392" s="9">
        <f>IF(AND(V392="DI",$W392=100),$X392/100,
IF(AND(V392="DI",$W392&lt;&gt;100,$X392=""),INDEX('Debs %CDI'!$Q:$Q,MATCH(Base!$C392,'Debs %CDI'!$A:$A,0)),
IF($V392="USD",INDEX(Bonds!$AF:$AF,MATCH(Base!$C392,Bonds!$B:$B,0)),
IF($V392="IPCA",INDEX('Debs IPCA'!$Z:$Z,MATCH(Base!$C392,'Debs IPCA'!$A:$A,0))))))</f>
        <v>3.544129370823601E-2</v>
      </c>
      <c r="Z392" s="43">
        <v>360</v>
      </c>
      <c r="AA392" s="43" t="s">
        <v>37</v>
      </c>
      <c r="AB392" s="43" t="s">
        <v>32</v>
      </c>
      <c r="AC392">
        <f t="shared" si="105"/>
        <v>0</v>
      </c>
      <c r="AD392" s="43" t="s">
        <v>32</v>
      </c>
      <c r="AE392">
        <f t="shared" si="106"/>
        <v>0</v>
      </c>
      <c r="AF392" s="34" t="str" cm="1">
        <f t="array" ref="AF392">INDEX(Ratings!$B$2:$M$40,_xlfn.XMATCH(Base!F392,Ratings!$A$2:$A$40),_xlfn.XMATCH(YEAR(Base!K392),Ratings!$B$1:$M$1))</f>
        <v>BBB</v>
      </c>
      <c r="AG392">
        <f t="shared" si="124"/>
        <v>1</v>
      </c>
      <c r="AH392">
        <f>IFERROR(IFERROR(IFERROR(INDEX('EMBI+'!$B:$B,MATCH(Base!$K392,'EMBI+'!$A:$A,0)),INDEX('EMBI+'!$B:$B,MATCH(Base!$K392+1,'EMBI+'!$A:$A,0))),INDEX('EMBI+'!$B:$B,MATCH(Base!$K392+2,'EMBI+'!$A:$A,0))),INDEX('EMBI+'!$B:$B,MATCH(Base!$K392+3,'EMBI+'!$A:$A,0)))/100</f>
        <v>2.4</v>
      </c>
      <c r="AL392" s="43"/>
      <c r="AM392" s="28"/>
      <c r="AN392" s="28"/>
    </row>
    <row r="393" spans="1:40" x14ac:dyDescent="0.35">
      <c r="A393">
        <f t="shared" ref="A393:A456" si="125">+A392+1</f>
        <v>391</v>
      </c>
      <c r="B393">
        <f>IF(G393="Bonds",COUNTIF($G$3:G393,"Bonds"),0)</f>
        <v>107</v>
      </c>
      <c r="C393" t="str">
        <f t="shared" si="112"/>
        <v>Petrobras4435710/06/2051</v>
      </c>
      <c r="D393">
        <f t="shared" si="113"/>
        <v>29</v>
      </c>
      <c r="E393" s="43" t="s">
        <v>474</v>
      </c>
      <c r="F393" s="43" t="s">
        <v>463</v>
      </c>
      <c r="G393" s="43" t="s">
        <v>34</v>
      </c>
      <c r="H393">
        <f t="shared" si="102"/>
        <v>1</v>
      </c>
      <c r="I393" s="43"/>
      <c r="J393" s="34">
        <f t="shared" si="115"/>
        <v>13</v>
      </c>
      <c r="K393" s="28">
        <v>44357</v>
      </c>
      <c r="L393" s="28" t="s">
        <v>478</v>
      </c>
      <c r="M393" s="60">
        <f t="shared" si="103"/>
        <v>30.019178082191782</v>
      </c>
      <c r="N393" s="4">
        <f t="shared" si="104"/>
        <v>1</v>
      </c>
      <c r="O393" s="43" t="s">
        <v>36</v>
      </c>
      <c r="P393" t="str">
        <f t="shared" si="109"/>
        <v>0</v>
      </c>
      <c r="Q393" s="43"/>
      <c r="R393" s="43"/>
      <c r="S393" s="34">
        <f>IF($V393="USD",INDEX('Dólar Spot'!$B:$B,MATCH(Base!$K393,'Dólar Spot'!$A:$A,0)),"")</f>
        <v>5.0635000000000003</v>
      </c>
      <c r="T393" s="44">
        <v>1500000000</v>
      </c>
      <c r="U393" s="8">
        <f t="shared" si="110"/>
        <v>75.952500000000015</v>
      </c>
      <c r="V393" s="43" t="s">
        <v>651</v>
      </c>
      <c r="W393" s="45" t="s">
        <v>29</v>
      </c>
      <c r="X393" s="53">
        <v>5.5</v>
      </c>
      <c r="Y393" s="9">
        <f>IF(AND(V393="DI",$W393=100),$X393/100,
IF(AND(V393="DI",$W393&lt;&gt;100,$X393=""),INDEX('Debs %CDI'!$Q:$Q,MATCH(Base!$C393,'Debs %CDI'!$A:$A,0)),
IF($V393="USD",INDEX(Bonds!$AF:$AF,MATCH(Base!$C393,Bonds!$B:$B,0)),
IF($V393="IPCA",INDEX('Debs IPCA'!$Z:$Z,MATCH(Base!$C393,'Debs IPCA'!$A:$A,0))))))</f>
        <v>3.6100445862176533E-2</v>
      </c>
      <c r="Z393" s="43">
        <v>360</v>
      </c>
      <c r="AA393" s="43" t="s">
        <v>37</v>
      </c>
      <c r="AB393" s="43" t="s">
        <v>32</v>
      </c>
      <c r="AC393">
        <f t="shared" si="105"/>
        <v>0</v>
      </c>
      <c r="AD393" s="43" t="s">
        <v>31</v>
      </c>
      <c r="AE393">
        <f t="shared" si="106"/>
        <v>1</v>
      </c>
      <c r="AF393" s="34" t="str" cm="1">
        <f t="array" ref="AF393">INDEX(Ratings!$B$2:$M$40,_xlfn.XMATCH(Base!F393,Ratings!$A$2:$A$40),_xlfn.XMATCH(YEAR(Base!K393),Ratings!$B$1:$M$1))</f>
        <v>BB-</v>
      </c>
      <c r="AG393">
        <f t="shared" si="124"/>
        <v>0</v>
      </c>
      <c r="AH393">
        <f>IFERROR(IFERROR(IFERROR(INDEX('EMBI+'!$B:$B,MATCH(Base!$K393,'EMBI+'!$A:$A,0)),INDEX('EMBI+'!$B:$B,MATCH(Base!$K393+1,'EMBI+'!$A:$A,0))),INDEX('EMBI+'!$B:$B,MATCH(Base!$K393+2,'EMBI+'!$A:$A,0))),INDEX('EMBI+'!$B:$B,MATCH(Base!$K393+3,'EMBI+'!$A:$A,0)))/100</f>
        <v>2.66</v>
      </c>
      <c r="AL393" s="43"/>
      <c r="AM393" s="28"/>
      <c r="AN393" s="28"/>
    </row>
    <row r="394" spans="1:40" x14ac:dyDescent="0.35">
      <c r="A394">
        <f t="shared" si="125"/>
        <v>392</v>
      </c>
      <c r="B394">
        <f>IF(G394="Bonds",COUNTIF($G$3:G394,"Bonds"),0)</f>
        <v>108</v>
      </c>
      <c r="C394" t="str">
        <f t="shared" si="112"/>
        <v>Petrobras4275217/01/2027</v>
      </c>
      <c r="D394">
        <f t="shared" si="113"/>
        <v>29</v>
      </c>
      <c r="E394" s="43" t="s">
        <v>474</v>
      </c>
      <c r="F394" s="43" t="s">
        <v>463</v>
      </c>
      <c r="G394" s="43" t="s">
        <v>34</v>
      </c>
      <c r="H394">
        <f t="shared" si="102"/>
        <v>1</v>
      </c>
      <c r="I394" s="43"/>
      <c r="J394" s="34">
        <f t="shared" si="115"/>
        <v>14</v>
      </c>
      <c r="K394" s="28">
        <v>42752</v>
      </c>
      <c r="L394" s="28" t="s">
        <v>479</v>
      </c>
      <c r="M394" s="60">
        <f t="shared" si="103"/>
        <v>10.005479452054795</v>
      </c>
      <c r="N394" s="4">
        <f t="shared" si="104"/>
        <v>1</v>
      </c>
      <c r="O394" s="43" t="s">
        <v>36</v>
      </c>
      <c r="P394" t="str">
        <f t="shared" si="109"/>
        <v>0</v>
      </c>
      <c r="Q394" s="43"/>
      <c r="R394" s="43"/>
      <c r="S394" s="34">
        <f>IF($V394="USD",INDEX('Dólar Spot'!$B:$B,MATCH(Base!$K394,'Dólar Spot'!$A:$A,0)),"")</f>
        <v>3.2094</v>
      </c>
      <c r="T394" s="44">
        <v>2000000000</v>
      </c>
      <c r="U394" s="8">
        <f t="shared" si="110"/>
        <v>64.188000000000002</v>
      </c>
      <c r="V394" s="43" t="s">
        <v>651</v>
      </c>
      <c r="W394" s="45" t="s">
        <v>29</v>
      </c>
      <c r="X394" s="53">
        <v>7.375</v>
      </c>
      <c r="Y394" s="9">
        <f>IF(AND(V394="DI",$W394=100),$X394/100,
IF(AND(V394="DI",$W394&lt;&gt;100,$X394=""),INDEX('Debs %CDI'!$Q:$Q,MATCH(Base!$C394,'Debs %CDI'!$A:$A,0)),
IF($V394="USD",INDEX(Bonds!$AF:$AF,MATCH(Base!$C394,Bonds!$B:$B,0)),
IF($V394="IPCA",INDEX('Debs IPCA'!$Z:$Z,MATCH(Base!$C394,'Debs IPCA'!$A:$A,0))))))</f>
        <v>2.3777894020265089E-2</v>
      </c>
      <c r="Z394" s="43">
        <v>360</v>
      </c>
      <c r="AA394" s="43" t="s">
        <v>37</v>
      </c>
      <c r="AB394" s="43" t="s">
        <v>32</v>
      </c>
      <c r="AC394">
        <f t="shared" si="105"/>
        <v>0</v>
      </c>
      <c r="AD394" s="43" t="s">
        <v>32</v>
      </c>
      <c r="AE394">
        <f t="shared" si="106"/>
        <v>0</v>
      </c>
      <c r="AF394" s="34" t="str" cm="1">
        <f t="array" ref="AF394">INDEX(Ratings!$B$2:$M$40,_xlfn.XMATCH(Base!F394,Ratings!$A$2:$A$40),_xlfn.XMATCH(YEAR(Base!K394),Ratings!$B$1:$M$1))</f>
        <v>BB</v>
      </c>
      <c r="AG394">
        <f t="shared" si="124"/>
        <v>0</v>
      </c>
      <c r="AH394">
        <f>IFERROR(IFERROR(IFERROR(INDEX('EMBI+'!$B:$B,MATCH(Base!$K394,'EMBI+'!$A:$A,0)),INDEX('EMBI+'!$B:$B,MATCH(Base!$K394+1,'EMBI+'!$A:$A,0))),INDEX('EMBI+'!$B:$B,MATCH(Base!$K394+2,'EMBI+'!$A:$A,0))),INDEX('EMBI+'!$B:$B,MATCH(Base!$K394+3,'EMBI+'!$A:$A,0)))/100</f>
        <v>2.82</v>
      </c>
      <c r="AL394" s="43"/>
      <c r="AM394" s="28"/>
      <c r="AN394" s="28"/>
    </row>
    <row r="395" spans="1:40" x14ac:dyDescent="0.35">
      <c r="A395">
        <f t="shared" si="125"/>
        <v>393</v>
      </c>
      <c r="B395">
        <f>IF(G395="Bonds",COUNTIF($G$3:G395,"Bonds"),0)</f>
        <v>109</v>
      </c>
      <c r="C395" t="str">
        <f t="shared" si="112"/>
        <v>Petrobras4354319/03/2049</v>
      </c>
      <c r="D395">
        <f t="shared" si="113"/>
        <v>29</v>
      </c>
      <c r="E395" s="43" t="s">
        <v>474</v>
      </c>
      <c r="F395" s="43" t="s">
        <v>463</v>
      </c>
      <c r="G395" s="43" t="s">
        <v>34</v>
      </c>
      <c r="H395">
        <f t="shared" si="102"/>
        <v>1</v>
      </c>
      <c r="I395" s="43"/>
      <c r="J395" s="34">
        <f t="shared" si="115"/>
        <v>15</v>
      </c>
      <c r="K395" s="28">
        <v>43543</v>
      </c>
      <c r="L395" s="28" t="s">
        <v>480</v>
      </c>
      <c r="M395" s="60">
        <f t="shared" si="103"/>
        <v>30.021917808219179</v>
      </c>
      <c r="N395" s="4">
        <f t="shared" si="104"/>
        <v>1</v>
      </c>
      <c r="O395" s="43" t="s">
        <v>36</v>
      </c>
      <c r="P395" t="str">
        <f t="shared" si="109"/>
        <v>0</v>
      </c>
      <c r="Q395" s="43"/>
      <c r="R395" s="43"/>
      <c r="S395" s="34">
        <f>IF($V395="USD",INDEX('Dólar Spot'!$B:$B,MATCH(Base!$K395,'Dólar Spot'!$A:$A,0)),"")</f>
        <v>3.7755999999999998</v>
      </c>
      <c r="T395" s="44">
        <v>2250000000</v>
      </c>
      <c r="U395" s="8">
        <f t="shared" si="110"/>
        <v>84.950999999999993</v>
      </c>
      <c r="V395" s="43" t="s">
        <v>651</v>
      </c>
      <c r="W395" s="45" t="s">
        <v>29</v>
      </c>
      <c r="X395" s="53">
        <v>6.9</v>
      </c>
      <c r="Y395" s="9">
        <f>IF(AND(V395="DI",$W395=100),$X395/100,
IF(AND(V395="DI",$W395&lt;&gt;100,$X395=""),INDEX('Debs %CDI'!$Q:$Q,MATCH(Base!$C395,'Debs %CDI'!$A:$A,0)),
IF($V395="USD",INDEX(Bonds!$AF:$AF,MATCH(Base!$C395,Bonds!$B:$B,0)),
IF($V395="IPCA",INDEX('Debs IPCA'!$Z:$Z,MATCH(Base!$C395,'Debs IPCA'!$A:$A,0))))))</f>
        <v>3.8369561739408864E-2</v>
      </c>
      <c r="Z395" s="43">
        <v>360</v>
      </c>
      <c r="AA395" s="43" t="s">
        <v>37</v>
      </c>
      <c r="AB395" s="43" t="s">
        <v>32</v>
      </c>
      <c r="AC395">
        <f t="shared" si="105"/>
        <v>0</v>
      </c>
      <c r="AD395" s="43" t="s">
        <v>32</v>
      </c>
      <c r="AE395">
        <f t="shared" si="106"/>
        <v>0</v>
      </c>
      <c r="AF395" s="34" t="str" cm="1">
        <f t="array" ref="AF395">INDEX(Ratings!$B$2:$M$40,_xlfn.XMATCH(Base!F395,Ratings!$A$2:$A$40),_xlfn.XMATCH(YEAR(Base!K395),Ratings!$B$1:$M$1))</f>
        <v>BB-</v>
      </c>
      <c r="AG395">
        <f t="shared" si="124"/>
        <v>0</v>
      </c>
      <c r="AH395">
        <f>IFERROR(IFERROR(IFERROR(INDEX('EMBI+'!$B:$B,MATCH(Base!$K395,'EMBI+'!$A:$A,0)),INDEX('EMBI+'!$B:$B,MATCH(Base!$K395+1,'EMBI+'!$A:$A,0))),INDEX('EMBI+'!$B:$B,MATCH(Base!$K395+2,'EMBI+'!$A:$A,0))),INDEX('EMBI+'!$B:$B,MATCH(Base!$K395+3,'EMBI+'!$A:$A,0)))/100</f>
        <v>2.4</v>
      </c>
      <c r="AL395" s="43"/>
      <c r="AM395" s="28"/>
      <c r="AN395" s="28"/>
    </row>
    <row r="396" spans="1:40" x14ac:dyDescent="0.35">
      <c r="A396">
        <f t="shared" si="125"/>
        <v>394</v>
      </c>
      <c r="B396">
        <f>IF(G396="Bonds",COUNTIF($G$3:G396,"Bonds"),0)</f>
        <v>110</v>
      </c>
      <c r="C396" t="str">
        <f t="shared" si="112"/>
        <v>Petrobras4171517/03/2024</v>
      </c>
      <c r="D396">
        <f t="shared" si="113"/>
        <v>29</v>
      </c>
      <c r="E396" s="43" t="s">
        <v>474</v>
      </c>
      <c r="F396" s="43" t="s">
        <v>463</v>
      </c>
      <c r="G396" s="43" t="s">
        <v>34</v>
      </c>
      <c r="H396">
        <f t="shared" si="102"/>
        <v>1</v>
      </c>
      <c r="I396" s="43"/>
      <c r="J396" s="34">
        <f t="shared" si="115"/>
        <v>16</v>
      </c>
      <c r="K396" s="28">
        <v>41715</v>
      </c>
      <c r="L396" s="28" t="s">
        <v>481</v>
      </c>
      <c r="M396" s="60">
        <f t="shared" si="103"/>
        <v>10.008219178082191</v>
      </c>
      <c r="N396" s="4">
        <f t="shared" si="104"/>
        <v>1</v>
      </c>
      <c r="O396" s="43" t="s">
        <v>36</v>
      </c>
      <c r="P396" t="str">
        <f t="shared" si="109"/>
        <v>0</v>
      </c>
      <c r="Q396" s="43"/>
      <c r="R396" s="43"/>
      <c r="S396" s="34">
        <f>IF($V396="USD",INDEX('Dólar Spot'!$B:$B,MATCH(Base!$K396,'Dólar Spot'!$A:$A,0)),"")</f>
        <v>2.3513000000000002</v>
      </c>
      <c r="T396" s="44">
        <v>2500000000</v>
      </c>
      <c r="U396" s="8">
        <f t="shared" si="110"/>
        <v>58.782499999999999</v>
      </c>
      <c r="V396" s="43" t="s">
        <v>651</v>
      </c>
      <c r="W396" s="45" t="s">
        <v>29</v>
      </c>
      <c r="X396" s="53">
        <v>6.25</v>
      </c>
      <c r="Y396" s="9">
        <f>IF(AND(V396="DI",$W396=100),$X396/100,
IF(AND(V396="DI",$W396&lt;&gt;100,$X396=""),INDEX('Debs %CDI'!$Q:$Q,MATCH(Base!$C396,'Debs %CDI'!$A:$A,0)),
IF($V396="USD",INDEX(Bonds!$AF:$AF,MATCH(Base!$C396,Bonds!$B:$B,0)),
IF($V396="IPCA",INDEX('Debs IPCA'!$Z:$Z,MATCH(Base!$C396,'Debs IPCA'!$A:$A,0))))))</f>
        <v>1.6374834684147466E-2</v>
      </c>
      <c r="Z396" s="43">
        <v>360</v>
      </c>
      <c r="AA396" s="43" t="s">
        <v>37</v>
      </c>
      <c r="AB396" s="43" t="s">
        <v>32</v>
      </c>
      <c r="AC396">
        <f t="shared" si="105"/>
        <v>0</v>
      </c>
      <c r="AD396" s="43" t="s">
        <v>32</v>
      </c>
      <c r="AE396">
        <f t="shared" si="106"/>
        <v>0</v>
      </c>
      <c r="AF396" s="34" t="str" cm="1">
        <f t="array" ref="AF396">INDEX(Ratings!$B$2:$M$40,_xlfn.XMATCH(Base!F396,Ratings!$A$2:$A$40),_xlfn.XMATCH(YEAR(Base!K396),Ratings!$B$1:$M$1))</f>
        <v>BBB</v>
      </c>
      <c r="AG396">
        <f t="shared" si="124"/>
        <v>1</v>
      </c>
      <c r="AH396">
        <f>IFERROR(IFERROR(IFERROR(INDEX('EMBI+'!$B:$B,MATCH(Base!$K396,'EMBI+'!$A:$A,0)),INDEX('EMBI+'!$B:$B,MATCH(Base!$K396+1,'EMBI+'!$A:$A,0))),INDEX('EMBI+'!$B:$B,MATCH(Base!$K396+2,'EMBI+'!$A:$A,0))),INDEX('EMBI+'!$B:$B,MATCH(Base!$K396+3,'EMBI+'!$A:$A,0)))/100</f>
        <v>2.4</v>
      </c>
      <c r="AL396" s="43"/>
      <c r="AM396" s="28"/>
      <c r="AN396" s="28"/>
    </row>
    <row r="397" spans="1:40" x14ac:dyDescent="0.35">
      <c r="A397">
        <f t="shared" si="125"/>
        <v>395</v>
      </c>
      <c r="B397">
        <f>IF(G397="Bonds",COUNTIF($G$3:G397,"Bonds"),0)</f>
        <v>111</v>
      </c>
      <c r="C397" t="str">
        <f t="shared" si="112"/>
        <v>Petrobras4313201/02/2029</v>
      </c>
      <c r="D397">
        <f t="shared" si="113"/>
        <v>29</v>
      </c>
      <c r="E397" s="43" t="s">
        <v>474</v>
      </c>
      <c r="F397" s="43" t="s">
        <v>463</v>
      </c>
      <c r="G397" s="43" t="s">
        <v>34</v>
      </c>
      <c r="H397">
        <f t="shared" si="102"/>
        <v>1</v>
      </c>
      <c r="I397" s="43"/>
      <c r="J397" s="34">
        <f t="shared" si="115"/>
        <v>17</v>
      </c>
      <c r="K397" s="28">
        <v>43132</v>
      </c>
      <c r="L397" s="28" t="s">
        <v>483</v>
      </c>
      <c r="M397" s="60">
        <f t="shared" si="103"/>
        <v>11.008219178082191</v>
      </c>
      <c r="N397" s="4">
        <f t="shared" si="104"/>
        <v>1</v>
      </c>
      <c r="O397" s="43" t="s">
        <v>36</v>
      </c>
      <c r="P397" t="str">
        <f t="shared" si="109"/>
        <v>0</v>
      </c>
      <c r="Q397" s="43"/>
      <c r="R397" s="43"/>
      <c r="S397" s="34">
        <f>IF($V397="USD",INDEX('Dólar Spot'!$B:$B,MATCH(Base!$K397,'Dólar Spot'!$A:$A,0)),"")</f>
        <v>3.1724000000000001</v>
      </c>
      <c r="T397" s="44">
        <v>2000000000</v>
      </c>
      <c r="U397" s="8">
        <f t="shared" si="110"/>
        <v>63.448</v>
      </c>
      <c r="V397" s="43" t="s">
        <v>651</v>
      </c>
      <c r="W397" s="45" t="s">
        <v>29</v>
      </c>
      <c r="X397" s="53">
        <v>5.75</v>
      </c>
      <c r="Y397" s="9">
        <f>IF(AND(V397="DI",$W397=100),$X397/100,
IF(AND(V397="DI",$W397&lt;&gt;100,$X397=""),INDEX('Debs %CDI'!$Q:$Q,MATCH(Base!$C397,'Debs %CDI'!$A:$A,0)),
IF($V397="USD",INDEX(Bonds!$AF:$AF,MATCH(Base!$C397,Bonds!$B:$B,0)),
IF($V397="IPCA",INDEX('Debs IPCA'!$Z:$Z,MATCH(Base!$C397,'Debs IPCA'!$A:$A,0))))))</f>
        <v>1.8023954684549093E-2</v>
      </c>
      <c r="Z397" s="43">
        <v>360</v>
      </c>
      <c r="AA397" s="43" t="s">
        <v>37</v>
      </c>
      <c r="AB397" s="43" t="s">
        <v>32</v>
      </c>
      <c r="AC397">
        <f t="shared" si="105"/>
        <v>0</v>
      </c>
      <c r="AD397" s="43" t="s">
        <v>32</v>
      </c>
      <c r="AE397">
        <f t="shared" si="106"/>
        <v>0</v>
      </c>
      <c r="AF397" s="34" t="str" cm="1">
        <f t="array" ref="AF397">INDEX(Ratings!$B$2:$M$40,_xlfn.XMATCH(Base!F397,Ratings!$A$2:$A$40),_xlfn.XMATCH(YEAR(Base!K397),Ratings!$B$1:$M$1))</f>
        <v>BB-</v>
      </c>
      <c r="AG397">
        <f t="shared" si="124"/>
        <v>0</v>
      </c>
      <c r="AH397">
        <f>IFERROR(IFERROR(IFERROR(INDEX('EMBI+'!$B:$B,MATCH(Base!$K397,'EMBI+'!$A:$A,0)),INDEX('EMBI+'!$B:$B,MATCH(Base!$K397+1,'EMBI+'!$A:$A,0))),INDEX('EMBI+'!$B:$B,MATCH(Base!$K397+2,'EMBI+'!$A:$A,0))),INDEX('EMBI+'!$B:$B,MATCH(Base!$K397+3,'EMBI+'!$A:$A,0)))/100</f>
        <v>2.27</v>
      </c>
      <c r="AL397" s="43"/>
      <c r="AM397" s="28"/>
      <c r="AN397" s="28"/>
    </row>
    <row r="398" spans="1:40" x14ac:dyDescent="0.35">
      <c r="A398">
        <f t="shared" si="125"/>
        <v>396</v>
      </c>
      <c r="B398">
        <f>IF(G398="Bonds",COUNTIF($G$3:G398,"Bonds"),0)</f>
        <v>112</v>
      </c>
      <c r="C398" t="str">
        <f t="shared" si="112"/>
        <v>Petrobras4057027/01/2041</v>
      </c>
      <c r="D398">
        <f t="shared" si="113"/>
        <v>29</v>
      </c>
      <c r="E398" s="43" t="s">
        <v>474</v>
      </c>
      <c r="F398" s="43" t="s">
        <v>463</v>
      </c>
      <c r="G398" s="43" t="s">
        <v>34</v>
      </c>
      <c r="H398">
        <f t="shared" si="102"/>
        <v>1</v>
      </c>
      <c r="I398" s="43"/>
      <c r="J398" s="34">
        <f t="shared" si="115"/>
        <v>18</v>
      </c>
      <c r="K398" s="28">
        <v>40570</v>
      </c>
      <c r="L398" s="28" t="s">
        <v>485</v>
      </c>
      <c r="M398" s="60">
        <f t="shared" si="103"/>
        <v>30.021917808219179</v>
      </c>
      <c r="N398" s="4">
        <f t="shared" si="104"/>
        <v>1</v>
      </c>
      <c r="O398" s="43" t="s">
        <v>36</v>
      </c>
      <c r="P398" t="str">
        <f t="shared" si="109"/>
        <v>0</v>
      </c>
      <c r="Q398" s="43"/>
      <c r="R398" s="43"/>
      <c r="S398" s="34">
        <f>IF($V398="USD",INDEX('Dólar Spot'!$B:$B,MATCH(Base!$K398,'Dólar Spot'!$A:$A,0)),"")</f>
        <v>1.6712</v>
      </c>
      <c r="T398" s="44">
        <v>1000000000</v>
      </c>
      <c r="U398" s="8">
        <f t="shared" si="110"/>
        <v>16.712</v>
      </c>
      <c r="V398" s="43" t="s">
        <v>651</v>
      </c>
      <c r="W398" s="45" t="s">
        <v>29</v>
      </c>
      <c r="X398" s="53">
        <v>6.75</v>
      </c>
      <c r="Y398" s="9">
        <f>IF(AND(V398="DI",$W398=100),$X398/100,
IF(AND(V398="DI",$W398&lt;&gt;100,$X398=""),INDEX('Debs %CDI'!$Q:$Q,MATCH(Base!$C398,'Debs %CDI'!$A:$A,0)),
IF($V398="USD",INDEX(Bonds!$AF:$AF,MATCH(Base!$C398,Bonds!$B:$B,0)),
IF($V398="IPCA",INDEX('Debs IPCA'!$Z:$Z,MATCH(Base!$C398,'Debs IPCA'!$A:$A,0))))))</f>
        <v>2.9568365235058458E-2</v>
      </c>
      <c r="Z398" s="43">
        <v>360</v>
      </c>
      <c r="AA398" s="43" t="s">
        <v>37</v>
      </c>
      <c r="AB398" s="43" t="s">
        <v>32</v>
      </c>
      <c r="AC398">
        <f t="shared" si="105"/>
        <v>0</v>
      </c>
      <c r="AD398" s="43" t="s">
        <v>32</v>
      </c>
      <c r="AE398">
        <f t="shared" si="106"/>
        <v>0</v>
      </c>
      <c r="AF398" s="34" t="str" cm="1">
        <f t="array" ref="AF398">INDEX(Ratings!$B$2:$M$40,_xlfn.XMATCH(Base!F398,Ratings!$A$2:$A$40),_xlfn.XMATCH(YEAR(Base!K398),Ratings!$B$1:$M$1))</f>
        <v>BBB</v>
      </c>
      <c r="AG398">
        <f t="shared" si="124"/>
        <v>1</v>
      </c>
      <c r="AH398">
        <f>IFERROR(IFERROR(IFERROR(INDEX('EMBI+'!$B:$B,MATCH(Base!$K398,'EMBI+'!$A:$A,0)),INDEX('EMBI+'!$B:$B,MATCH(Base!$K398+1,'EMBI+'!$A:$A,0))),INDEX('EMBI+'!$B:$B,MATCH(Base!$K398+2,'EMBI+'!$A:$A,0))),INDEX('EMBI+'!$B:$B,MATCH(Base!$K398+3,'EMBI+'!$A:$A,0)))/100</f>
        <v>1.74</v>
      </c>
      <c r="AL398" s="43"/>
      <c r="AM398" s="28"/>
      <c r="AN398" s="28"/>
    </row>
    <row r="399" spans="1:40" x14ac:dyDescent="0.35">
      <c r="A399">
        <f t="shared" si="125"/>
        <v>397</v>
      </c>
      <c r="B399">
        <f>IF(G399="Bonds",COUNTIF($G$3:G399,"Bonds"),0)</f>
        <v>113</v>
      </c>
      <c r="C399" t="str">
        <f t="shared" si="112"/>
        <v>Petrobras4251323/05/2026</v>
      </c>
      <c r="D399">
        <f t="shared" si="113"/>
        <v>29</v>
      </c>
      <c r="E399" s="43" t="s">
        <v>474</v>
      </c>
      <c r="F399" s="43" t="s">
        <v>463</v>
      </c>
      <c r="G399" s="43" t="s">
        <v>34</v>
      </c>
      <c r="H399">
        <f t="shared" si="102"/>
        <v>1</v>
      </c>
      <c r="I399" s="43"/>
      <c r="J399" s="34">
        <f t="shared" si="115"/>
        <v>19</v>
      </c>
      <c r="K399" s="28">
        <v>42513</v>
      </c>
      <c r="L399" s="28" t="s">
        <v>486</v>
      </c>
      <c r="M399" s="60">
        <f t="shared" si="103"/>
        <v>10.005479452054795</v>
      </c>
      <c r="N399" s="4">
        <f t="shared" si="104"/>
        <v>1</v>
      </c>
      <c r="O399" s="43" t="s">
        <v>36</v>
      </c>
      <c r="P399" t="str">
        <f t="shared" si="109"/>
        <v>0</v>
      </c>
      <c r="Q399" s="43"/>
      <c r="R399" s="43"/>
      <c r="S399" s="34">
        <f>IF($V399="USD",INDEX('Dólar Spot'!$B:$B,MATCH(Base!$K399,'Dólar Spot'!$A:$A,0)),"")</f>
        <v>3.5653999999999999</v>
      </c>
      <c r="T399" s="44">
        <v>1750000000</v>
      </c>
      <c r="U399" s="8">
        <f t="shared" si="110"/>
        <v>62.394500000000001</v>
      </c>
      <c r="V399" s="43" t="s">
        <v>651</v>
      </c>
      <c r="W399" s="45" t="s">
        <v>29</v>
      </c>
      <c r="X399" s="53">
        <v>8.75</v>
      </c>
      <c r="Y399" s="9">
        <f>IF(AND(V399="DI",$W399=100),$X399/100,
IF(AND(V399="DI",$W399&lt;&gt;100,$X399=""),INDEX('Debs %CDI'!$Q:$Q,MATCH(Base!$C399,'Debs %CDI'!$A:$A,0)),
IF($V399="USD",INDEX(Bonds!$AF:$AF,MATCH(Base!$C399,Bonds!$B:$B,0)),
IF($V399="IPCA",INDEX('Debs IPCA'!$Z:$Z,MATCH(Base!$C399,'Debs IPCA'!$A:$A,0))))))</f>
        <v>3.4371682858379105E-2</v>
      </c>
      <c r="Z399" s="43">
        <v>360</v>
      </c>
      <c r="AA399" s="43" t="s">
        <v>37</v>
      </c>
      <c r="AB399" s="43" t="s">
        <v>32</v>
      </c>
      <c r="AC399">
        <f t="shared" si="105"/>
        <v>0</v>
      </c>
      <c r="AD399" s="43" t="s">
        <v>32</v>
      </c>
      <c r="AE399">
        <f t="shared" si="106"/>
        <v>0</v>
      </c>
      <c r="AF399" s="34" t="str" cm="1">
        <f t="array" ref="AF399">INDEX(Ratings!$B$2:$M$40,_xlfn.XMATCH(Base!F399,Ratings!$A$2:$A$40),_xlfn.XMATCH(YEAR(Base!K399),Ratings!$B$1:$M$1))</f>
        <v>BB</v>
      </c>
      <c r="AG399">
        <f t="shared" si="124"/>
        <v>0</v>
      </c>
      <c r="AH399">
        <f>IFERROR(IFERROR(IFERROR(INDEX('EMBI+'!$B:$B,MATCH(Base!$K399,'EMBI+'!$A:$A,0)),INDEX('EMBI+'!$B:$B,MATCH(Base!$K399+1,'EMBI+'!$A:$A,0))),INDEX('EMBI+'!$B:$B,MATCH(Base!$K399+2,'EMBI+'!$A:$A,0))),INDEX('EMBI+'!$B:$B,MATCH(Base!$K399+3,'EMBI+'!$A:$A,0)))/100</f>
        <v>3.97</v>
      </c>
      <c r="AL399" s="43"/>
      <c r="AM399" s="28"/>
      <c r="AN399" s="28"/>
    </row>
    <row r="400" spans="1:40" x14ac:dyDescent="0.35">
      <c r="A400">
        <f t="shared" si="125"/>
        <v>398</v>
      </c>
      <c r="B400">
        <f>IF(G400="Bonds",COUNTIF($G$3:G400,"Bonds"),0)</f>
        <v>114</v>
      </c>
      <c r="C400" t="str">
        <f t="shared" si="112"/>
        <v>Petrobras4398503/06/2050</v>
      </c>
      <c r="D400">
        <f t="shared" si="113"/>
        <v>29</v>
      </c>
      <c r="E400" s="43" t="s">
        <v>474</v>
      </c>
      <c r="F400" s="43" t="s">
        <v>463</v>
      </c>
      <c r="G400" s="43" t="s">
        <v>34</v>
      </c>
      <c r="H400">
        <f t="shared" si="102"/>
        <v>1</v>
      </c>
      <c r="I400" s="43"/>
      <c r="J400" s="34">
        <f t="shared" si="115"/>
        <v>20</v>
      </c>
      <c r="K400" s="28">
        <v>43985</v>
      </c>
      <c r="L400" s="28" t="s">
        <v>487</v>
      </c>
      <c r="M400" s="60">
        <f t="shared" si="103"/>
        <v>30.019178082191782</v>
      </c>
      <c r="N400" s="4">
        <f t="shared" si="104"/>
        <v>1</v>
      </c>
      <c r="O400" s="43" t="s">
        <v>36</v>
      </c>
      <c r="P400" t="str">
        <f t="shared" si="109"/>
        <v>0</v>
      </c>
      <c r="Q400" s="43"/>
      <c r="R400" s="43"/>
      <c r="S400" s="34">
        <f>IF($V400="USD",INDEX('Dólar Spot'!$B:$B,MATCH(Base!$K400,'Dólar Spot'!$A:$A,0)),"")</f>
        <v>5.0510000000000002</v>
      </c>
      <c r="T400" s="44">
        <v>1750000000</v>
      </c>
      <c r="U400" s="8">
        <f t="shared" si="110"/>
        <v>88.392499999999998</v>
      </c>
      <c r="V400" s="43" t="s">
        <v>651</v>
      </c>
      <c r="W400" s="45" t="s">
        <v>29</v>
      </c>
      <c r="X400" s="53">
        <v>6.75</v>
      </c>
      <c r="Y400" s="9">
        <f>IF(AND(V400="DI",$W400=100),$X400/100,
IF(AND(V400="DI",$W400&lt;&gt;100,$X400=""),INDEX('Debs %CDI'!$Q:$Q,MATCH(Base!$C400,'Debs %CDI'!$A:$A,0)),
IF($V400="USD",INDEX(Bonds!$AF:$AF,MATCH(Base!$C400,Bonds!$B:$B,0)),
IF($V400="IPCA",INDEX('Debs IPCA'!$Z:$Z,MATCH(Base!$C400,'Debs IPCA'!$A:$A,0))))))</f>
        <v>4.6185498059376995E-2</v>
      </c>
      <c r="Z400" s="43">
        <v>360</v>
      </c>
      <c r="AA400" s="43" t="s">
        <v>37</v>
      </c>
      <c r="AB400" s="43" t="s">
        <v>32</v>
      </c>
      <c r="AC400">
        <f t="shared" si="105"/>
        <v>0</v>
      </c>
      <c r="AD400" s="43" t="s">
        <v>31</v>
      </c>
      <c r="AE400">
        <f t="shared" si="106"/>
        <v>1</v>
      </c>
      <c r="AF400" s="34" t="str" cm="1">
        <f t="array" ref="AF400">INDEX(Ratings!$B$2:$M$40,_xlfn.XMATCH(Base!F400,Ratings!$A$2:$A$40),_xlfn.XMATCH(YEAR(Base!K400),Ratings!$B$1:$M$1))</f>
        <v>BB-</v>
      </c>
      <c r="AG400">
        <f t="shared" si="124"/>
        <v>0</v>
      </c>
      <c r="AH400">
        <f>IFERROR(IFERROR(IFERROR(INDEX('EMBI+'!$B:$B,MATCH(Base!$K400,'EMBI+'!$A:$A,0)),INDEX('EMBI+'!$B:$B,MATCH(Base!$K400+1,'EMBI+'!$A:$A,0))),INDEX('EMBI+'!$B:$B,MATCH(Base!$K400+2,'EMBI+'!$A:$A,0))),INDEX('EMBI+'!$B:$B,MATCH(Base!$K400+3,'EMBI+'!$A:$A,0)))/100</f>
        <v>3.51</v>
      </c>
      <c r="AL400" s="43"/>
      <c r="AM400" s="28"/>
      <c r="AN400" s="28"/>
    </row>
    <row r="401" spans="1:40" x14ac:dyDescent="0.35">
      <c r="A401">
        <f t="shared" si="125"/>
        <v>399</v>
      </c>
      <c r="B401">
        <f>IF(G401="Bonds",COUNTIF($G$3:G401,"Bonds"),0)</f>
        <v>115</v>
      </c>
      <c r="C401" t="str">
        <f t="shared" si="112"/>
        <v>Petrobras4141420/05/2043</v>
      </c>
      <c r="D401">
        <f t="shared" si="113"/>
        <v>29</v>
      </c>
      <c r="E401" s="43" t="s">
        <v>474</v>
      </c>
      <c r="F401" s="43" t="s">
        <v>463</v>
      </c>
      <c r="G401" s="43" t="s">
        <v>34</v>
      </c>
      <c r="H401">
        <f t="shared" si="102"/>
        <v>1</v>
      </c>
      <c r="I401" s="43"/>
      <c r="J401" s="34">
        <f t="shared" si="115"/>
        <v>21</v>
      </c>
      <c r="K401" s="28">
        <v>41414</v>
      </c>
      <c r="L401" s="28" t="s">
        <v>488</v>
      </c>
      <c r="M401" s="60">
        <f t="shared" si="103"/>
        <v>30.019178082191782</v>
      </c>
      <c r="N401" s="4">
        <f t="shared" si="104"/>
        <v>1</v>
      </c>
      <c r="O401" s="43" t="s">
        <v>36</v>
      </c>
      <c r="P401" t="str">
        <f t="shared" si="109"/>
        <v>0</v>
      </c>
      <c r="Q401" s="43"/>
      <c r="R401" s="43"/>
      <c r="S401" s="34">
        <f>IF($V401="USD",INDEX('Dólar Spot'!$B:$B,MATCH(Base!$K401,'Dólar Spot'!$A:$A,0)),"")</f>
        <v>2.0327999999999999</v>
      </c>
      <c r="T401" s="44">
        <v>1750000000</v>
      </c>
      <c r="U401" s="8">
        <f t="shared" si="110"/>
        <v>35.573999999999998</v>
      </c>
      <c r="V401" s="43" t="s">
        <v>651</v>
      </c>
      <c r="W401" s="45" t="s">
        <v>29</v>
      </c>
      <c r="X401" s="53">
        <v>5.625</v>
      </c>
      <c r="Y401" s="9">
        <f>IF(AND(V401="DI",$W401=100),$X401/100,
IF(AND(V401="DI",$W401&lt;&gt;100,$X401=""),INDEX('Debs %CDI'!$Q:$Q,MATCH(Base!$C401,'Debs %CDI'!$A:$A,0)),
IF($V401="USD",INDEX(Bonds!$AF:$AF,MATCH(Base!$C401,Bonds!$B:$B,0)),
IF($V401="IPCA",INDEX('Debs IPCA'!$Z:$Z,MATCH(Base!$C401,'Debs IPCA'!$A:$A,0))))))</f>
        <v>2.5517885094564541E-2</v>
      </c>
      <c r="Z401" s="43">
        <v>360</v>
      </c>
      <c r="AA401" s="43" t="s">
        <v>37</v>
      </c>
      <c r="AB401" s="43" t="s">
        <v>32</v>
      </c>
      <c r="AC401">
        <f t="shared" si="105"/>
        <v>0</v>
      </c>
      <c r="AD401" s="43" t="s">
        <v>32</v>
      </c>
      <c r="AE401">
        <f t="shared" si="106"/>
        <v>0</v>
      </c>
      <c r="AF401" s="34" t="str" cm="1">
        <f t="array" ref="AF401">INDEX(Ratings!$B$2:$M$40,_xlfn.XMATCH(Base!F401,Ratings!$A$2:$A$40),_xlfn.XMATCH(YEAR(Base!K401),Ratings!$B$1:$M$1))</f>
        <v>BBB</v>
      </c>
      <c r="AG401">
        <f t="shared" si="124"/>
        <v>1</v>
      </c>
      <c r="AH401">
        <f>IFERROR(IFERROR(IFERROR(INDEX('EMBI+'!$B:$B,MATCH(Base!$K401,'EMBI+'!$A:$A,0)),INDEX('EMBI+'!$B:$B,MATCH(Base!$K401+1,'EMBI+'!$A:$A,0))),INDEX('EMBI+'!$B:$B,MATCH(Base!$K401+2,'EMBI+'!$A:$A,0))),INDEX('EMBI+'!$B:$B,MATCH(Base!$K401+3,'EMBI+'!$A:$A,0)))/100</f>
        <v>1.76</v>
      </c>
      <c r="AL401" s="43"/>
      <c r="AM401" s="28"/>
      <c r="AN401" s="28"/>
    </row>
    <row r="402" spans="1:40" x14ac:dyDescent="0.35">
      <c r="A402">
        <f t="shared" si="125"/>
        <v>400</v>
      </c>
      <c r="B402">
        <f>IF(G402="Bonds",COUNTIF($G$3:G402,"Bonds"),0)</f>
        <v>116</v>
      </c>
      <c r="C402" t="str">
        <f t="shared" si="112"/>
        <v>Petrobras4300527/01/2028</v>
      </c>
      <c r="D402">
        <f t="shared" si="113"/>
        <v>29</v>
      </c>
      <c r="E402" s="43" t="s">
        <v>474</v>
      </c>
      <c r="F402" s="43" t="s">
        <v>463</v>
      </c>
      <c r="G402" s="43" t="s">
        <v>34</v>
      </c>
      <c r="H402">
        <f t="shared" si="102"/>
        <v>1</v>
      </c>
      <c r="I402" s="43"/>
      <c r="J402" s="34">
        <f t="shared" si="115"/>
        <v>22</v>
      </c>
      <c r="K402" s="28">
        <v>43005</v>
      </c>
      <c r="L402" s="28" t="s">
        <v>476</v>
      </c>
      <c r="M402" s="60">
        <f t="shared" si="103"/>
        <v>10.33972602739726</v>
      </c>
      <c r="N402" s="4">
        <f t="shared" si="104"/>
        <v>1</v>
      </c>
      <c r="O402" s="43" t="s">
        <v>36</v>
      </c>
      <c r="P402" t="str">
        <f t="shared" si="109"/>
        <v>0</v>
      </c>
      <c r="Q402" s="43"/>
      <c r="R402" s="43"/>
      <c r="S402" s="34">
        <f>IF($V402="USD",INDEX('Dólar Spot'!$B:$B,MATCH(Base!$K402,'Dólar Spot'!$A:$A,0)),"")</f>
        <v>3.1926000000000001</v>
      </c>
      <c r="T402" s="44">
        <v>5836134000</v>
      </c>
      <c r="U402" s="8">
        <f t="shared" si="110"/>
        <v>186.32441408400001</v>
      </c>
      <c r="V402" s="43" t="s">
        <v>651</v>
      </c>
      <c r="W402" s="45" t="s">
        <v>29</v>
      </c>
      <c r="X402" s="53">
        <v>5.9989999999999997</v>
      </c>
      <c r="Y402" s="9">
        <f>IF(AND(V402="DI",$W402=100),$X402/100,
IF(AND(V402="DI",$W402&lt;&gt;100,$X402=""),INDEX('Debs %CDI'!$Q:$Q,MATCH(Base!$C402,'Debs %CDI'!$A:$A,0)),
IF($V402="USD",INDEX(Bonds!$AF:$AF,MATCH(Base!$C402,Bonds!$B:$B,0)),
IF($V402="IPCA",INDEX('Debs IPCA'!$Z:$Z,MATCH(Base!$C402,'Debs IPCA'!$A:$A,0))))))</f>
        <v>3.3065159368694585E-2</v>
      </c>
      <c r="Z402" s="43">
        <v>360</v>
      </c>
      <c r="AA402" s="43" t="s">
        <v>37</v>
      </c>
      <c r="AB402" s="43" t="s">
        <v>32</v>
      </c>
      <c r="AC402">
        <f t="shared" si="105"/>
        <v>0</v>
      </c>
      <c r="AD402" s="43" t="s">
        <v>32</v>
      </c>
      <c r="AE402">
        <f t="shared" si="106"/>
        <v>0</v>
      </c>
      <c r="AF402" s="34" t="str" cm="1">
        <f t="array" ref="AF402">INDEX(Ratings!$B$2:$M$40,_xlfn.XMATCH(Base!F402,Ratings!$A$2:$A$40),_xlfn.XMATCH(YEAR(Base!K402),Ratings!$B$1:$M$1))</f>
        <v>BB</v>
      </c>
      <c r="AG402">
        <f t="shared" si="124"/>
        <v>0</v>
      </c>
      <c r="AH402">
        <f>IFERROR(IFERROR(IFERROR(INDEX('EMBI+'!$B:$B,MATCH(Base!$K402,'EMBI+'!$A:$A,0)),INDEX('EMBI+'!$B:$B,MATCH(Base!$K402+1,'EMBI+'!$A:$A,0))),INDEX('EMBI+'!$B:$B,MATCH(Base!$K402+2,'EMBI+'!$A:$A,0))),INDEX('EMBI+'!$B:$B,MATCH(Base!$K402+3,'EMBI+'!$A:$A,0)))/100</f>
        <v>2.56</v>
      </c>
      <c r="AL402" s="43"/>
      <c r="AM402" s="28"/>
      <c r="AN402" s="28"/>
    </row>
    <row r="403" spans="1:40" x14ac:dyDescent="0.35">
      <c r="A403">
        <f t="shared" si="125"/>
        <v>401</v>
      </c>
      <c r="B403">
        <f>IF(G403="Bonds",COUNTIF($G$3:G403,"Bonds"),0)</f>
        <v>117</v>
      </c>
      <c r="C403" t="str">
        <f t="shared" si="112"/>
        <v>Petrobras4372615/01/2030</v>
      </c>
      <c r="D403">
        <f t="shared" si="113"/>
        <v>29</v>
      </c>
      <c r="E403" s="43" t="s">
        <v>474</v>
      </c>
      <c r="F403" s="43" t="s">
        <v>463</v>
      </c>
      <c r="G403" s="43" t="s">
        <v>34</v>
      </c>
      <c r="H403">
        <f t="shared" si="102"/>
        <v>1</v>
      </c>
      <c r="I403" s="43"/>
      <c r="J403" s="34">
        <f t="shared" si="115"/>
        <v>23</v>
      </c>
      <c r="K403" s="28">
        <v>43726</v>
      </c>
      <c r="L403" s="28" t="s">
        <v>482</v>
      </c>
      <c r="M403" s="60">
        <f t="shared" si="103"/>
        <v>10.334246575342465</v>
      </c>
      <c r="N403" s="4">
        <f t="shared" si="104"/>
        <v>1</v>
      </c>
      <c r="O403" s="43" t="s">
        <v>36</v>
      </c>
      <c r="P403" t="str">
        <f t="shared" si="109"/>
        <v>0</v>
      </c>
      <c r="Q403" s="43"/>
      <c r="R403" s="43"/>
      <c r="S403" s="34">
        <f>IF($V403="USD",INDEX('Dólar Spot'!$B:$B,MATCH(Base!$K403,'Dólar Spot'!$A:$A,0)),"")</f>
        <v>4.0965999999999996</v>
      </c>
      <c r="T403" s="44">
        <v>4115281000</v>
      </c>
      <c r="U403" s="8">
        <f t="shared" si="110"/>
        <v>168.58660144599997</v>
      </c>
      <c r="V403" s="43" t="s">
        <v>651</v>
      </c>
      <c r="W403" s="45" t="s">
        <v>29</v>
      </c>
      <c r="X403" s="53">
        <v>5.093</v>
      </c>
      <c r="Y403" s="9">
        <f>IF(AND(V403="DI",$W403=100),$X403/100,
IF(AND(V403="DI",$W403&lt;&gt;100,$X403=""),INDEX('Debs %CDI'!$Q:$Q,MATCH(Base!$C403,'Debs %CDI'!$A:$A,0)),
IF($V403="USD",INDEX(Bonds!$AF:$AF,MATCH(Base!$C403,Bonds!$B:$B,0)),
IF($V403="IPCA",INDEX('Debs IPCA'!$Z:$Z,MATCH(Base!$C403,'Debs IPCA'!$A:$A,0))))))</f>
        <v>2.3698309243131543E-2</v>
      </c>
      <c r="Z403" s="43">
        <v>360</v>
      </c>
      <c r="AA403" s="43" t="s">
        <v>37</v>
      </c>
      <c r="AB403" s="43" t="s">
        <v>32</v>
      </c>
      <c r="AC403">
        <f t="shared" si="105"/>
        <v>0</v>
      </c>
      <c r="AD403" s="43" t="s">
        <v>32</v>
      </c>
      <c r="AE403">
        <f t="shared" si="106"/>
        <v>0</v>
      </c>
      <c r="AF403" s="34" t="str" cm="1">
        <f t="array" ref="AF403">INDEX(Ratings!$B$2:$M$40,_xlfn.XMATCH(Base!F403,Ratings!$A$2:$A$40),_xlfn.XMATCH(YEAR(Base!K403),Ratings!$B$1:$M$1))</f>
        <v>BB-</v>
      </c>
      <c r="AG403">
        <f t="shared" si="124"/>
        <v>0</v>
      </c>
      <c r="AH403">
        <f>IFERROR(IFERROR(IFERROR(INDEX('EMBI+'!$B:$B,MATCH(Base!$K403,'EMBI+'!$A:$A,0)),INDEX('EMBI+'!$B:$B,MATCH(Base!$K403+1,'EMBI+'!$A:$A,0))),INDEX('EMBI+'!$B:$B,MATCH(Base!$K403+2,'EMBI+'!$A:$A,0))),INDEX('EMBI+'!$B:$B,MATCH(Base!$K403+3,'EMBI+'!$A:$A,0)))/100</f>
        <v>2.25</v>
      </c>
      <c r="AL403" s="43"/>
      <c r="AM403" s="28"/>
      <c r="AN403" s="28"/>
    </row>
    <row r="404" spans="1:40" x14ac:dyDescent="0.35">
      <c r="A404">
        <f t="shared" si="125"/>
        <v>402</v>
      </c>
      <c r="B404">
        <f>IF(G404="Bonds",COUNTIF($G$3:G404,"Bonds"),0)</f>
        <v>118</v>
      </c>
      <c r="C404" t="str">
        <f t="shared" si="112"/>
        <v>Petrobras4300527/01/2025</v>
      </c>
      <c r="D404">
        <f t="shared" si="113"/>
        <v>29</v>
      </c>
      <c r="E404" s="43" t="s">
        <v>474</v>
      </c>
      <c r="F404" s="43" t="s">
        <v>463</v>
      </c>
      <c r="G404" s="43" t="s">
        <v>34</v>
      </c>
      <c r="H404">
        <f t="shared" si="102"/>
        <v>1</v>
      </c>
      <c r="I404" s="43"/>
      <c r="J404" s="34">
        <f t="shared" si="115"/>
        <v>24</v>
      </c>
      <c r="K404" s="28">
        <v>43005</v>
      </c>
      <c r="L404" s="28" t="s">
        <v>484</v>
      </c>
      <c r="M404" s="60">
        <f t="shared" si="103"/>
        <v>7.3397260273972602</v>
      </c>
      <c r="N404" s="4">
        <f t="shared" si="104"/>
        <v>1</v>
      </c>
      <c r="O404" s="43" t="s">
        <v>36</v>
      </c>
      <c r="P404" t="str">
        <f t="shared" si="109"/>
        <v>0</v>
      </c>
      <c r="Q404" s="43"/>
      <c r="R404" s="43"/>
      <c r="S404" s="34">
        <f>IF($V404="USD",INDEX('Dólar Spot'!$B:$B,MATCH(Base!$K404,'Dólar Spot'!$A:$A,0)),"")</f>
        <v>3.1926000000000001</v>
      </c>
      <c r="T404" s="44">
        <v>3759866000</v>
      </c>
      <c r="U404" s="8">
        <f t="shared" si="110"/>
        <v>120.037481916</v>
      </c>
      <c r="V404" s="43" t="s">
        <v>651</v>
      </c>
      <c r="W404" s="45" t="s">
        <v>29</v>
      </c>
      <c r="X404" s="53">
        <v>5.2990000000000004</v>
      </c>
      <c r="Y404" s="9">
        <f>IF(AND(V404="DI",$W404=100),$X404/100,
IF(AND(V404="DI",$W404&lt;&gt;100,$X404=""),INDEX('Debs %CDI'!$Q:$Q,MATCH(Base!$C404,'Debs %CDI'!$A:$A,0)),
IF($V404="USD",INDEX(Bonds!$AF:$AF,MATCH(Base!$C404,Bonds!$B:$B,0)),
IF($V404="IPCA",INDEX('Debs IPCA'!$Z:$Z,MATCH(Base!$C404,'Debs IPCA'!$A:$A,0))))))</f>
        <v>1.5981106764594299E-2</v>
      </c>
      <c r="Z404" s="43">
        <v>360</v>
      </c>
      <c r="AA404" s="43" t="s">
        <v>37</v>
      </c>
      <c r="AB404" s="43" t="s">
        <v>32</v>
      </c>
      <c r="AC404">
        <f t="shared" si="105"/>
        <v>0</v>
      </c>
      <c r="AD404" s="43" t="s">
        <v>32</v>
      </c>
      <c r="AE404">
        <f t="shared" si="106"/>
        <v>0</v>
      </c>
      <c r="AF404" s="34" t="str" cm="1">
        <f t="array" ref="AF404">INDEX(Ratings!$B$2:$M$40,_xlfn.XMATCH(Base!F404,Ratings!$A$2:$A$40),_xlfn.XMATCH(YEAR(Base!K404),Ratings!$B$1:$M$1))</f>
        <v>BB</v>
      </c>
      <c r="AG404">
        <f t="shared" si="124"/>
        <v>0</v>
      </c>
      <c r="AH404">
        <f>IFERROR(IFERROR(IFERROR(INDEX('EMBI+'!$B:$B,MATCH(Base!$K404,'EMBI+'!$A:$A,0)),INDEX('EMBI+'!$B:$B,MATCH(Base!$K404+1,'EMBI+'!$A:$A,0))),INDEX('EMBI+'!$B:$B,MATCH(Base!$K404+2,'EMBI+'!$A:$A,0))),INDEX('EMBI+'!$B:$B,MATCH(Base!$K404+3,'EMBI+'!$A:$A,0)))/100</f>
        <v>2.56</v>
      </c>
      <c r="AL404" s="43"/>
      <c r="AM404" s="28"/>
      <c r="AN404" s="28"/>
    </row>
    <row r="405" spans="1:40" x14ac:dyDescent="0.35">
      <c r="A405">
        <f t="shared" si="125"/>
        <v>403</v>
      </c>
      <c r="B405">
        <f>IF(G405="Bonds",COUNTIF($G$3:G405,"Bonds"),0)</f>
        <v>119</v>
      </c>
      <c r="C405" t="str">
        <f t="shared" si="112"/>
        <v>Petrobras4141420/05/2023</v>
      </c>
      <c r="D405">
        <f t="shared" si="113"/>
        <v>29</v>
      </c>
      <c r="E405" s="43" t="s">
        <v>474</v>
      </c>
      <c r="F405" s="43" t="s">
        <v>463</v>
      </c>
      <c r="G405" s="43" t="s">
        <v>34</v>
      </c>
      <c r="H405">
        <f t="shared" si="102"/>
        <v>1</v>
      </c>
      <c r="I405" s="43"/>
      <c r="J405" s="34">
        <f t="shared" si="115"/>
        <v>25</v>
      </c>
      <c r="K405" s="28">
        <v>41414</v>
      </c>
      <c r="L405" s="28" t="s">
        <v>489</v>
      </c>
      <c r="M405" s="60">
        <f t="shared" si="103"/>
        <v>10.005479452054795</v>
      </c>
      <c r="N405" s="4">
        <f t="shared" si="104"/>
        <v>1</v>
      </c>
      <c r="O405" s="43" t="s">
        <v>36</v>
      </c>
      <c r="P405" t="str">
        <f t="shared" si="109"/>
        <v>0</v>
      </c>
      <c r="Q405" s="43"/>
      <c r="R405" s="43"/>
      <c r="S405" s="34">
        <f>IF($V405="USD",INDEX('Dólar Spot'!$B:$B,MATCH(Base!$K405,'Dólar Spot'!$A:$A,0)),"")</f>
        <v>2.0327999999999999</v>
      </c>
      <c r="T405" s="44">
        <v>3500000000</v>
      </c>
      <c r="U405" s="8">
        <f t="shared" si="110"/>
        <v>71.147999999999996</v>
      </c>
      <c r="V405" s="43" t="s">
        <v>651</v>
      </c>
      <c r="W405" s="45" t="s">
        <v>29</v>
      </c>
      <c r="X405" s="53">
        <v>4.375</v>
      </c>
      <c r="Y405" s="9">
        <f>IF(AND(V405="DI",$W405=100),$X405/100,
IF(AND(V405="DI",$W405&lt;&gt;100,$X405=""),INDEX('Debs %CDI'!$Q:$Q,MATCH(Base!$C405,'Debs %CDI'!$A:$A,0)),
IF($V405="USD",INDEX(Bonds!$AF:$AF,MATCH(Base!$C405,Bonds!$B:$B,0)),
IF($V405="IPCA",INDEX('Debs IPCA'!$Z:$Z,MATCH(Base!$C405,'Debs IPCA'!$A:$A,0))))))</f>
        <v>6.35581542044239E-3</v>
      </c>
      <c r="Z405" s="43">
        <v>360</v>
      </c>
      <c r="AA405" s="43" t="s">
        <v>37</v>
      </c>
      <c r="AB405" s="43" t="s">
        <v>32</v>
      </c>
      <c r="AC405">
        <f t="shared" si="105"/>
        <v>0</v>
      </c>
      <c r="AD405" s="43" t="s">
        <v>31</v>
      </c>
      <c r="AE405">
        <f t="shared" si="106"/>
        <v>1</v>
      </c>
      <c r="AF405" s="34" t="str" cm="1">
        <f t="array" ref="AF405">INDEX(Ratings!$B$2:$M$40,_xlfn.XMATCH(Base!F405,Ratings!$A$2:$A$40),_xlfn.XMATCH(YEAR(Base!K405),Ratings!$B$1:$M$1))</f>
        <v>BBB</v>
      </c>
      <c r="AG405">
        <f t="shared" si="124"/>
        <v>1</v>
      </c>
      <c r="AH405">
        <f>IFERROR(IFERROR(IFERROR(INDEX('EMBI+'!$B:$B,MATCH(Base!$K405,'EMBI+'!$A:$A,0)),INDEX('EMBI+'!$B:$B,MATCH(Base!$K405+1,'EMBI+'!$A:$A,0))),INDEX('EMBI+'!$B:$B,MATCH(Base!$K405+2,'EMBI+'!$A:$A,0))),INDEX('EMBI+'!$B:$B,MATCH(Base!$K405+3,'EMBI+'!$A:$A,0)))/100</f>
        <v>1.76</v>
      </c>
      <c r="AL405" s="43"/>
      <c r="AM405" s="28"/>
      <c r="AN405" s="28"/>
    </row>
    <row r="406" spans="1:40" x14ac:dyDescent="0.35">
      <c r="A406">
        <f t="shared" si="125"/>
        <v>404</v>
      </c>
      <c r="B406">
        <f>IF(G406="Bonds",COUNTIF($G$3:G406,"Bonds"),0)</f>
        <v>120</v>
      </c>
      <c r="C406" t="str">
        <f t="shared" si="112"/>
        <v>Petrobras4057027/01/2021</v>
      </c>
      <c r="D406">
        <f t="shared" si="113"/>
        <v>29</v>
      </c>
      <c r="E406" s="43" t="s">
        <v>474</v>
      </c>
      <c r="F406" s="43" t="s">
        <v>463</v>
      </c>
      <c r="G406" s="43" t="s">
        <v>34</v>
      </c>
      <c r="H406">
        <f t="shared" si="102"/>
        <v>1</v>
      </c>
      <c r="I406" s="43"/>
      <c r="J406" s="34">
        <f t="shared" si="115"/>
        <v>26</v>
      </c>
      <c r="K406" s="28">
        <v>40570</v>
      </c>
      <c r="L406" s="28" t="s">
        <v>490</v>
      </c>
      <c r="M406" s="60">
        <f t="shared" si="103"/>
        <v>10.008219178082191</v>
      </c>
      <c r="N406" s="4">
        <f t="shared" si="104"/>
        <v>1</v>
      </c>
      <c r="O406" s="43" t="s">
        <v>36</v>
      </c>
      <c r="P406" t="str">
        <f t="shared" si="109"/>
        <v>0</v>
      </c>
      <c r="Q406" s="43"/>
      <c r="R406" s="43"/>
      <c r="S406" s="34">
        <f>IF($V406="USD",INDEX('Dólar Spot'!$B:$B,MATCH(Base!$K406,'Dólar Spot'!$A:$A,0)),"")</f>
        <v>1.6712</v>
      </c>
      <c r="T406" s="44">
        <v>2500000000</v>
      </c>
      <c r="U406" s="8">
        <f t="shared" si="110"/>
        <v>41.78</v>
      </c>
      <c r="V406" s="43" t="s">
        <v>651</v>
      </c>
      <c r="W406" s="45" t="s">
        <v>29</v>
      </c>
      <c r="X406" s="53">
        <v>5.375</v>
      </c>
      <c r="Y406" s="9">
        <f>IF(AND(V406="DI",$W406=100),$X406/100,
IF(AND(V406="DI",$W406&lt;&gt;100,$X406=""),INDEX('Debs %CDI'!$Q:$Q,MATCH(Base!$C406,'Debs %CDI'!$A:$A,0)),
IF($V406="USD",INDEX(Bonds!$AF:$AF,MATCH(Base!$C406,Bonds!$B:$B,0)),
IF($V406="IPCA",INDEX('Debs IPCA'!$Z:$Z,MATCH(Base!$C406,'Debs IPCA'!$A:$A,0))))))</f>
        <v>8.5579889134503873E-3</v>
      </c>
      <c r="Z406" s="43">
        <v>360</v>
      </c>
      <c r="AA406" s="43" t="s">
        <v>37</v>
      </c>
      <c r="AB406" s="43" t="s">
        <v>32</v>
      </c>
      <c r="AC406">
        <f t="shared" si="105"/>
        <v>0</v>
      </c>
      <c r="AD406" s="43" t="s">
        <v>31</v>
      </c>
      <c r="AE406">
        <f t="shared" si="106"/>
        <v>1</v>
      </c>
      <c r="AF406" s="34" t="str" cm="1">
        <f t="array" ref="AF406">INDEX(Ratings!$B$2:$M$40,_xlfn.XMATCH(Base!F406,Ratings!$A$2:$A$40),_xlfn.XMATCH(YEAR(Base!K406),Ratings!$B$1:$M$1))</f>
        <v>BBB</v>
      </c>
      <c r="AG406">
        <f t="shared" si="124"/>
        <v>1</v>
      </c>
      <c r="AH406">
        <f>IFERROR(IFERROR(IFERROR(INDEX('EMBI+'!$B:$B,MATCH(Base!$K406,'EMBI+'!$A:$A,0)),INDEX('EMBI+'!$B:$B,MATCH(Base!$K406+1,'EMBI+'!$A:$A,0))),INDEX('EMBI+'!$B:$B,MATCH(Base!$K406+2,'EMBI+'!$A:$A,0))),INDEX('EMBI+'!$B:$B,MATCH(Base!$K406+3,'EMBI+'!$A:$A,0)))/100</f>
        <v>1.74</v>
      </c>
      <c r="AL406" s="43"/>
      <c r="AM406" s="28"/>
      <c r="AN406" s="28"/>
    </row>
    <row r="407" spans="1:40" x14ac:dyDescent="0.35">
      <c r="A407">
        <f t="shared" si="125"/>
        <v>405</v>
      </c>
      <c r="B407">
        <f>IF(G407="Bonds",COUNTIF($G$3:G407,"Bonds"),0)</f>
        <v>121</v>
      </c>
      <c r="C407" t="str">
        <f t="shared" si="112"/>
        <v>Petrobras4275217/01/2022</v>
      </c>
      <c r="D407">
        <f t="shared" si="113"/>
        <v>29</v>
      </c>
      <c r="E407" s="43" t="s">
        <v>474</v>
      </c>
      <c r="F407" s="43" t="s">
        <v>463</v>
      </c>
      <c r="G407" s="43" t="s">
        <v>34</v>
      </c>
      <c r="H407">
        <f t="shared" si="102"/>
        <v>1</v>
      </c>
      <c r="I407" s="43"/>
      <c r="J407" s="34">
        <f t="shared" si="115"/>
        <v>27</v>
      </c>
      <c r="K407" s="28">
        <v>42752</v>
      </c>
      <c r="L407" s="28" t="s">
        <v>491</v>
      </c>
      <c r="M407" s="60">
        <f t="shared" si="103"/>
        <v>5.0027397260273974</v>
      </c>
      <c r="N407" s="4">
        <f t="shared" si="104"/>
        <v>1</v>
      </c>
      <c r="O407" s="43" t="s">
        <v>36</v>
      </c>
      <c r="P407" t="str">
        <f t="shared" si="109"/>
        <v>0</v>
      </c>
      <c r="Q407" s="43"/>
      <c r="R407" s="43"/>
      <c r="S407" s="34">
        <f>IF($V407="USD",INDEX('Dólar Spot'!$B:$B,MATCH(Base!$K407,'Dólar Spot'!$A:$A,0)),"")</f>
        <v>3.2094</v>
      </c>
      <c r="T407" s="44">
        <v>2000000000</v>
      </c>
      <c r="U407" s="8">
        <f t="shared" si="110"/>
        <v>64.188000000000002</v>
      </c>
      <c r="V407" s="43" t="s">
        <v>651</v>
      </c>
      <c r="W407" s="45" t="s">
        <v>29</v>
      </c>
      <c r="X407" s="53">
        <v>6.125</v>
      </c>
      <c r="Y407" s="9">
        <f>IF(AND(V407="DI",$W407=100),$X407/100,
IF(AND(V407="DI",$W407&lt;&gt;100,$X407=""),INDEX('Debs %CDI'!$Q:$Q,MATCH(Base!$C407,'Debs %CDI'!$A:$A,0)),
IF($V407="USD",INDEX(Bonds!$AF:$AF,MATCH(Base!$C407,Bonds!$B:$B,0)),
IF($V407="IPCA",INDEX('Debs IPCA'!$Z:$Z,MATCH(Base!$C407,'Debs IPCA'!$A:$A,0))))))</f>
        <v>2.1628928786174617E-2</v>
      </c>
      <c r="Z407" s="43">
        <v>360</v>
      </c>
      <c r="AA407" s="43" t="s">
        <v>37</v>
      </c>
      <c r="AB407" s="43" t="s">
        <v>32</v>
      </c>
      <c r="AC407">
        <f t="shared" si="105"/>
        <v>0</v>
      </c>
      <c r="AD407" s="43" t="s">
        <v>31</v>
      </c>
      <c r="AE407">
        <f t="shared" si="106"/>
        <v>1</v>
      </c>
      <c r="AF407" s="34" t="str" cm="1">
        <f t="array" ref="AF407">INDEX(Ratings!$B$2:$M$40,_xlfn.XMATCH(Base!F407,Ratings!$A$2:$A$40),_xlfn.XMATCH(YEAR(Base!K407),Ratings!$B$1:$M$1))</f>
        <v>BB</v>
      </c>
      <c r="AG407">
        <f t="shared" si="124"/>
        <v>0</v>
      </c>
      <c r="AH407">
        <f>IFERROR(IFERROR(IFERROR(INDEX('EMBI+'!$B:$B,MATCH(Base!$K407,'EMBI+'!$A:$A,0)),INDEX('EMBI+'!$B:$B,MATCH(Base!$K407+1,'EMBI+'!$A:$A,0))),INDEX('EMBI+'!$B:$B,MATCH(Base!$K407+2,'EMBI+'!$A:$A,0))),INDEX('EMBI+'!$B:$B,MATCH(Base!$K407+3,'EMBI+'!$A:$A,0)))/100</f>
        <v>2.82</v>
      </c>
      <c r="AL407" s="43"/>
      <c r="AM407" s="28"/>
      <c r="AN407" s="28"/>
    </row>
    <row r="408" spans="1:40" x14ac:dyDescent="0.35">
      <c r="A408">
        <f t="shared" si="125"/>
        <v>406</v>
      </c>
      <c r="B408">
        <f>IF(G408="Bonds",COUNTIF($G$3:G408,"Bonds"),0)</f>
        <v>122</v>
      </c>
      <c r="C408" t="str">
        <f t="shared" si="112"/>
        <v>Petrobras4251323/05/2021</v>
      </c>
      <c r="D408">
        <f t="shared" si="113"/>
        <v>29</v>
      </c>
      <c r="E408" s="43" t="s">
        <v>474</v>
      </c>
      <c r="F408" s="43" t="s">
        <v>463</v>
      </c>
      <c r="G408" s="43" t="s">
        <v>34</v>
      </c>
      <c r="H408">
        <f t="shared" si="102"/>
        <v>1</v>
      </c>
      <c r="I408" s="43"/>
      <c r="J408" s="34">
        <f t="shared" si="115"/>
        <v>28</v>
      </c>
      <c r="K408" s="28">
        <v>42513</v>
      </c>
      <c r="L408" s="28" t="s">
        <v>492</v>
      </c>
      <c r="M408" s="60">
        <f t="shared" si="103"/>
        <v>5.0027397260273974</v>
      </c>
      <c r="N408" s="4">
        <f t="shared" si="104"/>
        <v>1</v>
      </c>
      <c r="O408" s="43" t="s">
        <v>36</v>
      </c>
      <c r="P408" t="str">
        <f t="shared" si="109"/>
        <v>0</v>
      </c>
      <c r="Q408" s="43"/>
      <c r="R408" s="43"/>
      <c r="S408" s="34">
        <f>IF($V408="USD",INDEX('Dólar Spot'!$B:$B,MATCH(Base!$K408,'Dólar Spot'!$A:$A,0)),"")</f>
        <v>3.5653999999999999</v>
      </c>
      <c r="T408" s="44">
        <v>5000000000</v>
      </c>
      <c r="U408" s="8">
        <f t="shared" si="110"/>
        <v>178.27</v>
      </c>
      <c r="V408" s="43" t="s">
        <v>651</v>
      </c>
      <c r="W408" s="45" t="s">
        <v>29</v>
      </c>
      <c r="X408" s="53">
        <v>8.375</v>
      </c>
      <c r="Y408" s="9">
        <f>IF(AND(V408="DI",$W408=100),$X408/100,
IF(AND(V408="DI",$W408&lt;&gt;100,$X408=""),INDEX('Debs %CDI'!$Q:$Q,MATCH(Base!$C408,'Debs %CDI'!$A:$A,0)),
IF($V408="USD",INDEX(Bonds!$AF:$AF,MATCH(Base!$C408,Bonds!$B:$B,0)),
IF($V408="IPCA",INDEX('Debs IPCA'!$Z:$Z,MATCH(Base!$C408,'Debs IPCA'!$A:$A,0))))))</f>
        <v>4.1836218274165615E-2</v>
      </c>
      <c r="Z408" s="43">
        <v>360</v>
      </c>
      <c r="AA408" s="43" t="s">
        <v>37</v>
      </c>
      <c r="AB408" s="43" t="s">
        <v>32</v>
      </c>
      <c r="AC408">
        <f t="shared" si="105"/>
        <v>0</v>
      </c>
      <c r="AD408" s="43" t="s">
        <v>31</v>
      </c>
      <c r="AE408">
        <f t="shared" si="106"/>
        <v>1</v>
      </c>
      <c r="AF408" s="34" t="str" cm="1">
        <f t="array" ref="AF408">INDEX(Ratings!$B$2:$M$40,_xlfn.XMATCH(Base!F408,Ratings!$A$2:$A$40),_xlfn.XMATCH(YEAR(Base!K408),Ratings!$B$1:$M$1))</f>
        <v>BB</v>
      </c>
      <c r="AG408">
        <f t="shared" si="124"/>
        <v>0</v>
      </c>
      <c r="AH408">
        <f>IFERROR(IFERROR(IFERROR(INDEX('EMBI+'!$B:$B,MATCH(Base!$K408,'EMBI+'!$A:$A,0)),INDEX('EMBI+'!$B:$B,MATCH(Base!$K408+1,'EMBI+'!$A:$A,0))),INDEX('EMBI+'!$B:$B,MATCH(Base!$K408+2,'EMBI+'!$A:$A,0))),INDEX('EMBI+'!$B:$B,MATCH(Base!$K408+3,'EMBI+'!$A:$A,0)))/100</f>
        <v>3.97</v>
      </c>
      <c r="AL408" s="43"/>
      <c r="AM408" s="28"/>
      <c r="AN408" s="28"/>
    </row>
    <row r="409" spans="1:40" x14ac:dyDescent="0.35">
      <c r="A409">
        <f t="shared" si="125"/>
        <v>407</v>
      </c>
      <c r="B409">
        <f>IF(G409="Bonds",COUNTIF($G$3:G409,"Bonds"),0)</f>
        <v>123</v>
      </c>
      <c r="C409" t="str">
        <f t="shared" si="112"/>
        <v>Petrobras4094506/02/2017</v>
      </c>
      <c r="D409">
        <f t="shared" si="113"/>
        <v>29</v>
      </c>
      <c r="E409" s="43" t="s">
        <v>474</v>
      </c>
      <c r="F409" s="43" t="s">
        <v>463</v>
      </c>
      <c r="G409" s="43" t="s">
        <v>34</v>
      </c>
      <c r="H409">
        <f t="shared" si="102"/>
        <v>1</v>
      </c>
      <c r="I409" s="43"/>
      <c r="J409" s="34">
        <f t="shared" si="115"/>
        <v>29</v>
      </c>
      <c r="K409" s="28">
        <v>40945</v>
      </c>
      <c r="L409" s="28" t="s">
        <v>493</v>
      </c>
      <c r="M409" s="60">
        <f t="shared" si="103"/>
        <v>5.0054794520547947</v>
      </c>
      <c r="N409" s="4">
        <f t="shared" si="104"/>
        <v>1</v>
      </c>
      <c r="O409" s="43" t="s">
        <v>36</v>
      </c>
      <c r="P409" t="str">
        <f t="shared" si="109"/>
        <v>0</v>
      </c>
      <c r="Q409" s="43"/>
      <c r="R409" s="43"/>
      <c r="S409" s="34">
        <f>IF($V409="USD",INDEX('Dólar Spot'!$B:$B,MATCH(Base!$K409,'Dólar Spot'!$A:$A,0)),"")</f>
        <v>1.7242999999999999</v>
      </c>
      <c r="T409" s="44">
        <v>1750000000</v>
      </c>
      <c r="U409" s="8">
        <f t="shared" si="110"/>
        <v>30.175249999999998</v>
      </c>
      <c r="V409" s="43" t="s">
        <v>651</v>
      </c>
      <c r="W409" s="45" t="s">
        <v>29</v>
      </c>
      <c r="X409" s="53">
        <v>3.5</v>
      </c>
      <c r="Y409" s="9">
        <f>IF(AND(V409="DI",$W409=100),$X409/100,
IF(AND(V409="DI",$W409&lt;&gt;100,$X409=""),INDEX('Debs %CDI'!$Q:$Q,MATCH(Base!$C409,'Debs %CDI'!$A:$A,0)),
IF($V409="USD",INDEX(Bonds!$AF:$AF,MATCH(Base!$C409,Bonds!$B:$B,0)),
IF($V409="IPCA",INDEX('Debs IPCA'!$Z:$Z,MATCH(Base!$C409,'Debs IPCA'!$A:$A,0))))))</f>
        <v>-4.1753560869517425E-4</v>
      </c>
      <c r="Z409" s="43">
        <v>360</v>
      </c>
      <c r="AA409" s="43" t="s">
        <v>37</v>
      </c>
      <c r="AB409" s="43" t="s">
        <v>32</v>
      </c>
      <c r="AC409">
        <f t="shared" si="105"/>
        <v>0</v>
      </c>
      <c r="AD409" s="43" t="s">
        <v>32</v>
      </c>
      <c r="AE409">
        <f t="shared" si="106"/>
        <v>0</v>
      </c>
      <c r="AF409" s="34" t="str" cm="1">
        <f t="array" ref="AF409">INDEX(Ratings!$B$2:$M$40,_xlfn.XMATCH(Base!F409,Ratings!$A$2:$A$40),_xlfn.XMATCH(YEAR(Base!K409),Ratings!$B$1:$M$1))</f>
        <v>BBB</v>
      </c>
      <c r="AG409">
        <f t="shared" si="124"/>
        <v>1</v>
      </c>
      <c r="AH409">
        <f>IFERROR(IFERROR(IFERROR(INDEX('EMBI+'!$B:$B,MATCH(Base!$K409,'EMBI+'!$A:$A,0)),INDEX('EMBI+'!$B:$B,MATCH(Base!$K409+1,'EMBI+'!$A:$A,0))),INDEX('EMBI+'!$B:$B,MATCH(Base!$K409+2,'EMBI+'!$A:$A,0))),INDEX('EMBI+'!$B:$B,MATCH(Base!$K409+3,'EMBI+'!$A:$A,0)))/100</f>
        <v>2.1</v>
      </c>
      <c r="AL409" s="43"/>
      <c r="AM409" s="28"/>
      <c r="AN409" s="28"/>
    </row>
    <row r="410" spans="1:40" x14ac:dyDescent="0.35">
      <c r="A410">
        <f t="shared" si="125"/>
        <v>408</v>
      </c>
      <c r="B410">
        <f>IF(G410="Bonds",COUNTIF($G$3:G410,"Bonds"),0)</f>
        <v>124</v>
      </c>
      <c r="C410" t="str">
        <f t="shared" si="112"/>
        <v>Petrobras4171517/03/2017</v>
      </c>
      <c r="D410">
        <f t="shared" si="113"/>
        <v>29</v>
      </c>
      <c r="E410" s="43" t="s">
        <v>474</v>
      </c>
      <c r="F410" s="43" t="s">
        <v>463</v>
      </c>
      <c r="G410" s="43" t="s">
        <v>34</v>
      </c>
      <c r="H410">
        <f t="shared" si="102"/>
        <v>1</v>
      </c>
      <c r="I410" s="43"/>
      <c r="J410" s="34">
        <f t="shared" si="115"/>
        <v>30</v>
      </c>
      <c r="K410" s="28">
        <v>41715</v>
      </c>
      <c r="L410" s="28" t="s">
        <v>494</v>
      </c>
      <c r="M410" s="60">
        <f t="shared" si="103"/>
        <v>3.0027397260273974</v>
      </c>
      <c r="N410" s="4">
        <f t="shared" si="104"/>
        <v>0</v>
      </c>
      <c r="O410" s="43" t="s">
        <v>36</v>
      </c>
      <c r="P410" t="str">
        <f t="shared" si="109"/>
        <v>0</v>
      </c>
      <c r="Q410" s="43"/>
      <c r="R410" s="43"/>
      <c r="S410" s="34">
        <f>IF($V410="USD",INDEX('Dólar Spot'!$B:$B,MATCH(Base!$K410,'Dólar Spot'!$A:$A,0)),"")</f>
        <v>2.3513000000000002</v>
      </c>
      <c r="T410" s="44">
        <v>1600000000</v>
      </c>
      <c r="U410" s="8">
        <f t="shared" si="110"/>
        <v>37.620800000000003</v>
      </c>
      <c r="V410" s="43" t="s">
        <v>651</v>
      </c>
      <c r="W410" s="45" t="s">
        <v>29</v>
      </c>
      <c r="X410" s="53">
        <v>3.25</v>
      </c>
      <c r="Y410" s="9">
        <f>IF(AND(V410="DI",$W410=100),$X410/100,
IF(AND(V410="DI",$W410&lt;&gt;100,$X410=""),INDEX('Debs %CDI'!$Q:$Q,MATCH(Base!$C410,'Debs %CDI'!$A:$A,0)),
IF($V410="USD",INDEX(Bonds!$AF:$AF,MATCH(Base!$C410,Bonds!$B:$B,0)),
IF($V410="IPCA",INDEX('Debs IPCA'!$Z:$Z,MATCH(Base!$C410,'Debs IPCA'!$A:$A,0))))))</f>
        <v>8.7451265491358399E-3</v>
      </c>
      <c r="Z410" s="43">
        <v>360</v>
      </c>
      <c r="AA410" s="43" t="s">
        <v>37</v>
      </c>
      <c r="AB410" s="43" t="s">
        <v>32</v>
      </c>
      <c r="AC410">
        <f t="shared" si="105"/>
        <v>0</v>
      </c>
      <c r="AD410" s="43" t="s">
        <v>32</v>
      </c>
      <c r="AE410">
        <f t="shared" si="106"/>
        <v>0</v>
      </c>
      <c r="AF410" s="34" t="str" cm="1">
        <f t="array" ref="AF410">INDEX(Ratings!$B$2:$M$40,_xlfn.XMATCH(Base!F410,Ratings!$A$2:$A$40),_xlfn.XMATCH(YEAR(Base!K410),Ratings!$B$1:$M$1))</f>
        <v>BBB</v>
      </c>
      <c r="AG410">
        <f t="shared" si="124"/>
        <v>1</v>
      </c>
      <c r="AH410">
        <f>IFERROR(IFERROR(IFERROR(INDEX('EMBI+'!$B:$B,MATCH(Base!$K410,'EMBI+'!$A:$A,0)),INDEX('EMBI+'!$B:$B,MATCH(Base!$K410+1,'EMBI+'!$A:$A,0))),INDEX('EMBI+'!$B:$B,MATCH(Base!$K410+2,'EMBI+'!$A:$A,0))),INDEX('EMBI+'!$B:$B,MATCH(Base!$K410+3,'EMBI+'!$A:$A,0)))/100</f>
        <v>2.4</v>
      </c>
      <c r="AL410" s="43"/>
      <c r="AM410" s="28"/>
      <c r="AN410" s="28"/>
    </row>
    <row r="411" spans="1:40" x14ac:dyDescent="0.35">
      <c r="A411">
        <f t="shared" si="125"/>
        <v>409</v>
      </c>
      <c r="B411">
        <f>IF(G411="Bonds",COUNTIF($G$3:G411,"Bonds"),0)</f>
        <v>125</v>
      </c>
      <c r="C411" t="str">
        <f t="shared" si="112"/>
        <v>Petrobras4057027/01/2016</v>
      </c>
      <c r="D411">
        <f t="shared" si="113"/>
        <v>29</v>
      </c>
      <c r="E411" s="43" t="s">
        <v>474</v>
      </c>
      <c r="F411" s="43" t="s">
        <v>463</v>
      </c>
      <c r="G411" s="43" t="s">
        <v>34</v>
      </c>
      <c r="H411">
        <f t="shared" si="102"/>
        <v>1</v>
      </c>
      <c r="I411" s="43"/>
      <c r="J411" s="34">
        <f t="shared" si="115"/>
        <v>31</v>
      </c>
      <c r="K411" s="28">
        <v>40570</v>
      </c>
      <c r="L411" s="28" t="s">
        <v>495</v>
      </c>
      <c r="M411" s="60">
        <f t="shared" si="103"/>
        <v>5.0027397260273974</v>
      </c>
      <c r="N411" s="4">
        <f t="shared" si="104"/>
        <v>1</v>
      </c>
      <c r="O411" s="43" t="s">
        <v>36</v>
      </c>
      <c r="P411" t="str">
        <f t="shared" si="109"/>
        <v>0</v>
      </c>
      <c r="Q411" s="43"/>
      <c r="R411" s="43"/>
      <c r="S411" s="34">
        <f>IF($V411="USD",INDEX('Dólar Spot'!$B:$B,MATCH(Base!$K411,'Dólar Spot'!$A:$A,0)),"")</f>
        <v>1.6712</v>
      </c>
      <c r="T411" s="44">
        <v>2500000000</v>
      </c>
      <c r="U411" s="8">
        <f t="shared" si="110"/>
        <v>41.78</v>
      </c>
      <c r="V411" s="43" t="s">
        <v>651</v>
      </c>
      <c r="W411" s="45" t="s">
        <v>29</v>
      </c>
      <c r="X411" s="53">
        <v>3.875</v>
      </c>
      <c r="Y411" s="9">
        <f>IF(AND(V411="DI",$W411=100),$X411/100,
IF(AND(V411="DI",$W411&lt;&gt;100,$X411=""),INDEX('Debs %CDI'!$Q:$Q,MATCH(Base!$C411,'Debs %CDI'!$A:$A,0)),
IF($V411="USD",INDEX(Bonds!$AF:$AF,MATCH(Base!$C411,Bonds!$B:$B,0)),
IF($V411="IPCA",INDEX('Debs IPCA'!$Z:$Z,MATCH(Base!$C411,'Debs IPCA'!$A:$A,0))))))</f>
        <v>3.165859118178016E-3</v>
      </c>
      <c r="Z411" s="43">
        <v>360</v>
      </c>
      <c r="AA411" s="43" t="s">
        <v>37</v>
      </c>
      <c r="AB411" s="43" t="s">
        <v>32</v>
      </c>
      <c r="AC411">
        <f t="shared" si="105"/>
        <v>0</v>
      </c>
      <c r="AD411" s="43" t="s">
        <v>32</v>
      </c>
      <c r="AE411">
        <f t="shared" si="106"/>
        <v>0</v>
      </c>
      <c r="AF411" s="34" t="str" cm="1">
        <f t="array" ref="AF411">INDEX(Ratings!$B$2:$M$40,_xlfn.XMATCH(Base!F411,Ratings!$A$2:$A$40),_xlfn.XMATCH(YEAR(Base!K411),Ratings!$B$1:$M$1))</f>
        <v>BBB</v>
      </c>
      <c r="AG411">
        <f t="shared" si="124"/>
        <v>1</v>
      </c>
      <c r="AH411">
        <f>IFERROR(IFERROR(IFERROR(INDEX('EMBI+'!$B:$B,MATCH(Base!$K411,'EMBI+'!$A:$A,0)),INDEX('EMBI+'!$B:$B,MATCH(Base!$K411+1,'EMBI+'!$A:$A,0))),INDEX('EMBI+'!$B:$B,MATCH(Base!$K411+2,'EMBI+'!$A:$A,0))),INDEX('EMBI+'!$B:$B,MATCH(Base!$K411+3,'EMBI+'!$A:$A,0)))/100</f>
        <v>1.74</v>
      </c>
      <c r="AL411" s="43"/>
      <c r="AM411" s="28"/>
      <c r="AN411" s="28"/>
    </row>
    <row r="412" spans="1:40" x14ac:dyDescent="0.35">
      <c r="A412">
        <f t="shared" si="125"/>
        <v>410</v>
      </c>
      <c r="B412">
        <f>IF(G412="Bonds",COUNTIF($G$3:G412,"Bonds"),0)</f>
        <v>126</v>
      </c>
      <c r="C412" t="str">
        <f t="shared" si="112"/>
        <v>Petrobras4094506/02/2015</v>
      </c>
      <c r="D412">
        <f t="shared" si="113"/>
        <v>29</v>
      </c>
      <c r="E412" s="43" t="s">
        <v>474</v>
      </c>
      <c r="F412" s="43" t="s">
        <v>463</v>
      </c>
      <c r="G412" s="43" t="s">
        <v>34</v>
      </c>
      <c r="H412">
        <f t="shared" si="102"/>
        <v>1</v>
      </c>
      <c r="I412" s="43"/>
      <c r="J412" s="34">
        <f t="shared" si="115"/>
        <v>32</v>
      </c>
      <c r="K412" s="28">
        <v>40945</v>
      </c>
      <c r="L412" s="28" t="s">
        <v>497</v>
      </c>
      <c r="M412" s="60">
        <f t="shared" si="103"/>
        <v>3.0027397260273974</v>
      </c>
      <c r="N412" s="4">
        <f t="shared" si="104"/>
        <v>0</v>
      </c>
      <c r="O412" s="43" t="s">
        <v>36</v>
      </c>
      <c r="P412" t="str">
        <f t="shared" si="109"/>
        <v>0</v>
      </c>
      <c r="Q412" s="43"/>
      <c r="R412" s="43"/>
      <c r="S412" s="34">
        <f>IF($V412="USD",INDEX('Dólar Spot'!$B:$B,MATCH(Base!$K412,'Dólar Spot'!$A:$A,0)),"")</f>
        <v>1.7242999999999999</v>
      </c>
      <c r="T412" s="44">
        <v>1250000000</v>
      </c>
      <c r="U412" s="8">
        <f t="shared" si="110"/>
        <v>21.553750000000001</v>
      </c>
      <c r="V412" s="43" t="s">
        <v>651</v>
      </c>
      <c r="W412" s="45" t="s">
        <v>29</v>
      </c>
      <c r="X412" s="53">
        <v>2.875</v>
      </c>
      <c r="Y412" s="9">
        <f>IF(AND(V412="DI",$W412=100),$X412/100,
IF(AND(V412="DI",$W412&lt;&gt;100,$X412=""),INDEX('Debs %CDI'!$Q:$Q,MATCH(Base!$C412,'Debs %CDI'!$A:$A,0)),
IF($V412="USD",INDEX(Bonds!$AF:$AF,MATCH(Base!$C412,Bonds!$B:$B,0)),
IF($V412="IPCA",INDEX('Debs IPCA'!$Z:$Z,MATCH(Base!$C412,'Debs IPCA'!$A:$A,0))))))</f>
        <v>-2.8946580467299476E-3</v>
      </c>
      <c r="Z412" s="43">
        <v>360</v>
      </c>
      <c r="AA412" s="43" t="s">
        <v>37</v>
      </c>
      <c r="AB412" s="43" t="s">
        <v>32</v>
      </c>
      <c r="AC412">
        <f t="shared" si="105"/>
        <v>0</v>
      </c>
      <c r="AD412" s="43" t="s">
        <v>32</v>
      </c>
      <c r="AE412">
        <f t="shared" si="106"/>
        <v>0</v>
      </c>
      <c r="AF412" s="34" t="str" cm="1">
        <f t="array" ref="AF412">INDEX(Ratings!$B$2:$M$40,_xlfn.XMATCH(Base!F412,Ratings!$A$2:$A$40),_xlfn.XMATCH(YEAR(Base!K412),Ratings!$B$1:$M$1))</f>
        <v>BBB</v>
      </c>
      <c r="AG412">
        <f t="shared" si="124"/>
        <v>1</v>
      </c>
      <c r="AH412">
        <f>IFERROR(IFERROR(IFERROR(INDEX('EMBI+'!$B:$B,MATCH(Base!$K412,'EMBI+'!$A:$A,0)),INDEX('EMBI+'!$B:$B,MATCH(Base!$K412+1,'EMBI+'!$A:$A,0))),INDEX('EMBI+'!$B:$B,MATCH(Base!$K412+2,'EMBI+'!$A:$A,0))),INDEX('EMBI+'!$B:$B,MATCH(Base!$K412+3,'EMBI+'!$A:$A,0)))/100</f>
        <v>2.1</v>
      </c>
      <c r="AL412" s="43"/>
      <c r="AM412" s="28"/>
      <c r="AN412" s="28"/>
    </row>
    <row r="413" spans="1:40" x14ac:dyDescent="0.35">
      <c r="A413">
        <f t="shared" si="125"/>
        <v>411</v>
      </c>
      <c r="B413">
        <f>IF(G413="Bonds",COUNTIF($G$3:G413,"Bonds"),0)</f>
        <v>127</v>
      </c>
      <c r="C413" t="str">
        <f t="shared" si="112"/>
        <v>Petrobras4171517/03/2020</v>
      </c>
      <c r="D413">
        <f t="shared" si="113"/>
        <v>29</v>
      </c>
      <c r="E413" s="43" t="s">
        <v>474</v>
      </c>
      <c r="F413" s="43" t="s">
        <v>463</v>
      </c>
      <c r="G413" s="43" t="s">
        <v>34</v>
      </c>
      <c r="H413">
        <f t="shared" si="102"/>
        <v>1</v>
      </c>
      <c r="I413" s="43"/>
      <c r="J413" s="34">
        <f t="shared" si="115"/>
        <v>33</v>
      </c>
      <c r="K413" s="28">
        <v>41715</v>
      </c>
      <c r="L413" s="28" t="s">
        <v>496</v>
      </c>
      <c r="M413" s="60">
        <f t="shared" si="103"/>
        <v>6.0054794520547947</v>
      </c>
      <c r="N413" s="4">
        <f t="shared" si="104"/>
        <v>1</v>
      </c>
      <c r="O413" s="43" t="s">
        <v>36</v>
      </c>
      <c r="P413" t="str">
        <f t="shared" si="109"/>
        <v>0</v>
      </c>
      <c r="Q413" s="43"/>
      <c r="R413" s="43"/>
      <c r="S413" s="34">
        <f>IF($V413="USD",INDEX('Dólar Spot'!$B:$B,MATCH(Base!$K413,'Dólar Spot'!$A:$A,0)),"")</f>
        <v>2.3513000000000002</v>
      </c>
      <c r="T413" s="44">
        <v>1500000000</v>
      </c>
      <c r="U413" s="8">
        <f t="shared" si="110"/>
        <v>35.269500000000008</v>
      </c>
      <c r="V413" s="43" t="s">
        <v>651</v>
      </c>
      <c r="W413" s="45" t="s">
        <v>29</v>
      </c>
      <c r="X413" s="53">
        <v>4.875</v>
      </c>
      <c r="Y413" s="9">
        <f>IF(AND(V413="DI",$W413=100),$X413/100,
IF(AND(V413="DI",$W413&lt;&gt;100,$X413=""),INDEX('Debs %CDI'!$Q:$Q,MATCH(Base!$C413,'Debs %CDI'!$A:$A,0)),
IF($V413="USD",INDEX(Bonds!$AF:$AF,MATCH(Base!$C413,Bonds!$B:$B,0)),
IF($V413="IPCA",INDEX('Debs IPCA'!$Z:$Z,MATCH(Base!$C413,'Debs IPCA'!$A:$A,0))))))</f>
        <v>1.2773335320889867E-2</v>
      </c>
      <c r="Z413" s="43">
        <v>360</v>
      </c>
      <c r="AA413" s="43" t="s">
        <v>37</v>
      </c>
      <c r="AB413" s="43" t="s">
        <v>32</v>
      </c>
      <c r="AC413">
        <f t="shared" si="105"/>
        <v>0</v>
      </c>
      <c r="AD413" s="43" t="s">
        <v>32</v>
      </c>
      <c r="AE413">
        <f t="shared" si="106"/>
        <v>0</v>
      </c>
      <c r="AF413" s="34" t="str" cm="1">
        <f t="array" ref="AF413">INDEX(Ratings!$B$2:$M$40,_xlfn.XMATCH(Base!F413,Ratings!$A$2:$A$40),_xlfn.XMATCH(YEAR(Base!K413),Ratings!$B$1:$M$1))</f>
        <v>BBB</v>
      </c>
      <c r="AG413">
        <f t="shared" si="124"/>
        <v>1</v>
      </c>
      <c r="AH413">
        <f>IFERROR(IFERROR(IFERROR(INDEX('EMBI+'!$B:$B,MATCH(Base!$K413,'EMBI+'!$A:$A,0)),INDEX('EMBI+'!$B:$B,MATCH(Base!$K413+1,'EMBI+'!$A:$A,0))),INDEX('EMBI+'!$B:$B,MATCH(Base!$K413+2,'EMBI+'!$A:$A,0))),INDEX('EMBI+'!$B:$B,MATCH(Base!$K413+3,'EMBI+'!$A:$A,0)))/100</f>
        <v>2.4</v>
      </c>
      <c r="AL413" s="43"/>
      <c r="AM413" s="28"/>
      <c r="AN413" s="28"/>
    </row>
    <row r="414" spans="1:40" x14ac:dyDescent="0.35">
      <c r="A414">
        <f t="shared" si="125"/>
        <v>412</v>
      </c>
      <c r="B414">
        <f>IF(G414="Bonds",COUNTIF($G$3:G414,"Bonds"),0)</f>
        <v>0</v>
      </c>
      <c r="C414" t="str">
        <f t="shared" si="112"/>
        <v>Queiroz Galvão4194346572</v>
      </c>
      <c r="D414">
        <f t="shared" si="113"/>
        <v>30</v>
      </c>
      <c r="E414" s="43" t="s">
        <v>498</v>
      </c>
      <c r="F414" s="43" t="s">
        <v>499</v>
      </c>
      <c r="G414" s="43" t="s">
        <v>25</v>
      </c>
      <c r="H414">
        <f t="shared" si="102"/>
        <v>0</v>
      </c>
      <c r="I414" s="43" t="s">
        <v>500</v>
      </c>
      <c r="J414" s="34">
        <f t="shared" si="115"/>
        <v>1</v>
      </c>
      <c r="K414" s="28">
        <v>41943</v>
      </c>
      <c r="L414" s="28">
        <v>46572</v>
      </c>
      <c r="M414" s="60">
        <f t="shared" si="103"/>
        <v>12.682191780821919</v>
      </c>
      <c r="N414" s="4">
        <f t="shared" si="104"/>
        <v>1</v>
      </c>
      <c r="O414" s="43" t="s">
        <v>27</v>
      </c>
      <c r="P414" t="str">
        <f t="shared" si="109"/>
        <v>1</v>
      </c>
      <c r="Q414" s="44">
        <v>200</v>
      </c>
      <c r="R414" s="43">
        <v>1000000</v>
      </c>
      <c r="S414" s="34" t="str">
        <f>IF($V414="USD",INDEX('Dólar Spot'!$B:$B,MATCH(Base!$K414,'Dólar Spot'!$A:$A,0)),"")</f>
        <v/>
      </c>
      <c r="T414" s="4">
        <f t="shared" ref="T414:T423" si="126">Q414*R414</f>
        <v>200000000</v>
      </c>
      <c r="U414" s="8">
        <f t="shared" si="110"/>
        <v>2</v>
      </c>
      <c r="V414" s="43" t="s">
        <v>41</v>
      </c>
      <c r="W414" s="45">
        <v>130</v>
      </c>
      <c r="X414" s="46"/>
      <c r="Y414" s="9">
        <f>IF(AND(V414="DI",$W414=100),$X414/100,
IF(AND(V414="DI",$W414&lt;&gt;100,$X414=""),INDEX('Debs %CDI'!$Q:$Q,MATCH(Base!$C414,'Debs %CDI'!$A:$A,0)),
IF($V414="USD",INDEX(Bonds!$AF:$AF,MATCH(Base!$C414,Bonds!$B:$B,0)),
IF($V414="IPCA",INDEX('Debs IPCA'!$Z:$Z,MATCH(Base!$C414,'Debs IPCA'!$A:$A,0))))))</f>
        <v>3.5820001863068891E-2</v>
      </c>
      <c r="Z414" s="43">
        <v>252</v>
      </c>
      <c r="AA414" s="43" t="s">
        <v>30</v>
      </c>
      <c r="AB414" s="43" t="s">
        <v>32</v>
      </c>
      <c r="AC414">
        <f t="shared" si="105"/>
        <v>0</v>
      </c>
      <c r="AD414" s="43" t="s">
        <v>31</v>
      </c>
      <c r="AE414">
        <f t="shared" si="106"/>
        <v>1</v>
      </c>
      <c r="AF414" s="34" t="str" cm="1">
        <f t="array" ref="AF414">INDEX(Ratings!$B$2:$M$40,_xlfn.XMATCH(Base!F414,Ratings!$A$2:$A$40),_xlfn.XMATCH(YEAR(Base!K414),Ratings!$B$1:$M$1))</f>
        <v>NR</v>
      </c>
      <c r="AG414">
        <f t="shared" si="124"/>
        <v>0</v>
      </c>
      <c r="AH414">
        <f>IFERROR(IFERROR(IFERROR(INDEX('EMBI+'!$B:$B,MATCH(Base!$K414,'EMBI+'!$A:$A,0)),INDEX('EMBI+'!$B:$B,MATCH(Base!$K414+1,'EMBI+'!$A:$A,0))),INDEX('EMBI+'!$B:$B,MATCH(Base!$K414+2,'EMBI+'!$A:$A,0))),INDEX('EMBI+'!$B:$B,MATCH(Base!$K414+3,'EMBI+'!$A:$A,0)))/100</f>
        <v>2.33</v>
      </c>
      <c r="AL414" s="43"/>
      <c r="AM414" s="28"/>
      <c r="AN414" s="28"/>
    </row>
    <row r="415" spans="1:40" x14ac:dyDescent="0.35">
      <c r="A415">
        <f t="shared" si="125"/>
        <v>413</v>
      </c>
      <c r="B415">
        <f>IF(G415="Bonds",COUNTIF($G$3:G415,"Bonds"),0)</f>
        <v>0</v>
      </c>
      <c r="C415" t="str">
        <f t="shared" si="112"/>
        <v>Queiroz Galvão4196443060</v>
      </c>
      <c r="D415">
        <f t="shared" si="113"/>
        <v>30</v>
      </c>
      <c r="E415" s="43" t="s">
        <v>501</v>
      </c>
      <c r="F415" s="43" t="s">
        <v>499</v>
      </c>
      <c r="G415" s="43" t="s">
        <v>25</v>
      </c>
      <c r="H415">
        <f t="shared" si="102"/>
        <v>0</v>
      </c>
      <c r="I415" s="43" t="s">
        <v>502</v>
      </c>
      <c r="J415" s="34">
        <f t="shared" si="115"/>
        <v>2</v>
      </c>
      <c r="K415" s="28">
        <v>41964</v>
      </c>
      <c r="L415" s="28">
        <v>43060</v>
      </c>
      <c r="M415" s="60">
        <f t="shared" si="103"/>
        <v>3.0027397260273974</v>
      </c>
      <c r="N415" s="4">
        <f t="shared" si="104"/>
        <v>0</v>
      </c>
      <c r="O415" s="43" t="s">
        <v>44</v>
      </c>
      <c r="P415" t="str">
        <f t="shared" si="109"/>
        <v>0</v>
      </c>
      <c r="Q415" s="44">
        <v>310000</v>
      </c>
      <c r="R415" s="43">
        <v>1000</v>
      </c>
      <c r="S415" s="34" t="str">
        <f>IF($V415="USD",INDEX('Dólar Spot'!$B:$B,MATCH(Base!$K415,'Dólar Spot'!$A:$A,0)),"")</f>
        <v/>
      </c>
      <c r="T415" s="4">
        <f t="shared" si="126"/>
        <v>310000000</v>
      </c>
      <c r="U415" s="8">
        <f t="shared" si="110"/>
        <v>3.1</v>
      </c>
      <c r="V415" s="43" t="s">
        <v>41</v>
      </c>
      <c r="W415" s="45">
        <v>115.6</v>
      </c>
      <c r="X415" s="46"/>
      <c r="Y415" s="9">
        <f>IF(AND(V415="DI",$W415=100),$X415/100,
IF(AND(V415="DI",$W415&lt;&gt;100,$X415=""),INDEX('Debs %CDI'!$Q:$Q,MATCH(Base!$C415,'Debs %CDI'!$A:$A,0)),
IF($V415="USD",INDEX(Bonds!$AF:$AF,MATCH(Base!$C415,Bonds!$B:$B,0)),
IF($V415="IPCA",INDEX('Debs IPCA'!$Z:$Z,MATCH(Base!$C415,'Debs IPCA'!$A:$A,0))))))</f>
        <v>1.9018154910432673E-2</v>
      </c>
      <c r="Z415" s="43">
        <v>252</v>
      </c>
      <c r="AA415" s="43" t="s">
        <v>30</v>
      </c>
      <c r="AB415" s="43" t="s">
        <v>32</v>
      </c>
      <c r="AC415">
        <f t="shared" si="105"/>
        <v>0</v>
      </c>
      <c r="AD415" s="43" t="s">
        <v>31</v>
      </c>
      <c r="AE415">
        <f t="shared" si="106"/>
        <v>1</v>
      </c>
      <c r="AF415" s="34" t="str" cm="1">
        <f t="array" ref="AF415">INDEX(Ratings!$B$2:$M$40,_xlfn.XMATCH(Base!F415,Ratings!$A$2:$A$40),_xlfn.XMATCH(YEAR(Base!K415),Ratings!$B$1:$M$1))</f>
        <v>NR</v>
      </c>
      <c r="AG415">
        <f t="shared" si="124"/>
        <v>0</v>
      </c>
      <c r="AH415">
        <f>IFERROR(IFERROR(IFERROR(INDEX('EMBI+'!$B:$B,MATCH(Base!$K415,'EMBI+'!$A:$A,0)),INDEX('EMBI+'!$B:$B,MATCH(Base!$K415+1,'EMBI+'!$A:$A,0))),INDEX('EMBI+'!$B:$B,MATCH(Base!$K415+2,'EMBI+'!$A:$A,0))),INDEX('EMBI+'!$B:$B,MATCH(Base!$K415+3,'EMBI+'!$A:$A,0)))/100</f>
        <v>2.37</v>
      </c>
      <c r="AL415" s="43"/>
      <c r="AM415" s="28"/>
      <c r="AN415" s="28"/>
    </row>
    <row r="416" spans="1:40" x14ac:dyDescent="0.35">
      <c r="A416">
        <f t="shared" si="125"/>
        <v>414</v>
      </c>
      <c r="B416">
        <f>IF(G416="Bonds",COUNTIF($G$3:G416,"Bonds"),0)</f>
        <v>0</v>
      </c>
      <c r="C416" t="str">
        <f t="shared" si="112"/>
        <v>Queiroz Galvão4164645110</v>
      </c>
      <c r="D416">
        <f t="shared" si="113"/>
        <v>30</v>
      </c>
      <c r="E416" s="43" t="s">
        <v>503</v>
      </c>
      <c r="F416" s="43" t="s">
        <v>499</v>
      </c>
      <c r="G416" s="43" t="s">
        <v>25</v>
      </c>
      <c r="H416">
        <f t="shared" ref="H416:H486" si="127">IF(G416="Bonds",1,0)</f>
        <v>0</v>
      </c>
      <c r="I416" s="43" t="s">
        <v>504</v>
      </c>
      <c r="J416" s="34">
        <f t="shared" si="115"/>
        <v>3</v>
      </c>
      <c r="K416" s="28">
        <v>41646</v>
      </c>
      <c r="L416" s="28">
        <v>45110</v>
      </c>
      <c r="M416" s="60">
        <f t="shared" ref="M416:M486" si="128">(L416-K416)/365</f>
        <v>9.4904109589041088</v>
      </c>
      <c r="N416" s="4">
        <f t="shared" ref="N416:N486" si="129">IF(M416&gt;5,1,0)</f>
        <v>1</v>
      </c>
      <c r="O416" s="43" t="s">
        <v>27</v>
      </c>
      <c r="P416" t="str">
        <f t="shared" si="109"/>
        <v>1</v>
      </c>
      <c r="Q416" s="44">
        <v>9550</v>
      </c>
      <c r="R416" s="43">
        <v>10000</v>
      </c>
      <c r="S416" s="34" t="str">
        <f>IF($V416="USD",INDEX('Dólar Spot'!$B:$B,MATCH(Base!$K416,'Dólar Spot'!$A:$A,0)),"")</f>
        <v/>
      </c>
      <c r="T416" s="4">
        <f t="shared" si="126"/>
        <v>95500000</v>
      </c>
      <c r="U416" s="8">
        <f t="shared" si="110"/>
        <v>0.95499999999999996</v>
      </c>
      <c r="V416" s="43" t="s">
        <v>41</v>
      </c>
      <c r="W416" s="45">
        <v>110</v>
      </c>
      <c r="X416" s="46" t="s">
        <v>91</v>
      </c>
      <c r="Y416" s="9">
        <f>IF(AND(V416="DI",$W416=100),$X416/100,
IF(AND(V416="DI",$W416&lt;&gt;100,$X416=""),INDEX('Debs %CDI'!$Q:$Q,MATCH(Base!$C416,'Debs %CDI'!$A:$A,0)),
IF($V416="USD",INDEX(Bonds!$AF:$AF,MATCH(Base!$C416,Bonds!$B:$B,0)),
IF($V416="IPCA",INDEX('Debs IPCA'!$Z:$Z,MATCH(Base!$C416,'Debs IPCA'!$A:$A,0))))))</f>
        <v>1.3205942263497262E-2</v>
      </c>
      <c r="Z416" s="43">
        <v>252</v>
      </c>
      <c r="AA416" s="43" t="s">
        <v>30</v>
      </c>
      <c r="AB416" s="43" t="s">
        <v>32</v>
      </c>
      <c r="AC416">
        <f t="shared" ref="AC416:AC486" si="130">IF(AB416="S",1,0)</f>
        <v>0</v>
      </c>
      <c r="AD416" s="43" t="s">
        <v>31</v>
      </c>
      <c r="AE416">
        <f t="shared" ref="AE416:AE486" si="131">IF(OR(AD416="N",AD416="AT MATURITY"),0,1)</f>
        <v>1</v>
      </c>
      <c r="AF416" s="34" t="str" cm="1">
        <f t="array" ref="AF416">INDEX(Ratings!$B$2:$M$40,_xlfn.XMATCH(Base!F416,Ratings!$A$2:$A$40),_xlfn.XMATCH(YEAR(Base!K416),Ratings!$B$1:$M$1))</f>
        <v>NR</v>
      </c>
      <c r="AG416">
        <f t="shared" si="124"/>
        <v>0</v>
      </c>
      <c r="AH416">
        <f>IFERROR(IFERROR(IFERROR(INDEX('EMBI+'!$B:$B,MATCH(Base!$K416,'EMBI+'!$A:$A,0)),INDEX('EMBI+'!$B:$B,MATCH(Base!$K416+1,'EMBI+'!$A:$A,0))),INDEX('EMBI+'!$B:$B,MATCH(Base!$K416+2,'EMBI+'!$A:$A,0))),INDEX('EMBI+'!$B:$B,MATCH(Base!$K416+3,'EMBI+'!$A:$A,0)))/100</f>
        <v>2.4500000000000002</v>
      </c>
      <c r="AL416" s="43"/>
      <c r="AM416" s="28"/>
      <c r="AN416" s="28"/>
    </row>
    <row r="417" spans="1:40" x14ac:dyDescent="0.35">
      <c r="A417">
        <f t="shared" si="125"/>
        <v>415</v>
      </c>
      <c r="B417">
        <f>IF(G417="Bonds",COUNTIF($G$3:G417,"Bonds"),0)</f>
        <v>0</v>
      </c>
      <c r="C417" t="str">
        <f t="shared" si="112"/>
        <v>Queiroz Galvão4178943069</v>
      </c>
      <c r="D417">
        <f t="shared" si="113"/>
        <v>30</v>
      </c>
      <c r="E417" s="43" t="s">
        <v>503</v>
      </c>
      <c r="F417" s="43" t="s">
        <v>499</v>
      </c>
      <c r="G417" s="43" t="s">
        <v>25</v>
      </c>
      <c r="H417">
        <f t="shared" si="127"/>
        <v>0</v>
      </c>
      <c r="I417" s="43" t="s">
        <v>505</v>
      </c>
      <c r="J417" s="34">
        <f t="shared" si="115"/>
        <v>4</v>
      </c>
      <c r="K417" s="28">
        <v>41789</v>
      </c>
      <c r="L417" s="28">
        <v>43069</v>
      </c>
      <c r="M417" s="60">
        <f t="shared" si="128"/>
        <v>3.506849315068493</v>
      </c>
      <c r="N417" s="4">
        <f t="shared" si="129"/>
        <v>0</v>
      </c>
      <c r="O417" s="43" t="s">
        <v>44</v>
      </c>
      <c r="P417" t="str">
        <f t="shared" ref="P417:P487" si="132">IF(OR(O417="Real",O417="Flutuante",O417="SR SECURED"),"1","0")</f>
        <v>0</v>
      </c>
      <c r="Q417" s="44">
        <v>10000</v>
      </c>
      <c r="R417" s="43">
        <v>10000</v>
      </c>
      <c r="S417" s="34" t="str">
        <f>IF($V417="USD",INDEX('Dólar Spot'!$B:$B,MATCH(Base!$K417,'Dólar Spot'!$A:$A,0)),"")</f>
        <v/>
      </c>
      <c r="T417" s="4">
        <f t="shared" si="126"/>
        <v>100000000</v>
      </c>
      <c r="U417" s="8">
        <f t="shared" ref="U417:U487" si="133">IF(V417="USD",T417*S417/100000000,Q417*R417/100000000)</f>
        <v>1</v>
      </c>
      <c r="V417" s="43" t="s">
        <v>41</v>
      </c>
      <c r="W417" s="45">
        <v>114.5</v>
      </c>
      <c r="X417" s="46"/>
      <c r="Y417" s="9">
        <f>IF(AND(V417="DI",$W417=100),$X417/100,
IF(AND(V417="DI",$W417&lt;&gt;100,$X417=""),INDEX('Debs %CDI'!$Q:$Q,MATCH(Base!$C417,'Debs %CDI'!$A:$A,0)),
IF($V417="USD",INDEX(Bonds!$AF:$AF,MATCH(Base!$C417,Bonds!$B:$B,0)),
IF($V417="IPCA",INDEX('Debs IPCA'!$Z:$Z,MATCH(Base!$C417,'Debs IPCA'!$A:$A,0))))))</f>
        <v>1.7105466406881067E-2</v>
      </c>
      <c r="Z417" s="43">
        <v>252</v>
      </c>
      <c r="AA417" s="43" t="s">
        <v>30</v>
      </c>
      <c r="AB417" s="43" t="s">
        <v>32</v>
      </c>
      <c r="AC417">
        <f t="shared" si="130"/>
        <v>0</v>
      </c>
      <c r="AD417" s="43" t="s">
        <v>31</v>
      </c>
      <c r="AE417">
        <f t="shared" si="131"/>
        <v>1</v>
      </c>
      <c r="AF417" s="34" t="str" cm="1">
        <f t="array" ref="AF417">INDEX(Ratings!$B$2:$M$40,_xlfn.XMATCH(Base!F417,Ratings!$A$2:$A$40),_xlfn.XMATCH(YEAR(Base!K417),Ratings!$B$1:$M$1))</f>
        <v>NR</v>
      </c>
      <c r="AG417">
        <f t="shared" si="124"/>
        <v>0</v>
      </c>
      <c r="AH417">
        <f>IFERROR(IFERROR(IFERROR(INDEX('EMBI+'!$B:$B,MATCH(Base!$K417,'EMBI+'!$A:$A,0)),INDEX('EMBI+'!$B:$B,MATCH(Base!$K417+1,'EMBI+'!$A:$A,0))),INDEX('EMBI+'!$B:$B,MATCH(Base!$K417+2,'EMBI+'!$A:$A,0))),INDEX('EMBI+'!$B:$B,MATCH(Base!$K417+3,'EMBI+'!$A:$A,0)))/100</f>
        <v>2.08</v>
      </c>
      <c r="AL417" s="43"/>
      <c r="AM417" s="28"/>
      <c r="AN417" s="28"/>
    </row>
    <row r="418" spans="1:40" x14ac:dyDescent="0.35">
      <c r="A418">
        <f t="shared" si="125"/>
        <v>416</v>
      </c>
      <c r="B418">
        <f>IF(G418="Bonds",COUNTIF($G$3:G418,"Bonds"),0)</f>
        <v>0</v>
      </c>
      <c r="C418" t="str">
        <f t="shared" si="112"/>
        <v>Queiroz Galvão4109545110</v>
      </c>
      <c r="D418">
        <f t="shared" si="113"/>
        <v>30</v>
      </c>
      <c r="E418" s="43" t="s">
        <v>503</v>
      </c>
      <c r="F418" s="43" t="s">
        <v>499</v>
      </c>
      <c r="G418" s="43" t="s">
        <v>25</v>
      </c>
      <c r="H418">
        <f t="shared" si="127"/>
        <v>0</v>
      </c>
      <c r="I418" s="43" t="s">
        <v>506</v>
      </c>
      <c r="J418" s="34">
        <f t="shared" si="115"/>
        <v>5</v>
      </c>
      <c r="K418" s="28">
        <v>41095</v>
      </c>
      <c r="L418" s="28">
        <v>45110</v>
      </c>
      <c r="M418" s="60">
        <f t="shared" si="128"/>
        <v>11</v>
      </c>
      <c r="N418" s="4">
        <f t="shared" si="129"/>
        <v>1</v>
      </c>
      <c r="O418" s="43" t="s">
        <v>27</v>
      </c>
      <c r="P418" t="str">
        <f t="shared" si="132"/>
        <v>1</v>
      </c>
      <c r="Q418" s="44">
        <v>170</v>
      </c>
      <c r="R418" s="43">
        <v>1000000</v>
      </c>
      <c r="S418" s="34" t="str">
        <f>IF($V418="USD",INDEX('Dólar Spot'!$B:$B,MATCH(Base!$K418,'Dólar Spot'!$A:$A,0)),"")</f>
        <v/>
      </c>
      <c r="T418" s="4">
        <f t="shared" si="126"/>
        <v>170000000</v>
      </c>
      <c r="U418" s="8">
        <f t="shared" si="133"/>
        <v>1.7</v>
      </c>
      <c r="V418" s="43" t="s">
        <v>41</v>
      </c>
      <c r="W418" s="45">
        <v>110</v>
      </c>
      <c r="X418" s="46" t="s">
        <v>91</v>
      </c>
      <c r="Y418" s="9">
        <f>IF(AND(V418="DI",$W418=100),$X418/100,
IF(AND(V418="DI",$W418&lt;&gt;100,$X418=""),INDEX('Debs %CDI'!$Q:$Q,MATCH(Base!$C418,'Debs %CDI'!$A:$A,0)),
IF($V418="USD",INDEX(Bonds!$AF:$AF,MATCH(Base!$C418,Bonds!$B:$B,0)),
IF($V418="IPCA",INDEX('Debs IPCA'!$Z:$Z,MATCH(Base!$C418,'Debs IPCA'!$A:$A,0))))))</f>
        <v>1.0180001104728262E-2</v>
      </c>
      <c r="Z418" s="43">
        <v>252</v>
      </c>
      <c r="AA418" s="43" t="s">
        <v>30</v>
      </c>
      <c r="AB418" s="43" t="s">
        <v>32</v>
      </c>
      <c r="AC418">
        <f t="shared" si="130"/>
        <v>0</v>
      </c>
      <c r="AD418" s="43" t="s">
        <v>31</v>
      </c>
      <c r="AE418">
        <f t="shared" si="131"/>
        <v>1</v>
      </c>
      <c r="AF418" s="34" t="str" cm="1">
        <f t="array" ref="AF418">INDEX(Ratings!$B$2:$M$40,_xlfn.XMATCH(Base!F418,Ratings!$A$2:$A$40),_xlfn.XMATCH(YEAR(Base!K418),Ratings!$B$1:$M$1))</f>
        <v>NR</v>
      </c>
      <c r="AG418">
        <f t="shared" si="124"/>
        <v>0</v>
      </c>
      <c r="AH418">
        <f>IFERROR(IFERROR(IFERROR(INDEX('EMBI+'!$B:$B,MATCH(Base!$K418,'EMBI+'!$A:$A,0)),INDEX('EMBI+'!$B:$B,MATCH(Base!$K418+1,'EMBI+'!$A:$A,0))),INDEX('EMBI+'!$B:$B,MATCH(Base!$K418+2,'EMBI+'!$A:$A,0))),INDEX('EMBI+'!$B:$B,MATCH(Base!$K418+3,'EMBI+'!$A:$A,0)))/100</f>
        <v>2.0499999999999998</v>
      </c>
      <c r="AL418" s="43"/>
      <c r="AM418" s="28"/>
      <c r="AN418" s="28"/>
    </row>
    <row r="419" spans="1:40" x14ac:dyDescent="0.35">
      <c r="A419">
        <f t="shared" si="125"/>
        <v>417</v>
      </c>
      <c r="B419">
        <f>IF(G419="Bonds",COUNTIF($G$3:G419,"Bonds"),0)</f>
        <v>0</v>
      </c>
      <c r="C419" t="str">
        <f t="shared" si="112"/>
        <v>Queiroz Galvão4164643472</v>
      </c>
      <c r="D419">
        <f t="shared" si="113"/>
        <v>30</v>
      </c>
      <c r="E419" s="43" t="s">
        <v>503</v>
      </c>
      <c r="F419" s="43" t="s">
        <v>499</v>
      </c>
      <c r="G419" s="43" t="s">
        <v>25</v>
      </c>
      <c r="H419">
        <f t="shared" si="127"/>
        <v>0</v>
      </c>
      <c r="I419" s="43" t="s">
        <v>507</v>
      </c>
      <c r="J419" s="34">
        <f t="shared" si="115"/>
        <v>6</v>
      </c>
      <c r="K419" s="28">
        <v>41646</v>
      </c>
      <c r="L419" s="28">
        <v>43472</v>
      </c>
      <c r="M419" s="60">
        <f t="shared" si="128"/>
        <v>5.0027397260273974</v>
      </c>
      <c r="N419" s="4">
        <f t="shared" si="129"/>
        <v>1</v>
      </c>
      <c r="O419" s="43" t="s">
        <v>27</v>
      </c>
      <c r="P419" t="str">
        <f t="shared" si="132"/>
        <v>1</v>
      </c>
      <c r="Q419" s="44">
        <v>10000</v>
      </c>
      <c r="R419" s="43">
        <v>10000</v>
      </c>
      <c r="S419" s="34" t="str">
        <f>IF($V419="USD",INDEX('Dólar Spot'!$B:$B,MATCH(Base!$K419,'Dólar Spot'!$A:$A,0)),"")</f>
        <v/>
      </c>
      <c r="T419" s="4">
        <f t="shared" si="126"/>
        <v>100000000</v>
      </c>
      <c r="U419" s="8">
        <f t="shared" si="133"/>
        <v>1</v>
      </c>
      <c r="V419" s="43" t="s">
        <v>41</v>
      </c>
      <c r="W419" s="45">
        <v>141</v>
      </c>
      <c r="X419" s="46" t="s">
        <v>91</v>
      </c>
      <c r="Y419" s="9">
        <f>IF(AND(V419="DI",$W419=100),$X419/100,
IF(AND(V419="DI",$W419&lt;&gt;100,$X419=""),INDEX('Debs %CDI'!$Q:$Q,MATCH(Base!$C419,'Debs %CDI'!$A:$A,0)),
IF($V419="USD",INDEX(Bonds!$AF:$AF,MATCH(Base!$C419,Bonds!$B:$B,0)),
IF($V419="IPCA",INDEX('Debs IPCA'!$Z:$Z,MATCH(Base!$C419,'Debs IPCA'!$A:$A,0))))))</f>
        <v>5.243613224615664E-2</v>
      </c>
      <c r="Z419" s="43">
        <v>252</v>
      </c>
      <c r="AA419" s="43" t="s">
        <v>30</v>
      </c>
      <c r="AB419" s="43" t="s">
        <v>32</v>
      </c>
      <c r="AC419">
        <f t="shared" si="130"/>
        <v>0</v>
      </c>
      <c r="AD419" s="43" t="s">
        <v>31</v>
      </c>
      <c r="AE419">
        <f t="shared" si="131"/>
        <v>1</v>
      </c>
      <c r="AF419" s="34" t="str" cm="1">
        <f t="array" ref="AF419">INDEX(Ratings!$B$2:$M$40,_xlfn.XMATCH(Base!F419,Ratings!$A$2:$A$40),_xlfn.XMATCH(YEAR(Base!K419),Ratings!$B$1:$M$1))</f>
        <v>NR</v>
      </c>
      <c r="AG419">
        <f t="shared" si="124"/>
        <v>0</v>
      </c>
      <c r="AH419">
        <f>IFERROR(IFERROR(IFERROR(INDEX('EMBI+'!$B:$B,MATCH(Base!$K419,'EMBI+'!$A:$A,0)),INDEX('EMBI+'!$B:$B,MATCH(Base!$K419+1,'EMBI+'!$A:$A,0))),INDEX('EMBI+'!$B:$B,MATCH(Base!$K419+2,'EMBI+'!$A:$A,0))),INDEX('EMBI+'!$B:$B,MATCH(Base!$K419+3,'EMBI+'!$A:$A,0)))/100</f>
        <v>2.4500000000000002</v>
      </c>
      <c r="AL419" s="43"/>
      <c r="AM419" s="28"/>
      <c r="AN419" s="28"/>
    </row>
    <row r="420" spans="1:40" x14ac:dyDescent="0.35">
      <c r="A420">
        <f t="shared" si="125"/>
        <v>418</v>
      </c>
      <c r="B420">
        <f>IF(G420="Bonds",COUNTIF($G$3:G420,"Bonds"),0)</f>
        <v>0</v>
      </c>
      <c r="C420" t="str">
        <f t="shared" si="112"/>
        <v>Queiroz Galvão4364946572</v>
      </c>
      <c r="D420">
        <f t="shared" si="113"/>
        <v>30</v>
      </c>
      <c r="E420" s="43" t="s">
        <v>508</v>
      </c>
      <c r="F420" s="43" t="s">
        <v>499</v>
      </c>
      <c r="G420" s="43" t="s">
        <v>25</v>
      </c>
      <c r="H420">
        <f t="shared" si="127"/>
        <v>0</v>
      </c>
      <c r="I420" s="43" t="s">
        <v>509</v>
      </c>
      <c r="J420" s="34">
        <f t="shared" si="115"/>
        <v>7</v>
      </c>
      <c r="K420" s="28">
        <v>43649</v>
      </c>
      <c r="L420" s="28">
        <v>46572</v>
      </c>
      <c r="M420" s="60">
        <f t="shared" si="128"/>
        <v>8.0082191780821912</v>
      </c>
      <c r="N420" s="4">
        <f t="shared" si="129"/>
        <v>1</v>
      </c>
      <c r="O420" s="43" t="s">
        <v>44</v>
      </c>
      <c r="P420" t="str">
        <f t="shared" si="132"/>
        <v>0</v>
      </c>
      <c r="Q420" s="44">
        <v>1600000000</v>
      </c>
      <c r="R420" s="43">
        <v>1</v>
      </c>
      <c r="S420" s="34" t="str">
        <f>IF($V420="USD",INDEX('Dólar Spot'!$B:$B,MATCH(Base!$K420,'Dólar Spot'!$A:$A,0)),"")</f>
        <v/>
      </c>
      <c r="T420" s="4">
        <f t="shared" si="126"/>
        <v>1600000000</v>
      </c>
      <c r="U420" s="8">
        <f t="shared" si="133"/>
        <v>16</v>
      </c>
      <c r="V420" s="43" t="s">
        <v>41</v>
      </c>
      <c r="W420" s="45">
        <v>130</v>
      </c>
      <c r="X420" s="46"/>
      <c r="Y420" s="9">
        <f>IF(AND(V420="DI",$W420=100),$X420/100,
IF(AND(V420="DI",$W420&lt;&gt;100,$X420=""),INDEX('Debs %CDI'!$Q:$Q,MATCH(Base!$C420,'Debs %CDI'!$A:$A,0)),
IF($V420="USD",INDEX(Bonds!$AF:$AF,MATCH(Base!$C420,Bonds!$B:$B,0)),
IF($V420="IPCA",INDEX('Debs IPCA'!$Z:$Z,MATCH(Base!$C420,'Debs IPCA'!$A:$A,0))))))</f>
        <v>2.2142673285790431E-2</v>
      </c>
      <c r="Z420" s="43">
        <v>252</v>
      </c>
      <c r="AA420" s="43" t="s">
        <v>30</v>
      </c>
      <c r="AB420" s="43" t="s">
        <v>32</v>
      </c>
      <c r="AC420">
        <f t="shared" si="130"/>
        <v>0</v>
      </c>
      <c r="AD420" s="43" t="s">
        <v>31</v>
      </c>
      <c r="AE420">
        <f t="shared" si="131"/>
        <v>1</v>
      </c>
      <c r="AF420" s="34" t="str" cm="1">
        <f t="array" ref="AF420">INDEX(Ratings!$B$2:$M$40,_xlfn.XMATCH(Base!F420,Ratings!$A$2:$A$40),_xlfn.XMATCH(YEAR(Base!K420),Ratings!$B$1:$M$1))</f>
        <v>NR</v>
      </c>
      <c r="AG420">
        <f t="shared" si="124"/>
        <v>0</v>
      </c>
      <c r="AH420">
        <f>IFERROR(IFERROR(IFERROR(INDEX('EMBI+'!$B:$B,MATCH(Base!$K420,'EMBI+'!$A:$A,0)),INDEX('EMBI+'!$B:$B,MATCH(Base!$K420+1,'EMBI+'!$A:$A,0))),INDEX('EMBI+'!$B:$B,MATCH(Base!$K420+2,'EMBI+'!$A:$A,0))),INDEX('EMBI+'!$B:$B,MATCH(Base!$K420+3,'EMBI+'!$A:$A,0)))/100</f>
        <v>2.38</v>
      </c>
      <c r="AL420" s="43"/>
      <c r="AM420" s="28"/>
      <c r="AN420" s="28"/>
    </row>
    <row r="421" spans="1:40" x14ac:dyDescent="0.35">
      <c r="A421">
        <f t="shared" si="125"/>
        <v>419</v>
      </c>
      <c r="B421">
        <f>IF(G421="Bonds",COUNTIF($G$3:G421,"Bonds"),0)</f>
        <v>0</v>
      </c>
      <c r="C421" t="str">
        <f t="shared" si="112"/>
        <v>Queiroz Galvão4364946572</v>
      </c>
      <c r="D421">
        <f t="shared" si="113"/>
        <v>30</v>
      </c>
      <c r="E421" s="43" t="s">
        <v>508</v>
      </c>
      <c r="F421" s="43" t="s">
        <v>499</v>
      </c>
      <c r="G421" s="43" t="s">
        <v>25</v>
      </c>
      <c r="H421">
        <f t="shared" si="127"/>
        <v>0</v>
      </c>
      <c r="I421" s="43" t="s">
        <v>510</v>
      </c>
      <c r="J421" s="34">
        <f t="shared" si="115"/>
        <v>8</v>
      </c>
      <c r="K421" s="28">
        <v>43649</v>
      </c>
      <c r="L421" s="28">
        <v>46572</v>
      </c>
      <c r="M421" s="60">
        <f t="shared" si="128"/>
        <v>8.0082191780821912</v>
      </c>
      <c r="N421" s="4">
        <f t="shared" si="129"/>
        <v>1</v>
      </c>
      <c r="O421" s="43" t="s">
        <v>44</v>
      </c>
      <c r="P421" t="str">
        <f t="shared" si="132"/>
        <v>0</v>
      </c>
      <c r="Q421" s="44">
        <v>450000000</v>
      </c>
      <c r="R421" s="43">
        <v>1</v>
      </c>
      <c r="S421" s="34" t="str">
        <f>IF($V421="USD",INDEX('Dólar Spot'!$B:$B,MATCH(Base!$K421,'Dólar Spot'!$A:$A,0)),"")</f>
        <v/>
      </c>
      <c r="T421" s="4">
        <f t="shared" si="126"/>
        <v>450000000</v>
      </c>
      <c r="U421" s="8">
        <f t="shared" si="133"/>
        <v>4.5</v>
      </c>
      <c r="V421" s="43" t="s">
        <v>41</v>
      </c>
      <c r="W421" s="45">
        <v>130</v>
      </c>
      <c r="X421" s="46"/>
      <c r="Y421" s="9">
        <f>IF(AND(V421="DI",$W421=100),$X421/100,
IF(AND(V421="DI",$W421&lt;&gt;100,$X421=""),INDEX('Debs %CDI'!$Q:$Q,MATCH(Base!$C421,'Debs %CDI'!$A:$A,0)),
IF($V421="USD",INDEX(Bonds!$AF:$AF,MATCH(Base!$C421,Bonds!$B:$B,0)),
IF($V421="IPCA",INDEX('Debs IPCA'!$Z:$Z,MATCH(Base!$C421,'Debs IPCA'!$A:$A,0))))))</f>
        <v>2.2142673285790431E-2</v>
      </c>
      <c r="Z421" s="43">
        <v>252</v>
      </c>
      <c r="AA421" s="43" t="s">
        <v>30</v>
      </c>
      <c r="AB421" s="43" t="s">
        <v>32</v>
      </c>
      <c r="AC421">
        <f t="shared" si="130"/>
        <v>0</v>
      </c>
      <c r="AD421" s="43" t="s">
        <v>31</v>
      </c>
      <c r="AE421">
        <f t="shared" si="131"/>
        <v>1</v>
      </c>
      <c r="AF421" s="34" t="str" cm="1">
        <f t="array" ref="AF421">INDEX(Ratings!$B$2:$M$40,_xlfn.XMATCH(Base!F421,Ratings!$A$2:$A$40),_xlfn.XMATCH(YEAR(Base!K421),Ratings!$B$1:$M$1))</f>
        <v>NR</v>
      </c>
      <c r="AG421">
        <f t="shared" si="124"/>
        <v>0</v>
      </c>
      <c r="AH421">
        <f>IFERROR(IFERROR(IFERROR(INDEX('EMBI+'!$B:$B,MATCH(Base!$K421,'EMBI+'!$A:$A,0)),INDEX('EMBI+'!$B:$B,MATCH(Base!$K421+1,'EMBI+'!$A:$A,0))),INDEX('EMBI+'!$B:$B,MATCH(Base!$K421+2,'EMBI+'!$A:$A,0))),INDEX('EMBI+'!$B:$B,MATCH(Base!$K421+3,'EMBI+'!$A:$A,0)))/100</f>
        <v>2.38</v>
      </c>
      <c r="AL421" s="43"/>
      <c r="AM421" s="28"/>
      <c r="AN421" s="28"/>
    </row>
    <row r="422" spans="1:40" x14ac:dyDescent="0.35">
      <c r="A422">
        <f t="shared" si="125"/>
        <v>420</v>
      </c>
      <c r="B422">
        <f>IF(G422="Bonds",COUNTIF($G$3:G422,"Bonds"),0)</f>
        <v>0</v>
      </c>
      <c r="C422" t="str">
        <f t="shared" si="112"/>
        <v>Queiroz Galvão4324543335</v>
      </c>
      <c r="D422">
        <f t="shared" si="113"/>
        <v>30</v>
      </c>
      <c r="E422" s="43" t="s">
        <v>508</v>
      </c>
      <c r="F422" s="43" t="s">
        <v>499</v>
      </c>
      <c r="G422" s="43" t="s">
        <v>25</v>
      </c>
      <c r="H422">
        <f t="shared" si="127"/>
        <v>0</v>
      </c>
      <c r="I422" s="43" t="s">
        <v>511</v>
      </c>
      <c r="J422" s="34">
        <f t="shared" si="115"/>
        <v>9</v>
      </c>
      <c r="K422" s="28">
        <v>43245</v>
      </c>
      <c r="L422" s="28">
        <v>43335</v>
      </c>
      <c r="M422" s="60">
        <f t="shared" si="128"/>
        <v>0.24657534246575341</v>
      </c>
      <c r="N422" s="4">
        <f t="shared" si="129"/>
        <v>0</v>
      </c>
      <c r="O422" s="43" t="s">
        <v>44</v>
      </c>
      <c r="P422" t="str">
        <f t="shared" si="132"/>
        <v>0</v>
      </c>
      <c r="Q422" s="44">
        <v>11000</v>
      </c>
      <c r="R422" s="43">
        <v>7724.4218570000003</v>
      </c>
      <c r="S422" s="34" t="str">
        <f>IF($V422="USD",INDEX('Dólar Spot'!$B:$B,MATCH(Base!$K422,'Dólar Spot'!$A:$A,0)),"")</f>
        <v/>
      </c>
      <c r="T422" s="4">
        <f t="shared" si="126"/>
        <v>84968640.427000001</v>
      </c>
      <c r="U422" s="8">
        <f t="shared" si="133"/>
        <v>0.84968640426999997</v>
      </c>
      <c r="V422" s="43" t="s">
        <v>41</v>
      </c>
      <c r="W422" s="45">
        <v>100</v>
      </c>
      <c r="X422" s="46">
        <v>2</v>
      </c>
      <c r="Y422" s="9">
        <f>IF(AND(V422="DI",$W422=100),$X422/100,
IF(AND(V422="DI",$W422&lt;&gt;100,$X422=""),INDEX('Debs %CDI'!$Q:$Q,MATCH(Base!$C422,'Debs %CDI'!$A:$A,0)),
IF($V422="USD",INDEX(Bonds!$AF:$AF,MATCH(Base!$C422,Bonds!$B:$B,0)),
IF($V422="IPCA",INDEX('Debs IPCA'!$Z:$Z,MATCH(Base!$C422,'Debs IPCA'!$A:$A,0))))))</f>
        <v>0.02</v>
      </c>
      <c r="Z422" s="43">
        <v>252</v>
      </c>
      <c r="AA422" s="43" t="s">
        <v>30</v>
      </c>
      <c r="AB422" s="43" t="s">
        <v>32</v>
      </c>
      <c r="AC422">
        <f t="shared" si="130"/>
        <v>0</v>
      </c>
      <c r="AD422" s="43" t="s">
        <v>31</v>
      </c>
      <c r="AE422">
        <f t="shared" si="131"/>
        <v>1</v>
      </c>
      <c r="AF422" s="34" t="str" cm="1">
        <f t="array" ref="AF422">INDEX(Ratings!$B$2:$M$40,_xlfn.XMATCH(Base!F422,Ratings!$A$2:$A$40),_xlfn.XMATCH(YEAR(Base!K422),Ratings!$B$1:$M$1))</f>
        <v>NR</v>
      </c>
      <c r="AG422">
        <f t="shared" si="124"/>
        <v>0</v>
      </c>
      <c r="AH422">
        <f>IFERROR(IFERROR(IFERROR(INDEX('EMBI+'!$B:$B,MATCH(Base!$K422,'EMBI+'!$A:$A,0)),INDEX('EMBI+'!$B:$B,MATCH(Base!$K422+1,'EMBI+'!$A:$A,0))),INDEX('EMBI+'!$B:$B,MATCH(Base!$K422+2,'EMBI+'!$A:$A,0))),INDEX('EMBI+'!$B:$B,MATCH(Base!$K422+3,'EMBI+'!$A:$A,0)))/100</f>
        <v>2.71</v>
      </c>
      <c r="AL422" s="43"/>
      <c r="AM422" s="28"/>
      <c r="AN422" s="28"/>
    </row>
    <row r="423" spans="1:40" x14ac:dyDescent="0.35">
      <c r="A423">
        <f t="shared" si="125"/>
        <v>421</v>
      </c>
      <c r="B423">
        <f>IF(G423="Bonds",COUNTIF($G$3:G423,"Bonds"),0)</f>
        <v>0</v>
      </c>
      <c r="C423" t="str">
        <f t="shared" si="112"/>
        <v>Queiroz Galvão4364946572</v>
      </c>
      <c r="D423">
        <f t="shared" si="113"/>
        <v>30</v>
      </c>
      <c r="E423" s="43" t="s">
        <v>508</v>
      </c>
      <c r="F423" s="43" t="s">
        <v>499</v>
      </c>
      <c r="G423" s="43" t="s">
        <v>25</v>
      </c>
      <c r="H423">
        <f t="shared" si="127"/>
        <v>0</v>
      </c>
      <c r="I423" s="43" t="s">
        <v>512</v>
      </c>
      <c r="J423" s="34">
        <f t="shared" si="115"/>
        <v>10</v>
      </c>
      <c r="K423" s="28">
        <v>43649</v>
      </c>
      <c r="L423" s="28">
        <v>46572</v>
      </c>
      <c r="M423" s="60">
        <f t="shared" si="128"/>
        <v>8.0082191780821912</v>
      </c>
      <c r="N423" s="4">
        <f t="shared" si="129"/>
        <v>1</v>
      </c>
      <c r="O423" s="43" t="s">
        <v>44</v>
      </c>
      <c r="P423" t="str">
        <f t="shared" si="132"/>
        <v>0</v>
      </c>
      <c r="Q423" s="44">
        <v>50000000</v>
      </c>
      <c r="R423" s="43">
        <v>1</v>
      </c>
      <c r="S423" s="34" t="str">
        <f>IF($V423="USD",INDEX('Dólar Spot'!$B:$B,MATCH(Base!$K423,'Dólar Spot'!$A:$A,0)),"")</f>
        <v/>
      </c>
      <c r="T423" s="4">
        <f t="shared" si="126"/>
        <v>50000000</v>
      </c>
      <c r="U423" s="8">
        <f t="shared" si="133"/>
        <v>0.5</v>
      </c>
      <c r="V423" s="43" t="s">
        <v>41</v>
      </c>
      <c r="W423" s="45">
        <v>130</v>
      </c>
      <c r="X423" s="46"/>
      <c r="Y423" s="9">
        <f>IF(AND(V423="DI",$W423=100),$X423/100,
IF(AND(V423="DI",$W423&lt;&gt;100,$X423=""),INDEX('Debs %CDI'!$Q:$Q,MATCH(Base!$C423,'Debs %CDI'!$A:$A,0)),
IF($V423="USD",INDEX(Bonds!$AF:$AF,MATCH(Base!$C423,Bonds!$B:$B,0)),
IF($V423="IPCA",INDEX('Debs IPCA'!$Z:$Z,MATCH(Base!$C423,'Debs IPCA'!$A:$A,0))))))</f>
        <v>2.2142673285790431E-2</v>
      </c>
      <c r="Z423" s="43">
        <v>252</v>
      </c>
      <c r="AA423" s="43" t="s">
        <v>30</v>
      </c>
      <c r="AB423" s="43" t="s">
        <v>32</v>
      </c>
      <c r="AC423">
        <f t="shared" si="130"/>
        <v>0</v>
      </c>
      <c r="AD423" s="43" t="s">
        <v>31</v>
      </c>
      <c r="AE423">
        <f t="shared" si="131"/>
        <v>1</v>
      </c>
      <c r="AF423" s="34" t="str" cm="1">
        <f t="array" ref="AF423">INDEX(Ratings!$B$2:$M$40,_xlfn.XMATCH(Base!F423,Ratings!$A$2:$A$40),_xlfn.XMATCH(YEAR(Base!K423),Ratings!$B$1:$M$1))</f>
        <v>NR</v>
      </c>
      <c r="AG423">
        <f t="shared" si="124"/>
        <v>0</v>
      </c>
      <c r="AH423">
        <f>IFERROR(IFERROR(IFERROR(INDEX('EMBI+'!$B:$B,MATCH(Base!$K423,'EMBI+'!$A:$A,0)),INDEX('EMBI+'!$B:$B,MATCH(Base!$K423+1,'EMBI+'!$A:$A,0))),INDEX('EMBI+'!$B:$B,MATCH(Base!$K423+2,'EMBI+'!$A:$A,0))),INDEX('EMBI+'!$B:$B,MATCH(Base!$K423+3,'EMBI+'!$A:$A,0)))/100</f>
        <v>2.38</v>
      </c>
      <c r="AL423" s="43"/>
      <c r="AM423" s="28"/>
      <c r="AN423" s="28"/>
    </row>
    <row r="424" spans="1:40" x14ac:dyDescent="0.35">
      <c r="A424">
        <f t="shared" si="125"/>
        <v>422</v>
      </c>
      <c r="B424">
        <f>IF(G424="Bonds",COUNTIF($G$3:G424,"Bonds"),0)</f>
        <v>128</v>
      </c>
      <c r="C424" t="str">
        <f t="shared" si="112"/>
        <v>Queiroz Galvão4075130/07/2018</v>
      </c>
      <c r="D424">
        <f t="shared" si="113"/>
        <v>30</v>
      </c>
      <c r="E424" s="43" t="s">
        <v>513</v>
      </c>
      <c r="F424" s="43" t="s">
        <v>499</v>
      </c>
      <c r="G424" s="43" t="s">
        <v>34</v>
      </c>
      <c r="H424">
        <f t="shared" si="127"/>
        <v>1</v>
      </c>
      <c r="I424" s="43"/>
      <c r="J424" s="34">
        <f t="shared" si="115"/>
        <v>11</v>
      </c>
      <c r="K424" s="28">
        <v>40751</v>
      </c>
      <c r="L424" s="28" t="s">
        <v>514</v>
      </c>
      <c r="M424" s="60">
        <f t="shared" si="128"/>
        <v>7.0136986301369859</v>
      </c>
      <c r="N424" s="4">
        <f t="shared" si="129"/>
        <v>1</v>
      </c>
      <c r="O424" s="43" t="s">
        <v>94</v>
      </c>
      <c r="P424" t="str">
        <f t="shared" si="132"/>
        <v>1</v>
      </c>
      <c r="Q424" s="43"/>
      <c r="R424" s="43"/>
      <c r="S424" s="34">
        <f>IF($V424="USD",INDEX('Dólar Spot'!$B:$B,MATCH(Base!$K424,'Dólar Spot'!$A:$A,0)),"")</f>
        <v>1.5630999999999999</v>
      </c>
      <c r="T424" s="44">
        <v>700000000</v>
      </c>
      <c r="U424" s="8">
        <f t="shared" si="133"/>
        <v>10.941700000000001</v>
      </c>
      <c r="V424" s="43" t="s">
        <v>651</v>
      </c>
      <c r="W424" s="45" t="s">
        <v>29</v>
      </c>
      <c r="X424" s="53">
        <v>5.25</v>
      </c>
      <c r="Y424" s="9">
        <f>IF(AND(V424="DI",$W424=100),$X424/100,
IF(AND(V424="DI",$W424&lt;&gt;100,$X424=""),INDEX('Debs %CDI'!$Q:$Q,MATCH(Base!$C424,'Debs %CDI'!$A:$A,0)),
IF($V424="USD",INDEX(Bonds!$AF:$AF,MATCH(Base!$C424,Bonds!$B:$B,0)),
IF($V424="IPCA",INDEX('Debs IPCA'!$Z:$Z,MATCH(Base!$C424,'Debs IPCA'!$A:$A,0))))))</f>
        <v>9.0513681464847728E-3</v>
      </c>
      <c r="Z424" s="43">
        <v>360</v>
      </c>
      <c r="AA424" s="43" t="s">
        <v>37</v>
      </c>
      <c r="AB424" s="43" t="s">
        <v>32</v>
      </c>
      <c r="AC424">
        <f t="shared" si="130"/>
        <v>0</v>
      </c>
      <c r="AD424" s="43" t="s">
        <v>31</v>
      </c>
      <c r="AE424">
        <f t="shared" si="131"/>
        <v>1</v>
      </c>
      <c r="AF424" s="34" t="str" cm="1">
        <f t="array" ref="AF424">INDEX(Ratings!$B$2:$M$40,_xlfn.XMATCH(Base!F424,Ratings!$A$2:$A$40),_xlfn.XMATCH(YEAR(Base!K424),Ratings!$B$1:$M$1))</f>
        <v>NR</v>
      </c>
      <c r="AG424">
        <f t="shared" si="124"/>
        <v>0</v>
      </c>
      <c r="AH424">
        <f>IFERROR(IFERROR(IFERROR(INDEX('EMBI+'!$B:$B,MATCH(Base!$K424,'EMBI+'!$A:$A,0)),INDEX('EMBI+'!$B:$B,MATCH(Base!$K424+1,'EMBI+'!$A:$A,0))),INDEX('EMBI+'!$B:$B,MATCH(Base!$K424+2,'EMBI+'!$A:$A,0))),INDEX('EMBI+'!$B:$B,MATCH(Base!$K424+3,'EMBI+'!$A:$A,0)))/100</f>
        <v>1.56</v>
      </c>
      <c r="AL424" s="43"/>
      <c r="AM424" s="28"/>
      <c r="AN424" s="28"/>
    </row>
    <row r="425" spans="1:40" x14ac:dyDescent="0.35">
      <c r="A425">
        <f t="shared" si="125"/>
        <v>423</v>
      </c>
      <c r="B425">
        <f>IF(G425="Bonds",COUNTIF($G$3:G425,"Bonds"),0)</f>
        <v>0</v>
      </c>
      <c r="C425" t="str">
        <f t="shared" si="112"/>
        <v>Raizen4156243388</v>
      </c>
      <c r="D425">
        <f t="shared" si="113"/>
        <v>31</v>
      </c>
      <c r="E425" s="43" t="s">
        <v>515</v>
      </c>
      <c r="F425" s="43" t="s">
        <v>516</v>
      </c>
      <c r="G425" s="43" t="s">
        <v>25</v>
      </c>
      <c r="H425">
        <f t="shared" si="127"/>
        <v>0</v>
      </c>
      <c r="I425" s="43" t="s">
        <v>517</v>
      </c>
      <c r="J425" s="34">
        <f t="shared" si="115"/>
        <v>1</v>
      </c>
      <c r="K425" s="28">
        <v>41562</v>
      </c>
      <c r="L425" s="28">
        <v>43388</v>
      </c>
      <c r="M425" s="60">
        <f t="shared" si="128"/>
        <v>5.0027397260273974</v>
      </c>
      <c r="N425" s="4">
        <f t="shared" si="129"/>
        <v>1</v>
      </c>
      <c r="O425" s="43" t="s">
        <v>44</v>
      </c>
      <c r="P425" t="str">
        <f t="shared" si="132"/>
        <v>0</v>
      </c>
      <c r="Q425" s="44">
        <v>105975</v>
      </c>
      <c r="R425" s="43">
        <v>1000</v>
      </c>
      <c r="S425" s="34" t="str">
        <f>IF($V425="USD",INDEX('Dólar Spot'!$B:$B,MATCH(Base!$K425,'Dólar Spot'!$A:$A,0)),"")</f>
        <v/>
      </c>
      <c r="T425" s="4">
        <f>Q425*R425</f>
        <v>105975000</v>
      </c>
      <c r="U425" s="8">
        <f t="shared" si="133"/>
        <v>1.05975</v>
      </c>
      <c r="V425" s="43" t="s">
        <v>41</v>
      </c>
      <c r="W425" s="45">
        <v>100</v>
      </c>
      <c r="X425" s="46">
        <v>0.89</v>
      </c>
      <c r="Y425" s="9">
        <f>IF(AND(V425="DI",$W425=100),$X425/100,
IF(AND(V425="DI",$W425&lt;&gt;100,$X425=""),INDEX('Debs %CDI'!$Q:$Q,MATCH(Base!$C425,'Debs %CDI'!$A:$A,0)),
IF($V425="USD",INDEX(Bonds!$AF:$AF,MATCH(Base!$C425,Bonds!$B:$B,0)),
IF($V425="IPCA",INDEX('Debs IPCA'!$Z:$Z,MATCH(Base!$C425,'Debs IPCA'!$A:$A,0))))))</f>
        <v>8.8999999999999999E-3</v>
      </c>
      <c r="Z425" s="43">
        <v>252</v>
      </c>
      <c r="AA425" s="43" t="s">
        <v>30</v>
      </c>
      <c r="AB425" s="43" t="s">
        <v>32</v>
      </c>
      <c r="AC425">
        <f t="shared" si="130"/>
        <v>0</v>
      </c>
      <c r="AD425" s="43" t="s">
        <v>31</v>
      </c>
      <c r="AE425">
        <f t="shared" si="131"/>
        <v>1</v>
      </c>
      <c r="AF425" s="34" t="str" cm="1">
        <f t="array" ref="AF425">INDEX(Ratings!$B$2:$M$40,_xlfn.XMATCH(Base!F425,Ratings!$A$2:$A$40),_xlfn.XMATCH(YEAR(Base!K425),Ratings!$B$1:$M$1))</f>
        <v>BBB</v>
      </c>
      <c r="AG425">
        <f t="shared" si="124"/>
        <v>1</v>
      </c>
      <c r="AH425">
        <f>IFERROR(IFERROR(IFERROR(INDEX('EMBI+'!$B:$B,MATCH(Base!$K425,'EMBI+'!$A:$A,0)),INDEX('EMBI+'!$B:$B,MATCH(Base!$K425+1,'EMBI+'!$A:$A,0))),INDEX('EMBI+'!$B:$B,MATCH(Base!$K425+2,'EMBI+'!$A:$A,0))),INDEX('EMBI+'!$B:$B,MATCH(Base!$K425+3,'EMBI+'!$A:$A,0)))/100</f>
        <v>2.0699999999999998</v>
      </c>
      <c r="AL425" s="43"/>
      <c r="AM425" s="28"/>
      <c r="AN425" s="28"/>
    </row>
    <row r="426" spans="1:40" x14ac:dyDescent="0.35">
      <c r="A426">
        <f t="shared" si="125"/>
        <v>424</v>
      </c>
      <c r="B426">
        <f>IF(G426="Bonds",COUNTIF($G$3:G426,"Bonds"),0)</f>
        <v>0</v>
      </c>
      <c r="C426" t="str">
        <f t="shared" si="112"/>
        <v>Raizen4378447437</v>
      </c>
      <c r="D426">
        <f t="shared" si="113"/>
        <v>31</v>
      </c>
      <c r="E426" s="43" t="s">
        <v>515</v>
      </c>
      <c r="F426" s="43" t="s">
        <v>516</v>
      </c>
      <c r="G426" s="43" t="s">
        <v>25</v>
      </c>
      <c r="H426">
        <f t="shared" si="127"/>
        <v>0</v>
      </c>
      <c r="I426" s="43" t="s">
        <v>518</v>
      </c>
      <c r="J426" s="34">
        <f t="shared" si="115"/>
        <v>2</v>
      </c>
      <c r="K426" s="28">
        <v>43784</v>
      </c>
      <c r="L426" s="28">
        <v>47437</v>
      </c>
      <c r="M426" s="60">
        <f t="shared" si="128"/>
        <v>10.008219178082191</v>
      </c>
      <c r="N426" s="4">
        <f t="shared" si="129"/>
        <v>1</v>
      </c>
      <c r="O426" s="43" t="s">
        <v>44</v>
      </c>
      <c r="P426" t="str">
        <f t="shared" si="132"/>
        <v>0</v>
      </c>
      <c r="Q426" s="44">
        <v>900000</v>
      </c>
      <c r="R426" s="43">
        <v>1000</v>
      </c>
      <c r="S426" s="34" t="str">
        <f>IF($V426="USD",INDEX('Dólar Spot'!$B:$B,MATCH(Base!$K426,'Dólar Spot'!$A:$A,0)),"")</f>
        <v/>
      </c>
      <c r="T426" s="4">
        <f>Q426*R426</f>
        <v>900000000</v>
      </c>
      <c r="U426" s="8">
        <f t="shared" si="133"/>
        <v>9</v>
      </c>
      <c r="V426" s="43" t="s">
        <v>28</v>
      </c>
      <c r="W426" s="45" t="s">
        <v>29</v>
      </c>
      <c r="X426" s="46">
        <v>3.5390000000000001</v>
      </c>
      <c r="Y426" s="9">
        <f>IF(AND(V426="DI",$W426=100),$X426/100,
IF(AND(V426="DI",$W426&lt;&gt;100,$X426=""),INDEX('Debs %CDI'!$Q:$Q,MATCH(Base!$C426,'Debs %CDI'!$A:$A,0)),
IF($V426="USD",INDEX(Bonds!$AF:$AF,MATCH(Base!$C426,Bonds!$B:$B,0)),
IF($V426="IPCA",INDEX('Debs IPCA'!$Z:$Z,MATCH(Base!$C426,'Debs IPCA'!$A:$A,0))))))</f>
        <v>3.5893393102754967E-3</v>
      </c>
      <c r="Z426" s="43">
        <v>252</v>
      </c>
      <c r="AA426" s="43" t="s">
        <v>30</v>
      </c>
      <c r="AB426" s="43" t="s">
        <v>31</v>
      </c>
      <c r="AC426">
        <f t="shared" si="130"/>
        <v>1</v>
      </c>
      <c r="AD426" s="43" t="s">
        <v>32</v>
      </c>
      <c r="AE426">
        <f t="shared" si="131"/>
        <v>0</v>
      </c>
      <c r="AF426" s="34" t="str" cm="1">
        <f t="array" ref="AF426">INDEX(Ratings!$B$2:$M$40,_xlfn.XMATCH(Base!F426,Ratings!$A$2:$A$40),_xlfn.XMATCH(YEAR(Base!K426),Ratings!$B$1:$M$1))</f>
        <v>BBB</v>
      </c>
      <c r="AG426">
        <f t="shared" si="124"/>
        <v>1</v>
      </c>
      <c r="AH426">
        <f>IFERROR(IFERROR(IFERROR(INDEX('EMBI+'!$B:$B,MATCH(Base!$K426,'EMBI+'!$A:$A,0)),INDEX('EMBI+'!$B:$B,MATCH(Base!$K426+1,'EMBI+'!$A:$A,0))),INDEX('EMBI+'!$B:$B,MATCH(Base!$K426+2,'EMBI+'!$A:$A,0))),INDEX('EMBI+'!$B:$B,MATCH(Base!$K426+3,'EMBI+'!$A:$A,0)))/100</f>
        <v>2.38</v>
      </c>
      <c r="AL426" s="43"/>
      <c r="AM426" s="28"/>
      <c r="AN426" s="28"/>
    </row>
    <row r="427" spans="1:40" x14ac:dyDescent="0.35">
      <c r="A427">
        <f t="shared" si="125"/>
        <v>425</v>
      </c>
      <c r="B427">
        <f>IF(G427="Bonds",COUNTIF($G$3:G427,"Bonds"),0)</f>
        <v>0</v>
      </c>
      <c r="C427" t="str">
        <f t="shared" si="112"/>
        <v>Raizen4399747649</v>
      </c>
      <c r="D427">
        <f t="shared" si="113"/>
        <v>31</v>
      </c>
      <c r="E427" s="43" t="s">
        <v>515</v>
      </c>
      <c r="F427" s="43" t="s">
        <v>516</v>
      </c>
      <c r="G427" s="43" t="s">
        <v>25</v>
      </c>
      <c r="H427">
        <f t="shared" si="127"/>
        <v>0</v>
      </c>
      <c r="I427" s="43" t="s">
        <v>519</v>
      </c>
      <c r="J427" s="34">
        <f t="shared" si="115"/>
        <v>3</v>
      </c>
      <c r="K427" s="28">
        <v>43997</v>
      </c>
      <c r="L427" s="28">
        <v>47649</v>
      </c>
      <c r="M427" s="60">
        <f t="shared" si="128"/>
        <v>10.005479452054795</v>
      </c>
      <c r="N427" s="4">
        <f t="shared" si="129"/>
        <v>1</v>
      </c>
      <c r="O427" s="43" t="s">
        <v>44</v>
      </c>
      <c r="P427" t="str">
        <f t="shared" si="132"/>
        <v>0</v>
      </c>
      <c r="Q427" s="44">
        <v>169518</v>
      </c>
      <c r="R427" s="43">
        <v>1000</v>
      </c>
      <c r="S427" s="34" t="str">
        <f>IF($V427="USD",INDEX('Dólar Spot'!$B:$B,MATCH(Base!$K427,'Dólar Spot'!$A:$A,0)),"")</f>
        <v/>
      </c>
      <c r="T427" s="4">
        <f>Q427*R427</f>
        <v>169518000</v>
      </c>
      <c r="U427" s="8">
        <f t="shared" si="133"/>
        <v>1.6951799999999999</v>
      </c>
      <c r="V427" s="43" t="s">
        <v>28</v>
      </c>
      <c r="W427" s="45" t="s">
        <v>29</v>
      </c>
      <c r="X427" s="46">
        <v>5.8</v>
      </c>
      <c r="Y427" s="9">
        <f>IF(AND(V427="DI",$W427=100),$X427/100,
IF(AND(V427="DI",$W427&lt;&gt;100,$X427=""),INDEX('Debs %CDI'!$Q:$Q,MATCH(Base!$C427,'Debs %CDI'!$A:$A,0)),
IF($V427="USD",INDEX(Bonds!$AF:$AF,MATCH(Base!$C427,Bonds!$B:$B,0)),
IF($V427="IPCA",INDEX('Debs IPCA'!$Z:$Z,MATCH(Base!$C427,'Debs IPCA'!$A:$A,0))))))</f>
        <v>2.1297387243117472E-2</v>
      </c>
      <c r="Z427" s="43">
        <v>252</v>
      </c>
      <c r="AA427" s="43" t="s">
        <v>30</v>
      </c>
      <c r="AB427" s="43" t="s">
        <v>31</v>
      </c>
      <c r="AC427">
        <f t="shared" si="130"/>
        <v>1</v>
      </c>
      <c r="AD427" s="43" t="s">
        <v>32</v>
      </c>
      <c r="AE427">
        <f t="shared" si="131"/>
        <v>0</v>
      </c>
      <c r="AF427" s="34" t="str" cm="1">
        <f t="array" ref="AF427">INDEX(Ratings!$B$2:$M$40,_xlfn.XMATCH(Base!F427,Ratings!$A$2:$A$40),_xlfn.XMATCH(YEAR(Base!K427),Ratings!$B$1:$M$1))</f>
        <v>BBB</v>
      </c>
      <c r="AG427">
        <f t="shared" si="124"/>
        <v>1</v>
      </c>
      <c r="AH427">
        <f>IFERROR(IFERROR(IFERROR(INDEX('EMBI+'!$B:$B,MATCH(Base!$K427,'EMBI+'!$A:$A,0)),INDEX('EMBI+'!$B:$B,MATCH(Base!$K427+1,'EMBI+'!$A:$A,0))),INDEX('EMBI+'!$B:$B,MATCH(Base!$K427+2,'EMBI+'!$A:$A,0))),INDEX('EMBI+'!$B:$B,MATCH(Base!$K427+3,'EMBI+'!$A:$A,0)))/100</f>
        <v>3.87</v>
      </c>
      <c r="AL427" s="43"/>
      <c r="AM427" s="28"/>
      <c r="AN427" s="28"/>
    </row>
    <row r="428" spans="1:40" x14ac:dyDescent="0.35">
      <c r="A428">
        <f t="shared" si="125"/>
        <v>426</v>
      </c>
      <c r="B428">
        <f>IF(G428="Bonds",COUNTIF($G$3:G428,"Bonds"),0)</f>
        <v>0</v>
      </c>
      <c r="C428" t="str">
        <f t="shared" si="112"/>
        <v>Raizen4156243388</v>
      </c>
      <c r="D428">
        <f t="shared" si="113"/>
        <v>31</v>
      </c>
      <c r="E428" s="43" t="s">
        <v>515</v>
      </c>
      <c r="F428" s="43" t="s">
        <v>516</v>
      </c>
      <c r="G428" s="43" t="s">
        <v>25</v>
      </c>
      <c r="H428">
        <f t="shared" si="127"/>
        <v>0</v>
      </c>
      <c r="I428" s="43" t="s">
        <v>520</v>
      </c>
      <c r="J428" s="34">
        <f t="shared" si="115"/>
        <v>4</v>
      </c>
      <c r="K428" s="28">
        <v>41562</v>
      </c>
      <c r="L428" s="28">
        <v>43388</v>
      </c>
      <c r="M428" s="60">
        <f t="shared" si="128"/>
        <v>5.0027397260273974</v>
      </c>
      <c r="N428" s="4">
        <f t="shared" si="129"/>
        <v>1</v>
      </c>
      <c r="O428" s="43" t="s">
        <v>44</v>
      </c>
      <c r="P428" t="str">
        <f t="shared" si="132"/>
        <v>0</v>
      </c>
      <c r="Q428" s="44">
        <v>340000</v>
      </c>
      <c r="R428" s="43">
        <v>1000</v>
      </c>
      <c r="S428" s="34" t="str">
        <f>IF($V428="USD",INDEX('Dólar Spot'!$B:$B,MATCH(Base!$K428,'Dólar Spot'!$A:$A,0)),"")</f>
        <v/>
      </c>
      <c r="T428" s="4">
        <f>Q428*R428</f>
        <v>340000000</v>
      </c>
      <c r="U428" s="8">
        <f t="shared" si="133"/>
        <v>3.4</v>
      </c>
      <c r="V428" s="43" t="s">
        <v>41</v>
      </c>
      <c r="W428" s="45">
        <v>100</v>
      </c>
      <c r="X428" s="46">
        <v>0.94</v>
      </c>
      <c r="Y428" s="9">
        <f>IF(AND(V428="DI",$W428=100),$X428/100,
IF(AND(V428="DI",$W428&lt;&gt;100,$X428=""),INDEX('Debs %CDI'!$Q:$Q,MATCH(Base!$C428,'Debs %CDI'!$A:$A,0)),
IF($V428="USD",INDEX(Bonds!$AF:$AF,MATCH(Base!$C428,Bonds!$B:$B,0)),
IF($V428="IPCA",INDEX('Debs IPCA'!$Z:$Z,MATCH(Base!$C428,'Debs IPCA'!$A:$A,0))))))</f>
        <v>9.3999999999999986E-3</v>
      </c>
      <c r="Z428" s="43">
        <v>252</v>
      </c>
      <c r="AA428" s="43" t="s">
        <v>30</v>
      </c>
      <c r="AB428" s="43" t="s">
        <v>32</v>
      </c>
      <c r="AC428">
        <f t="shared" si="130"/>
        <v>0</v>
      </c>
      <c r="AD428" s="43" t="s">
        <v>31</v>
      </c>
      <c r="AE428">
        <f t="shared" si="131"/>
        <v>1</v>
      </c>
      <c r="AF428" s="34" t="str" cm="1">
        <f t="array" ref="AF428">INDEX(Ratings!$B$2:$M$40,_xlfn.XMATCH(Base!F428,Ratings!$A$2:$A$40),_xlfn.XMATCH(YEAR(Base!K428),Ratings!$B$1:$M$1))</f>
        <v>BBB</v>
      </c>
      <c r="AG428">
        <f t="shared" si="124"/>
        <v>1</v>
      </c>
      <c r="AH428">
        <f>IFERROR(IFERROR(IFERROR(INDEX('EMBI+'!$B:$B,MATCH(Base!$K428,'EMBI+'!$A:$A,0)),INDEX('EMBI+'!$B:$B,MATCH(Base!$K428+1,'EMBI+'!$A:$A,0))),INDEX('EMBI+'!$B:$B,MATCH(Base!$K428+2,'EMBI+'!$A:$A,0))),INDEX('EMBI+'!$B:$B,MATCH(Base!$K428+3,'EMBI+'!$A:$A,0)))/100</f>
        <v>2.0699999999999998</v>
      </c>
      <c r="AL428" s="43"/>
      <c r="AM428" s="28"/>
      <c r="AN428" s="28"/>
    </row>
    <row r="429" spans="1:40" x14ac:dyDescent="0.35">
      <c r="A429">
        <f t="shared" si="125"/>
        <v>427</v>
      </c>
      <c r="B429">
        <f>IF(G429="Bonds",COUNTIF($G$3:G429,"Bonds"),0)</f>
        <v>0</v>
      </c>
      <c r="C429" t="str">
        <f t="shared" si="112"/>
        <v>Raizen4156244119</v>
      </c>
      <c r="D429">
        <f t="shared" si="113"/>
        <v>31</v>
      </c>
      <c r="E429" s="43" t="s">
        <v>515</v>
      </c>
      <c r="F429" s="43" t="s">
        <v>516</v>
      </c>
      <c r="G429" s="43" t="s">
        <v>25</v>
      </c>
      <c r="H429">
        <f t="shared" si="127"/>
        <v>0</v>
      </c>
      <c r="I429" s="43" t="s">
        <v>521</v>
      </c>
      <c r="J429" s="34">
        <f t="shared" si="115"/>
        <v>5</v>
      </c>
      <c r="K429" s="28">
        <v>41562</v>
      </c>
      <c r="L429" s="28">
        <v>44119</v>
      </c>
      <c r="M429" s="60">
        <f t="shared" si="128"/>
        <v>7.0054794520547947</v>
      </c>
      <c r="N429" s="4">
        <f t="shared" si="129"/>
        <v>1</v>
      </c>
      <c r="O429" s="43" t="s">
        <v>44</v>
      </c>
      <c r="P429" t="str">
        <f t="shared" si="132"/>
        <v>0</v>
      </c>
      <c r="Q429" s="44">
        <v>304025</v>
      </c>
      <c r="R429" s="43">
        <v>1000</v>
      </c>
      <c r="S429" s="34" t="str">
        <f>IF($V429="USD",INDEX('Dólar Spot'!$B:$B,MATCH(Base!$K429,'Dólar Spot'!$A:$A,0)),"")</f>
        <v/>
      </c>
      <c r="T429" s="4">
        <f>Q429*R429</f>
        <v>304025000</v>
      </c>
      <c r="U429" s="8">
        <f t="shared" si="133"/>
        <v>3.0402499999999999</v>
      </c>
      <c r="V429" s="43" t="s">
        <v>28</v>
      </c>
      <c r="W429" s="45" t="s">
        <v>29</v>
      </c>
      <c r="X429" s="46">
        <v>6.38</v>
      </c>
      <c r="Y429" s="9">
        <f>IF(AND(V429="DI",$W429=100),$X429/100,
IF(AND(V429="DI",$W429&lt;&gt;100,$X429=""),INDEX('Debs %CDI'!$Q:$Q,MATCH(Base!$C429,'Debs %CDI'!$A:$A,0)),
IF($V429="USD",INDEX(Bonds!$AF:$AF,MATCH(Base!$C429,Bonds!$B:$B,0)),
IF($V429="IPCA",INDEX('Debs IPCA'!$Z:$Z,MATCH(Base!$C429,'Debs IPCA'!$A:$A,0))))))</f>
        <v>7.2281627997561326E-3</v>
      </c>
      <c r="Z429" s="43">
        <v>252</v>
      </c>
      <c r="AA429" s="43" t="s">
        <v>30</v>
      </c>
      <c r="AB429" s="43" t="s">
        <v>31</v>
      </c>
      <c r="AC429">
        <f t="shared" si="130"/>
        <v>1</v>
      </c>
      <c r="AD429" s="43" t="s">
        <v>32</v>
      </c>
      <c r="AE429">
        <f t="shared" si="131"/>
        <v>0</v>
      </c>
      <c r="AF429" s="34" t="str" cm="1">
        <f t="array" ref="AF429">INDEX(Ratings!$B$2:$M$40,_xlfn.XMATCH(Base!F429,Ratings!$A$2:$A$40),_xlfn.XMATCH(YEAR(Base!K429),Ratings!$B$1:$M$1))</f>
        <v>BBB</v>
      </c>
      <c r="AG429">
        <f t="shared" si="124"/>
        <v>1</v>
      </c>
      <c r="AH429">
        <f>IFERROR(IFERROR(IFERROR(INDEX('EMBI+'!$B:$B,MATCH(Base!$K429,'EMBI+'!$A:$A,0)),INDEX('EMBI+'!$B:$B,MATCH(Base!$K429+1,'EMBI+'!$A:$A,0))),INDEX('EMBI+'!$B:$B,MATCH(Base!$K429+2,'EMBI+'!$A:$A,0))),INDEX('EMBI+'!$B:$B,MATCH(Base!$K429+3,'EMBI+'!$A:$A,0)))/100</f>
        <v>2.0699999999999998</v>
      </c>
      <c r="AL429" s="43"/>
      <c r="AM429" s="28"/>
      <c r="AN429" s="28"/>
    </row>
    <row r="430" spans="1:40" x14ac:dyDescent="0.35">
      <c r="A430">
        <f t="shared" si="125"/>
        <v>428</v>
      </c>
      <c r="B430">
        <f>IF(G430="Bonds",COUNTIF($G$3:G430,"Bonds"),0)</f>
        <v>0</v>
      </c>
      <c r="C430" t="str">
        <f t="shared" si="112"/>
        <v>Raizen4463547192</v>
      </c>
      <c r="D430">
        <f t="shared" si="113"/>
        <v>31</v>
      </c>
      <c r="E430" s="43" t="s">
        <v>515</v>
      </c>
      <c r="F430" s="43" t="s">
        <v>516</v>
      </c>
      <c r="G430" s="43" t="s">
        <v>25</v>
      </c>
      <c r="H430">
        <f t="shared" si="127"/>
        <v>0</v>
      </c>
      <c r="I430" s="43" t="s">
        <v>866</v>
      </c>
      <c r="J430" s="34">
        <f t="shared" si="115"/>
        <v>6</v>
      </c>
      <c r="K430" s="28">
        <v>44635</v>
      </c>
      <c r="L430" s="28">
        <v>47192</v>
      </c>
      <c r="M430" s="60">
        <f t="shared" si="128"/>
        <v>7.0054794520547947</v>
      </c>
      <c r="N430" s="4">
        <f t="shared" si="129"/>
        <v>1</v>
      </c>
      <c r="O430" s="43" t="s">
        <v>44</v>
      </c>
      <c r="P430" t="str">
        <f t="shared" si="132"/>
        <v>0</v>
      </c>
      <c r="Q430" s="44">
        <v>768094</v>
      </c>
      <c r="R430" s="43">
        <v>1000</v>
      </c>
      <c r="S430" s="34" t="str">
        <f>IF($V430="USD",INDEX('Dólar Spot'!$B:$B,MATCH(Base!$K430,'Dólar Spot'!$A:$A,0)),"")</f>
        <v/>
      </c>
      <c r="T430" s="4">
        <f t="shared" ref="T430:T431" si="134">Q430*R430</f>
        <v>768094000</v>
      </c>
      <c r="U430" s="8">
        <f t="shared" si="133"/>
        <v>7.6809399999999997</v>
      </c>
      <c r="V430" s="43" t="s">
        <v>28</v>
      </c>
      <c r="W430" s="45" t="s">
        <v>874</v>
      </c>
      <c r="X430" s="46">
        <v>5.9218999999999999</v>
      </c>
      <c r="Y430" s="9">
        <f>IF(AND(V430="DI",$W430=100),$X430/100,
IF(AND(V430="DI",$W430&lt;&gt;100,$X430=""),INDEX('Debs %CDI'!$Q:$Q,MATCH(Base!$C430,'Debs %CDI'!$A:$A,0)),
IF($V430="USD",INDEX(Bonds!$AF:$AF,MATCH(Base!$C430,Bonds!$B:$B,0)),
IF($V430="IPCA",INDEX('Debs IPCA'!$Z:$Z,MATCH(Base!$C430,'Debs IPCA'!$A:$A,0))))))</f>
        <v>2.4638202141693544E-3</v>
      </c>
      <c r="Z430" s="43">
        <v>252</v>
      </c>
      <c r="AA430" s="43" t="s">
        <v>30</v>
      </c>
      <c r="AB430" s="43" t="s">
        <v>31</v>
      </c>
      <c r="AC430">
        <f t="shared" si="130"/>
        <v>1</v>
      </c>
      <c r="AD430" s="43" t="s">
        <v>32</v>
      </c>
      <c r="AE430">
        <f t="shared" si="131"/>
        <v>0</v>
      </c>
      <c r="AF430" s="34" t="str" cm="1">
        <f t="array" ref="AF430">INDEX(Ratings!$B$2:$M$40,_xlfn.XMATCH(Base!F430,Ratings!$A$2:$A$40),_xlfn.XMATCH(YEAR(Base!K430),Ratings!$B$1:$M$1))</f>
        <v>BBB</v>
      </c>
      <c r="AG430">
        <f t="shared" si="124"/>
        <v>1</v>
      </c>
      <c r="AH430">
        <f>IFERROR(IFERROR(IFERROR(INDEX('EMBI+'!$B:$B,MATCH(Base!$K430,'EMBI+'!$A:$A,0)),INDEX('EMBI+'!$B:$B,MATCH(Base!$K430+1,'EMBI+'!$A:$A,0))),INDEX('EMBI+'!$B:$B,MATCH(Base!$K430+2,'EMBI+'!$A:$A,0))),INDEX('EMBI+'!$B:$B,MATCH(Base!$K430+3,'EMBI+'!$A:$A,0)))/100</f>
        <v>3.31</v>
      </c>
      <c r="AL430" s="43"/>
      <c r="AM430" s="28"/>
      <c r="AN430" s="28"/>
    </row>
    <row r="431" spans="1:40" x14ac:dyDescent="0.35">
      <c r="A431">
        <f t="shared" si="125"/>
        <v>429</v>
      </c>
      <c r="B431">
        <f>IF(G431="Bonds",COUNTIF($G$3:G431,"Bonds"),0)</f>
        <v>0</v>
      </c>
      <c r="C431" t="str">
        <f t="shared" si="112"/>
        <v>Raizen4463548288</v>
      </c>
      <c r="D431">
        <f t="shared" si="113"/>
        <v>31</v>
      </c>
      <c r="E431" s="43" t="s">
        <v>515</v>
      </c>
      <c r="F431" s="43" t="s">
        <v>516</v>
      </c>
      <c r="G431" s="43" t="s">
        <v>25</v>
      </c>
      <c r="H431">
        <f t="shared" si="127"/>
        <v>0</v>
      </c>
      <c r="I431" s="43" t="s">
        <v>867</v>
      </c>
      <c r="J431" s="34">
        <f t="shared" si="115"/>
        <v>7</v>
      </c>
      <c r="K431" s="28">
        <v>44635</v>
      </c>
      <c r="L431" s="28">
        <v>48288</v>
      </c>
      <c r="M431" s="60">
        <f t="shared" si="128"/>
        <v>10.008219178082191</v>
      </c>
      <c r="N431" s="4">
        <f t="shared" si="129"/>
        <v>1</v>
      </c>
      <c r="O431" s="43" t="s">
        <v>44</v>
      </c>
      <c r="P431" t="str">
        <f t="shared" si="132"/>
        <v>0</v>
      </c>
      <c r="Q431" s="44">
        <v>428591</v>
      </c>
      <c r="R431" s="43">
        <v>1000</v>
      </c>
      <c r="S431" s="34" t="str">
        <f>IF($V431="USD",INDEX('Dólar Spot'!$B:$B,MATCH(Base!$K431,'Dólar Spot'!$A:$A,0)),"")</f>
        <v/>
      </c>
      <c r="T431" s="4">
        <f t="shared" si="134"/>
        <v>428591000</v>
      </c>
      <c r="U431" s="8">
        <f t="shared" si="133"/>
        <v>4.2859100000000003</v>
      </c>
      <c r="V431" s="43" t="s">
        <v>28</v>
      </c>
      <c r="W431" s="45" t="s">
        <v>874</v>
      </c>
      <c r="X431" s="46">
        <v>5.9645000000000001</v>
      </c>
      <c r="Y431" s="9">
        <f>IF(AND(V431="DI",$W431=100),$X431/100,
IF(AND(V431="DI",$W431&lt;&gt;100,$X431=""),INDEX('Debs %CDI'!$Q:$Q,MATCH(Base!$C431,'Debs %CDI'!$A:$A,0)),
IF($V431="USD",INDEX(Bonds!$AF:$AF,MATCH(Base!$C431,Bonds!$B:$B,0)),
IF($V431="IPCA",INDEX('Debs IPCA'!$Z:$Z,MATCH(Base!$C431,'Debs IPCA'!$A:$A,0))))))</f>
        <v>2.9298815445979454E-3</v>
      </c>
      <c r="Z431" s="43">
        <v>252</v>
      </c>
      <c r="AA431" s="43" t="s">
        <v>30</v>
      </c>
      <c r="AB431" s="43" t="s">
        <v>31</v>
      </c>
      <c r="AC431">
        <f t="shared" si="130"/>
        <v>1</v>
      </c>
      <c r="AD431" s="43" t="s">
        <v>32</v>
      </c>
      <c r="AE431">
        <f t="shared" si="131"/>
        <v>0</v>
      </c>
      <c r="AF431" s="34" t="str" cm="1">
        <f t="array" ref="AF431">INDEX(Ratings!$B$2:$M$40,_xlfn.XMATCH(Base!F431,Ratings!$A$2:$A$40),_xlfn.XMATCH(YEAR(Base!K431),Ratings!$B$1:$M$1))</f>
        <v>BBB</v>
      </c>
      <c r="AG431">
        <f t="shared" si="124"/>
        <v>1</v>
      </c>
      <c r="AH431">
        <f>IFERROR(IFERROR(IFERROR(INDEX('EMBI+'!$B:$B,MATCH(Base!$K431,'EMBI+'!$A:$A,0)),INDEX('EMBI+'!$B:$B,MATCH(Base!$K431+1,'EMBI+'!$A:$A,0))),INDEX('EMBI+'!$B:$B,MATCH(Base!$K431+2,'EMBI+'!$A:$A,0))),INDEX('EMBI+'!$B:$B,MATCH(Base!$K431+3,'EMBI+'!$A:$A,0)))/100</f>
        <v>3.31</v>
      </c>
      <c r="AL431" s="43"/>
      <c r="AM431" s="28"/>
      <c r="AN431" s="28"/>
    </row>
    <row r="432" spans="1:40" x14ac:dyDescent="0.35">
      <c r="A432">
        <f t="shared" si="125"/>
        <v>430</v>
      </c>
      <c r="B432">
        <f>IF(G432="Bonds",COUNTIF($G$3:G432,"Bonds"),0)</f>
        <v>129</v>
      </c>
      <c r="C432" t="str">
        <f t="shared" si="112"/>
        <v>Raizen4275520/01/2027</v>
      </c>
      <c r="D432">
        <f t="shared" si="113"/>
        <v>31</v>
      </c>
      <c r="E432" s="43" t="s">
        <v>522</v>
      </c>
      <c r="F432" s="43" t="s">
        <v>516</v>
      </c>
      <c r="G432" s="43" t="s">
        <v>34</v>
      </c>
      <c r="H432">
        <f t="shared" si="127"/>
        <v>1</v>
      </c>
      <c r="I432" s="43"/>
      <c r="J432" s="34">
        <f t="shared" si="115"/>
        <v>8</v>
      </c>
      <c r="K432" s="28">
        <v>42755</v>
      </c>
      <c r="L432" s="28" t="s">
        <v>185</v>
      </c>
      <c r="M432" s="60">
        <f t="shared" si="128"/>
        <v>10.005479452054795</v>
      </c>
      <c r="N432" s="4">
        <f t="shared" si="129"/>
        <v>1</v>
      </c>
      <c r="O432" s="43" t="s">
        <v>36</v>
      </c>
      <c r="P432" t="str">
        <f t="shared" si="132"/>
        <v>0</v>
      </c>
      <c r="Q432" s="43"/>
      <c r="R432" s="43"/>
      <c r="S432" s="34">
        <f>IF($V432="USD",INDEX('Dólar Spot'!$B:$B,MATCH(Base!$K432,'Dólar Spot'!$A:$A,0)),"")</f>
        <v>3.1911999999999998</v>
      </c>
      <c r="T432" s="44">
        <v>500000000</v>
      </c>
      <c r="U432" s="8">
        <f t="shared" si="133"/>
        <v>15.956</v>
      </c>
      <c r="V432" s="43" t="s">
        <v>651</v>
      </c>
      <c r="W432" s="45" t="s">
        <v>29</v>
      </c>
      <c r="X432" s="53">
        <v>5.3</v>
      </c>
      <c r="Y432" s="9">
        <f>IF(AND(V432="DI",$W432=100),$X432/100,
IF(AND(V432="DI",$W432&lt;&gt;100,$X432=""),INDEX('Debs %CDI'!$Q:$Q,MATCH(Base!$C432,'Debs %CDI'!$A:$A,0)),
IF($V432="USD",INDEX(Bonds!$AF:$AF,MATCH(Base!$C432,Bonds!$B:$B,0)),
IF($V432="IPCA",INDEX('Debs IPCA'!$Z:$Z,MATCH(Base!$C432,'Debs IPCA'!$A:$A,0))))))</f>
        <v>2.8543755705650042E-3</v>
      </c>
      <c r="Z432" s="43">
        <v>360</v>
      </c>
      <c r="AA432" s="43" t="s">
        <v>37</v>
      </c>
      <c r="AB432" s="43" t="s">
        <v>32</v>
      </c>
      <c r="AC432">
        <f t="shared" si="130"/>
        <v>0</v>
      </c>
      <c r="AD432" s="43" t="s">
        <v>32</v>
      </c>
      <c r="AE432">
        <f t="shared" si="131"/>
        <v>0</v>
      </c>
      <c r="AF432" s="34" t="str" cm="1">
        <f t="array" ref="AF432">INDEX(Ratings!$B$2:$M$40,_xlfn.XMATCH(Base!F432,Ratings!$A$2:$A$40),_xlfn.XMATCH(YEAR(Base!K432),Ratings!$B$1:$M$1))</f>
        <v>BBB</v>
      </c>
      <c r="AG432">
        <f t="shared" si="124"/>
        <v>1</v>
      </c>
      <c r="AH432">
        <f>IFERROR(IFERROR(IFERROR(INDEX('EMBI+'!$B:$B,MATCH(Base!$K432,'EMBI+'!$A:$A,0)),INDEX('EMBI+'!$B:$B,MATCH(Base!$K432+1,'EMBI+'!$A:$A,0))),INDEX('EMBI+'!$B:$B,MATCH(Base!$K432+2,'EMBI+'!$A:$A,0))),INDEX('EMBI+'!$B:$B,MATCH(Base!$K432+3,'EMBI+'!$A:$A,0)))/100</f>
        <v>2.94</v>
      </c>
      <c r="AL432" s="43"/>
      <c r="AM432" s="28"/>
      <c r="AN432" s="28"/>
    </row>
    <row r="433" spans="1:40" x14ac:dyDescent="0.35">
      <c r="A433">
        <f t="shared" si="125"/>
        <v>431</v>
      </c>
      <c r="B433">
        <f>IF(G433="Bonds",COUNTIF($G$3:G433,"Bonds"),0)</f>
        <v>130</v>
      </c>
      <c r="C433" t="str">
        <f t="shared" si="112"/>
        <v>Raizen4401920/01/2027</v>
      </c>
      <c r="D433">
        <f t="shared" si="113"/>
        <v>31</v>
      </c>
      <c r="E433" s="43" t="s">
        <v>522</v>
      </c>
      <c r="F433" s="43" t="s">
        <v>516</v>
      </c>
      <c r="G433" s="43" t="s">
        <v>34</v>
      </c>
      <c r="H433">
        <f t="shared" si="127"/>
        <v>1</v>
      </c>
      <c r="I433" s="43"/>
      <c r="J433" s="34">
        <f t="shared" si="115"/>
        <v>9</v>
      </c>
      <c r="K433" s="28">
        <v>44019</v>
      </c>
      <c r="L433" s="28" t="s">
        <v>185</v>
      </c>
      <c r="M433" s="60">
        <f t="shared" si="128"/>
        <v>6.5424657534246577</v>
      </c>
      <c r="N433" s="4">
        <f t="shared" si="129"/>
        <v>1</v>
      </c>
      <c r="O433" s="43" t="s">
        <v>36</v>
      </c>
      <c r="P433" t="str">
        <f t="shared" si="132"/>
        <v>0</v>
      </c>
      <c r="Q433" s="43"/>
      <c r="R433" s="43"/>
      <c r="S433" s="34">
        <f>IF($V433="USD",INDEX('Dólar Spot'!$B:$B,MATCH(Base!$K433,'Dólar Spot'!$A:$A,0)),"")</f>
        <v>5.3311999999999999</v>
      </c>
      <c r="T433" s="44">
        <v>225000000</v>
      </c>
      <c r="U433" s="8">
        <f t="shared" si="133"/>
        <v>11.995200000000001</v>
      </c>
      <c r="V433" s="43" t="s">
        <v>651</v>
      </c>
      <c r="W433" s="45" t="s">
        <v>29</v>
      </c>
      <c r="X433" s="53">
        <v>5.3</v>
      </c>
      <c r="Y433" s="9">
        <f>IF(AND(V433="DI",$W433=100),$X433/100,
IF(AND(V433="DI",$W433&lt;&gt;100,$X433=""),INDEX('Debs %CDI'!$Q:$Q,MATCH(Base!$C433,'Debs %CDI'!$A:$A,0)),
IF($V433="USD",INDEX(Bonds!$AF:$AF,MATCH(Base!$C433,Bonds!$B:$B,0)),
IF($V433="IPCA",INDEX('Debs IPCA'!$Z:$Z,MATCH(Base!$C433,'Debs IPCA'!$A:$A,0))))))</f>
        <v>3.5874829767077676E-2</v>
      </c>
      <c r="Z433" s="43">
        <v>360</v>
      </c>
      <c r="AA433" s="43" t="s">
        <v>37</v>
      </c>
      <c r="AB433" s="43" t="s">
        <v>32</v>
      </c>
      <c r="AC433">
        <f t="shared" si="130"/>
        <v>0</v>
      </c>
      <c r="AD433" s="43" t="s">
        <v>32</v>
      </c>
      <c r="AE433">
        <f t="shared" si="131"/>
        <v>0</v>
      </c>
      <c r="AF433" s="34" t="str" cm="1">
        <f t="array" ref="AF433">INDEX(Ratings!$B$2:$M$40,_xlfn.XMATCH(Base!F433,Ratings!$A$2:$A$40),_xlfn.XMATCH(YEAR(Base!K433),Ratings!$B$1:$M$1))</f>
        <v>BBB</v>
      </c>
      <c r="AG433">
        <f t="shared" si="124"/>
        <v>1</v>
      </c>
      <c r="AH433">
        <f>IFERROR(IFERROR(IFERROR(INDEX('EMBI+'!$B:$B,MATCH(Base!$K433,'EMBI+'!$A:$A,0)),INDEX('EMBI+'!$B:$B,MATCH(Base!$K433+1,'EMBI+'!$A:$A,0))),INDEX('EMBI+'!$B:$B,MATCH(Base!$K433+2,'EMBI+'!$A:$A,0))),INDEX('EMBI+'!$B:$B,MATCH(Base!$K433+3,'EMBI+'!$A:$A,0)))/100</f>
        <v>3.75</v>
      </c>
      <c r="AL433" s="43"/>
      <c r="AM433" s="28"/>
      <c r="AN433" s="28"/>
    </row>
    <row r="434" spans="1:40" x14ac:dyDescent="0.35">
      <c r="A434">
        <f t="shared" si="125"/>
        <v>432</v>
      </c>
      <c r="B434">
        <f>IF(G434="Bonds",COUNTIF($G$3:G434,"Bonds"),0)</f>
        <v>0</v>
      </c>
      <c r="C434" t="str">
        <f t="shared" si="112"/>
        <v>Rede D'or4065343941</v>
      </c>
      <c r="D434">
        <f t="shared" si="113"/>
        <v>32</v>
      </c>
      <c r="E434" s="43" t="s">
        <v>523</v>
      </c>
      <c r="F434" s="43" t="s">
        <v>524</v>
      </c>
      <c r="G434" s="43" t="s">
        <v>25</v>
      </c>
      <c r="H434">
        <f t="shared" si="127"/>
        <v>0</v>
      </c>
      <c r="I434" s="43" t="s">
        <v>525</v>
      </c>
      <c r="J434" s="34">
        <f t="shared" si="115"/>
        <v>1</v>
      </c>
      <c r="K434" s="28">
        <v>40653</v>
      </c>
      <c r="L434" s="28">
        <v>43941</v>
      </c>
      <c r="M434" s="60">
        <f t="shared" si="128"/>
        <v>9.0082191780821912</v>
      </c>
      <c r="N434" s="4">
        <f t="shared" si="129"/>
        <v>1</v>
      </c>
      <c r="O434" s="43" t="s">
        <v>27</v>
      </c>
      <c r="P434" t="str">
        <f t="shared" si="132"/>
        <v>1</v>
      </c>
      <c r="Q434" s="44">
        <v>100</v>
      </c>
      <c r="R434" s="43">
        <v>10000000</v>
      </c>
      <c r="S434" s="34" t="str">
        <f>IF($V434="USD",INDEX('Dólar Spot'!$B:$B,MATCH(Base!$K434,'Dólar Spot'!$A:$A,0)),"")</f>
        <v/>
      </c>
      <c r="T434" s="4">
        <f t="shared" ref="T434:T457" si="135">Q434*R434</f>
        <v>1000000000</v>
      </c>
      <c r="U434" s="8">
        <f t="shared" si="133"/>
        <v>10</v>
      </c>
      <c r="V434" s="43" t="s">
        <v>41</v>
      </c>
      <c r="W434" s="45">
        <v>100</v>
      </c>
      <c r="X434" s="46">
        <v>2.2999999999999998</v>
      </c>
      <c r="Y434" s="9">
        <f>IF(AND(V434="DI",$W434=100),$X434/100,
IF(AND(V434="DI",$W434&lt;&gt;100,$X434=""),INDEX('Debs %CDI'!$Q:$Q,MATCH(Base!$C434,'Debs %CDI'!$A:$A,0)),
IF($V434="USD",INDEX(Bonds!$AF:$AF,MATCH(Base!$C434,Bonds!$B:$B,0)),
IF($V434="IPCA",INDEX('Debs IPCA'!$Z:$Z,MATCH(Base!$C434,'Debs IPCA'!$A:$A,0))))))</f>
        <v>2.3E-2</v>
      </c>
      <c r="Z434" s="43">
        <v>252</v>
      </c>
      <c r="AA434" s="43" t="s">
        <v>30</v>
      </c>
      <c r="AB434" s="43" t="s">
        <v>32</v>
      </c>
      <c r="AC434">
        <f t="shared" si="130"/>
        <v>0</v>
      </c>
      <c r="AD434" s="43" t="s">
        <v>31</v>
      </c>
      <c r="AE434">
        <f t="shared" si="131"/>
        <v>1</v>
      </c>
      <c r="AF434" s="34" t="str" cm="1">
        <f t="array" ref="AF434">INDEX(Ratings!$B$2:$M$40,_xlfn.XMATCH(Base!F434,Ratings!$A$2:$A$40),_xlfn.XMATCH(YEAR(Base!K434),Ratings!$B$1:$M$1))</f>
        <v>NR</v>
      </c>
      <c r="AG434">
        <f t="shared" si="124"/>
        <v>0</v>
      </c>
      <c r="AH434">
        <f>IFERROR(IFERROR(IFERROR(INDEX('EMBI+'!$B:$B,MATCH(Base!$K434,'EMBI+'!$A:$A,0)),INDEX('EMBI+'!$B:$B,MATCH(Base!$K434+1,'EMBI+'!$A:$A,0))),INDEX('EMBI+'!$B:$B,MATCH(Base!$K434+2,'EMBI+'!$A:$A,0))),INDEX('EMBI+'!$B:$B,MATCH(Base!$K434+3,'EMBI+'!$A:$A,0)))/100</f>
        <v>1.76</v>
      </c>
      <c r="AL434" s="43"/>
      <c r="AM434" s="28"/>
      <c r="AN434" s="28"/>
    </row>
    <row r="435" spans="1:40" x14ac:dyDescent="0.35">
      <c r="A435">
        <f t="shared" si="125"/>
        <v>433</v>
      </c>
      <c r="B435">
        <f>IF(G435="Bonds",COUNTIF($G$3:G435,"Bonds"),0)</f>
        <v>0</v>
      </c>
      <c r="C435" t="str">
        <f t="shared" si="112"/>
        <v>Rede D'or4084442750</v>
      </c>
      <c r="D435">
        <f t="shared" si="113"/>
        <v>32</v>
      </c>
      <c r="E435" s="43" t="s">
        <v>523</v>
      </c>
      <c r="F435" s="43" t="s">
        <v>524</v>
      </c>
      <c r="G435" s="43" t="s">
        <v>25</v>
      </c>
      <c r="H435">
        <f t="shared" si="127"/>
        <v>0</v>
      </c>
      <c r="I435" s="43" t="s">
        <v>526</v>
      </c>
      <c r="J435" s="34">
        <f t="shared" si="115"/>
        <v>2</v>
      </c>
      <c r="K435" s="28">
        <v>40844</v>
      </c>
      <c r="L435" s="28">
        <v>42750</v>
      </c>
      <c r="M435" s="60">
        <f t="shared" si="128"/>
        <v>5.2219178082191782</v>
      </c>
      <c r="N435" s="4">
        <f t="shared" si="129"/>
        <v>1</v>
      </c>
      <c r="O435" s="43" t="s">
        <v>44</v>
      </c>
      <c r="P435" t="str">
        <f t="shared" si="132"/>
        <v>0</v>
      </c>
      <c r="Q435" s="44">
        <v>100</v>
      </c>
      <c r="R435" s="43">
        <v>1000000</v>
      </c>
      <c r="S435" s="34" t="str">
        <f>IF($V435="USD",INDEX('Dólar Spot'!$B:$B,MATCH(Base!$K435,'Dólar Spot'!$A:$A,0)),"")</f>
        <v/>
      </c>
      <c r="T435" s="4">
        <f t="shared" si="135"/>
        <v>100000000</v>
      </c>
      <c r="U435" s="8">
        <f t="shared" si="133"/>
        <v>1</v>
      </c>
      <c r="V435" s="43" t="s">
        <v>41</v>
      </c>
      <c r="W435" s="45">
        <v>100</v>
      </c>
      <c r="X435" s="46">
        <v>2</v>
      </c>
      <c r="Y435" s="9">
        <f>IF(AND(V435="DI",$W435=100),$X435/100,
IF(AND(V435="DI",$W435&lt;&gt;100,$X435=""),INDEX('Debs %CDI'!$Q:$Q,MATCH(Base!$C435,'Debs %CDI'!$A:$A,0)),
IF($V435="USD",INDEX(Bonds!$AF:$AF,MATCH(Base!$C435,Bonds!$B:$B,0)),
IF($V435="IPCA",INDEX('Debs IPCA'!$Z:$Z,MATCH(Base!$C435,'Debs IPCA'!$A:$A,0))))))</f>
        <v>0.02</v>
      </c>
      <c r="Z435" s="43">
        <v>252</v>
      </c>
      <c r="AA435" s="43" t="s">
        <v>30</v>
      </c>
      <c r="AB435" s="43" t="s">
        <v>32</v>
      </c>
      <c r="AC435">
        <f t="shared" si="130"/>
        <v>0</v>
      </c>
      <c r="AD435" s="43" t="s">
        <v>31</v>
      </c>
      <c r="AE435">
        <f t="shared" si="131"/>
        <v>1</v>
      </c>
      <c r="AF435" s="34" t="str" cm="1">
        <f t="array" ref="AF435">INDEX(Ratings!$B$2:$M$40,_xlfn.XMATCH(Base!F435,Ratings!$A$2:$A$40),_xlfn.XMATCH(YEAR(Base!K435),Ratings!$B$1:$M$1))</f>
        <v>NR</v>
      </c>
      <c r="AG435">
        <f t="shared" si="124"/>
        <v>0</v>
      </c>
      <c r="AH435">
        <f>IFERROR(IFERROR(IFERROR(INDEX('EMBI+'!$B:$B,MATCH(Base!$K435,'EMBI+'!$A:$A,0)),INDEX('EMBI+'!$B:$B,MATCH(Base!$K435+1,'EMBI+'!$A:$A,0))),INDEX('EMBI+'!$B:$B,MATCH(Base!$K435+2,'EMBI+'!$A:$A,0))),INDEX('EMBI+'!$B:$B,MATCH(Base!$K435+3,'EMBI+'!$A:$A,0)))/100</f>
        <v>2.12</v>
      </c>
      <c r="AL435" s="43"/>
      <c r="AM435" s="28"/>
      <c r="AN435" s="28"/>
    </row>
    <row r="436" spans="1:40" x14ac:dyDescent="0.35">
      <c r="A436">
        <f t="shared" si="125"/>
        <v>434</v>
      </c>
      <c r="B436">
        <f>IF(G436="Bonds",COUNTIF($G$3:G436,"Bonds"),0)</f>
        <v>0</v>
      </c>
      <c r="C436" t="str">
        <f t="shared" ref="C436:C499" si="136">F436&amp;K436&amp;L436</f>
        <v>Rede D'or4161843444</v>
      </c>
      <c r="D436">
        <f t="shared" ref="D436:D499" si="137">IF(F436&lt;&gt;F435,D435+1,D435)</f>
        <v>32</v>
      </c>
      <c r="E436" s="43" t="s">
        <v>523</v>
      </c>
      <c r="F436" s="43" t="s">
        <v>524</v>
      </c>
      <c r="G436" s="43" t="s">
        <v>25</v>
      </c>
      <c r="H436">
        <f t="shared" si="127"/>
        <v>0</v>
      </c>
      <c r="I436" s="43" t="s">
        <v>527</v>
      </c>
      <c r="J436" s="34">
        <f t="shared" ref="J436:J499" si="138">IF(F436=F435,J435+1,1)</f>
        <v>3</v>
      </c>
      <c r="K436" s="28">
        <v>41618</v>
      </c>
      <c r="L436" s="28">
        <v>43444</v>
      </c>
      <c r="M436" s="60">
        <f t="shared" si="128"/>
        <v>5.0027397260273974</v>
      </c>
      <c r="N436" s="4">
        <f t="shared" si="129"/>
        <v>1</v>
      </c>
      <c r="O436" s="43" t="s">
        <v>44</v>
      </c>
      <c r="P436" t="str">
        <f t="shared" si="132"/>
        <v>0</v>
      </c>
      <c r="Q436" s="44">
        <v>20000</v>
      </c>
      <c r="R436" s="43">
        <v>10000</v>
      </c>
      <c r="S436" s="34" t="str">
        <f>IF($V436="USD",INDEX('Dólar Spot'!$B:$B,MATCH(Base!$K436,'Dólar Spot'!$A:$A,0)),"")</f>
        <v/>
      </c>
      <c r="T436" s="4">
        <f t="shared" si="135"/>
        <v>200000000</v>
      </c>
      <c r="U436" s="8">
        <f t="shared" si="133"/>
        <v>2</v>
      </c>
      <c r="V436" s="43" t="s">
        <v>41</v>
      </c>
      <c r="W436" s="45">
        <v>100</v>
      </c>
      <c r="X436" s="46">
        <v>2</v>
      </c>
      <c r="Y436" s="9">
        <f>IF(AND(V436="DI",$W436=100),$X436/100,
IF(AND(V436="DI",$W436&lt;&gt;100,$X436=""),INDEX('Debs %CDI'!$Q:$Q,MATCH(Base!$C436,'Debs %CDI'!$A:$A,0)),
IF($V436="USD",INDEX(Bonds!$AF:$AF,MATCH(Base!$C436,Bonds!$B:$B,0)),
IF($V436="IPCA",INDEX('Debs IPCA'!$Z:$Z,MATCH(Base!$C436,'Debs IPCA'!$A:$A,0))))))</f>
        <v>0.02</v>
      </c>
      <c r="Z436" s="43">
        <v>252</v>
      </c>
      <c r="AA436" s="43" t="s">
        <v>30</v>
      </c>
      <c r="AB436" s="43" t="s">
        <v>32</v>
      </c>
      <c r="AC436">
        <f t="shared" si="130"/>
        <v>0</v>
      </c>
      <c r="AD436" s="43" t="s">
        <v>32</v>
      </c>
      <c r="AE436">
        <f t="shared" si="131"/>
        <v>0</v>
      </c>
      <c r="AF436" s="34" t="str" cm="1">
        <f t="array" ref="AF436">INDEX(Ratings!$B$2:$M$40,_xlfn.XMATCH(Base!F436,Ratings!$A$2:$A$40),_xlfn.XMATCH(YEAR(Base!K436),Ratings!$B$1:$M$1))</f>
        <v>NR</v>
      </c>
      <c r="AG436">
        <f t="shared" si="124"/>
        <v>0</v>
      </c>
      <c r="AH436">
        <f>IFERROR(IFERROR(IFERROR(INDEX('EMBI+'!$B:$B,MATCH(Base!$K436,'EMBI+'!$A:$A,0)),INDEX('EMBI+'!$B:$B,MATCH(Base!$K436+1,'EMBI+'!$A:$A,0))),INDEX('EMBI+'!$B:$B,MATCH(Base!$K436+2,'EMBI+'!$A:$A,0))),INDEX('EMBI+'!$B:$B,MATCH(Base!$K436+3,'EMBI+'!$A:$A,0)))/100</f>
        <v>2.4700000000000002</v>
      </c>
      <c r="AL436" s="43"/>
      <c r="AM436" s="28"/>
      <c r="AN436" s="28"/>
    </row>
    <row r="437" spans="1:40" x14ac:dyDescent="0.35">
      <c r="A437">
        <f t="shared" si="125"/>
        <v>435</v>
      </c>
      <c r="B437">
        <f>IF(G437="Bonds",COUNTIF($G$3:G437,"Bonds"),0)</f>
        <v>0</v>
      </c>
      <c r="C437" t="str">
        <f t="shared" si="136"/>
        <v>Rede D'or4198843814</v>
      </c>
      <c r="D437">
        <f t="shared" si="137"/>
        <v>32</v>
      </c>
      <c r="E437" s="43" t="s">
        <v>523</v>
      </c>
      <c r="F437" s="43" t="s">
        <v>524</v>
      </c>
      <c r="G437" s="43" t="s">
        <v>25</v>
      </c>
      <c r="H437">
        <f t="shared" si="127"/>
        <v>0</v>
      </c>
      <c r="I437" s="43" t="s">
        <v>528</v>
      </c>
      <c r="J437" s="34">
        <f t="shared" si="138"/>
        <v>4</v>
      </c>
      <c r="K437" s="28">
        <v>41988</v>
      </c>
      <c r="L437" s="28">
        <v>43814</v>
      </c>
      <c r="M437" s="60">
        <f t="shared" si="128"/>
        <v>5.0027397260273974</v>
      </c>
      <c r="N437" s="4">
        <f t="shared" si="129"/>
        <v>1</v>
      </c>
      <c r="O437" s="43" t="s">
        <v>44</v>
      </c>
      <c r="P437" t="str">
        <f t="shared" si="132"/>
        <v>0</v>
      </c>
      <c r="Q437" s="44">
        <v>20000</v>
      </c>
      <c r="R437" s="43">
        <v>10000</v>
      </c>
      <c r="S437" s="34" t="str">
        <f>IF($V437="USD",INDEX('Dólar Spot'!$B:$B,MATCH(Base!$K437,'Dólar Spot'!$A:$A,0)),"")</f>
        <v/>
      </c>
      <c r="T437" s="4">
        <f t="shared" si="135"/>
        <v>200000000</v>
      </c>
      <c r="U437" s="8">
        <f t="shared" si="133"/>
        <v>2</v>
      </c>
      <c r="V437" s="43" t="s">
        <v>41</v>
      </c>
      <c r="W437" s="45">
        <v>100</v>
      </c>
      <c r="X437" s="46">
        <v>2</v>
      </c>
      <c r="Y437" s="9">
        <f>IF(AND(V437="DI",$W437=100),$X437/100,
IF(AND(V437="DI",$W437&lt;&gt;100,$X437=""),INDEX('Debs %CDI'!$Q:$Q,MATCH(Base!$C437,'Debs %CDI'!$A:$A,0)),
IF($V437="USD",INDEX(Bonds!$AF:$AF,MATCH(Base!$C437,Bonds!$B:$B,0)),
IF($V437="IPCA",INDEX('Debs IPCA'!$Z:$Z,MATCH(Base!$C437,'Debs IPCA'!$A:$A,0))))))</f>
        <v>0.02</v>
      </c>
      <c r="Z437" s="43">
        <v>252</v>
      </c>
      <c r="AA437" s="43" t="s">
        <v>30</v>
      </c>
      <c r="AB437" s="43" t="s">
        <v>32</v>
      </c>
      <c r="AC437">
        <f t="shared" si="130"/>
        <v>0</v>
      </c>
      <c r="AD437" s="43" t="s">
        <v>31</v>
      </c>
      <c r="AE437">
        <f t="shared" si="131"/>
        <v>1</v>
      </c>
      <c r="AF437" s="34" t="str" cm="1">
        <f t="array" ref="AF437">INDEX(Ratings!$B$2:$M$40,_xlfn.XMATCH(Base!F437,Ratings!$A$2:$A$40),_xlfn.XMATCH(YEAR(Base!K437),Ratings!$B$1:$M$1))</f>
        <v>NR</v>
      </c>
      <c r="AG437">
        <f t="shared" si="124"/>
        <v>0</v>
      </c>
      <c r="AH437">
        <f>IFERROR(IFERROR(IFERROR(INDEX('EMBI+'!$B:$B,MATCH(Base!$K437,'EMBI+'!$A:$A,0)),INDEX('EMBI+'!$B:$B,MATCH(Base!$K437+1,'EMBI+'!$A:$A,0))),INDEX('EMBI+'!$B:$B,MATCH(Base!$K437+2,'EMBI+'!$A:$A,0))),INDEX('EMBI+'!$B:$B,MATCH(Base!$K437+3,'EMBI+'!$A:$A,0)))/100</f>
        <v>3.12</v>
      </c>
      <c r="AL437" s="43"/>
      <c r="AM437" s="28"/>
      <c r="AN437" s="28"/>
    </row>
    <row r="438" spans="1:40" x14ac:dyDescent="0.35">
      <c r="A438">
        <f t="shared" si="125"/>
        <v>436</v>
      </c>
      <c r="B438">
        <f>IF(G438="Bonds",COUNTIF($G$3:G438,"Bonds"),0)</f>
        <v>0</v>
      </c>
      <c r="C438" t="str">
        <f t="shared" si="136"/>
        <v>Rede D'or4256343658</v>
      </c>
      <c r="D438">
        <f t="shared" si="137"/>
        <v>32</v>
      </c>
      <c r="E438" s="43" t="s">
        <v>523</v>
      </c>
      <c r="F438" s="43" t="s">
        <v>524</v>
      </c>
      <c r="G438" s="43" t="s">
        <v>25</v>
      </c>
      <c r="H438">
        <f t="shared" si="127"/>
        <v>0</v>
      </c>
      <c r="I438" s="43" t="s">
        <v>529</v>
      </c>
      <c r="J438" s="34">
        <f t="shared" si="138"/>
        <v>5</v>
      </c>
      <c r="K438" s="28">
        <v>42563</v>
      </c>
      <c r="L438" s="28">
        <v>43658</v>
      </c>
      <c r="M438" s="60">
        <f t="shared" si="128"/>
        <v>3</v>
      </c>
      <c r="N438" s="4">
        <f t="shared" si="129"/>
        <v>0</v>
      </c>
      <c r="O438" s="43" t="s">
        <v>27</v>
      </c>
      <c r="P438" t="str">
        <f t="shared" si="132"/>
        <v>1</v>
      </c>
      <c r="Q438" s="44">
        <v>600000</v>
      </c>
      <c r="R438" s="43">
        <v>1000</v>
      </c>
      <c r="S438" s="34" t="str">
        <f>IF($V438="USD",INDEX('Dólar Spot'!$B:$B,MATCH(Base!$K438,'Dólar Spot'!$A:$A,0)),"")</f>
        <v/>
      </c>
      <c r="T438" s="4">
        <f t="shared" si="135"/>
        <v>600000000</v>
      </c>
      <c r="U438" s="8">
        <f t="shared" si="133"/>
        <v>6</v>
      </c>
      <c r="V438" s="43" t="s">
        <v>41</v>
      </c>
      <c r="W438" s="45">
        <v>100</v>
      </c>
      <c r="X438" s="46">
        <v>1.9</v>
      </c>
      <c r="Y438" s="9">
        <f>IF(AND(V438="DI",$W438=100),$X438/100,
IF(AND(V438="DI",$W438&lt;&gt;100,$X438=""),INDEX('Debs %CDI'!$Q:$Q,MATCH(Base!$C438,'Debs %CDI'!$A:$A,0)),
IF($V438="USD",INDEX(Bonds!$AF:$AF,MATCH(Base!$C438,Bonds!$B:$B,0)),
IF($V438="IPCA",INDEX('Debs IPCA'!$Z:$Z,MATCH(Base!$C438,'Debs IPCA'!$A:$A,0))))))</f>
        <v>1.9E-2</v>
      </c>
      <c r="Z438" s="43">
        <v>252</v>
      </c>
      <c r="AA438" s="43" t="s">
        <v>30</v>
      </c>
      <c r="AB438" s="43" t="s">
        <v>32</v>
      </c>
      <c r="AC438">
        <f t="shared" si="130"/>
        <v>0</v>
      </c>
      <c r="AD438" s="43" t="s">
        <v>31</v>
      </c>
      <c r="AE438">
        <f t="shared" si="131"/>
        <v>1</v>
      </c>
      <c r="AF438" s="34" t="str" cm="1">
        <f t="array" ref="AF438">INDEX(Ratings!$B$2:$M$40,_xlfn.XMATCH(Base!F438,Ratings!$A$2:$A$40),_xlfn.XMATCH(YEAR(Base!K438),Ratings!$B$1:$M$1))</f>
        <v>BB+</v>
      </c>
      <c r="AG438">
        <f t="shared" si="124"/>
        <v>0</v>
      </c>
      <c r="AH438">
        <f>IFERROR(IFERROR(IFERROR(INDEX('EMBI+'!$B:$B,MATCH(Base!$K438,'EMBI+'!$A:$A,0)),INDEX('EMBI+'!$B:$B,MATCH(Base!$K438+1,'EMBI+'!$A:$A,0))),INDEX('EMBI+'!$B:$B,MATCH(Base!$K438+2,'EMBI+'!$A:$A,0))),INDEX('EMBI+'!$B:$B,MATCH(Base!$K438+3,'EMBI+'!$A:$A,0)))/100</f>
        <v>3.31</v>
      </c>
      <c r="AL438" s="43"/>
      <c r="AM438" s="28"/>
      <c r="AN438" s="28"/>
    </row>
    <row r="439" spans="1:40" x14ac:dyDescent="0.35">
      <c r="A439">
        <f t="shared" si="125"/>
        <v>437</v>
      </c>
      <c r="B439">
        <f>IF(G439="Bonds",COUNTIF($G$3:G439,"Bonds"),0)</f>
        <v>0</v>
      </c>
      <c r="C439" t="str">
        <f t="shared" si="136"/>
        <v>Rede D'or4257244398</v>
      </c>
      <c r="D439">
        <f t="shared" si="137"/>
        <v>32</v>
      </c>
      <c r="E439" s="43" t="s">
        <v>523</v>
      </c>
      <c r="F439" s="43" t="s">
        <v>524</v>
      </c>
      <c r="G439" s="43" t="s">
        <v>25</v>
      </c>
      <c r="H439">
        <f t="shared" si="127"/>
        <v>0</v>
      </c>
      <c r="I439" s="43" t="s">
        <v>530</v>
      </c>
      <c r="J439" s="34">
        <f t="shared" si="138"/>
        <v>6</v>
      </c>
      <c r="K439" s="28">
        <v>42572</v>
      </c>
      <c r="L439" s="28">
        <v>44398</v>
      </c>
      <c r="M439" s="60">
        <f t="shared" si="128"/>
        <v>5.0027397260273974</v>
      </c>
      <c r="N439" s="4">
        <f t="shared" si="129"/>
        <v>1</v>
      </c>
      <c r="O439" s="43" t="s">
        <v>44</v>
      </c>
      <c r="P439" t="str">
        <f t="shared" si="132"/>
        <v>0</v>
      </c>
      <c r="Q439" s="44">
        <v>15000</v>
      </c>
      <c r="R439" s="43">
        <v>10000</v>
      </c>
      <c r="S439" s="34" t="str">
        <f>IF($V439="USD",INDEX('Dólar Spot'!$B:$B,MATCH(Base!$K439,'Dólar Spot'!$A:$A,0)),"")</f>
        <v/>
      </c>
      <c r="T439" s="4">
        <f t="shared" si="135"/>
        <v>150000000</v>
      </c>
      <c r="U439" s="8">
        <f t="shared" si="133"/>
        <v>1.5</v>
      </c>
      <c r="V439" s="43" t="s">
        <v>41</v>
      </c>
      <c r="W439" s="45">
        <v>100</v>
      </c>
      <c r="X439" s="46">
        <v>2.6</v>
      </c>
      <c r="Y439" s="9">
        <f>IF(AND(V439="DI",$W439=100),$X439/100,
IF(AND(V439="DI",$W439&lt;&gt;100,$X439=""),INDEX('Debs %CDI'!$Q:$Q,MATCH(Base!$C439,'Debs %CDI'!$A:$A,0)),
IF($V439="USD",INDEX(Bonds!$AF:$AF,MATCH(Base!$C439,Bonds!$B:$B,0)),
IF($V439="IPCA",INDEX('Debs IPCA'!$Z:$Z,MATCH(Base!$C439,'Debs IPCA'!$A:$A,0))))))</f>
        <v>2.6000000000000002E-2</v>
      </c>
      <c r="Z439" s="43">
        <v>252</v>
      </c>
      <c r="AA439" s="43" t="s">
        <v>30</v>
      </c>
      <c r="AB439" s="43" t="s">
        <v>32</v>
      </c>
      <c r="AC439">
        <f t="shared" si="130"/>
        <v>0</v>
      </c>
      <c r="AD439" s="43" t="s">
        <v>31</v>
      </c>
      <c r="AE439">
        <f t="shared" si="131"/>
        <v>1</v>
      </c>
      <c r="AF439" s="34" t="str" cm="1">
        <f t="array" ref="AF439">INDEX(Ratings!$B$2:$M$40,_xlfn.XMATCH(Base!F439,Ratings!$A$2:$A$40),_xlfn.XMATCH(YEAR(Base!K439),Ratings!$B$1:$M$1))</f>
        <v>BB+</v>
      </c>
      <c r="AG439">
        <f t="shared" si="124"/>
        <v>0</v>
      </c>
      <c r="AH439">
        <f>IFERROR(IFERROR(IFERROR(INDEX('EMBI+'!$B:$B,MATCH(Base!$K439,'EMBI+'!$A:$A,0)),INDEX('EMBI+'!$B:$B,MATCH(Base!$K439+1,'EMBI+'!$A:$A,0))),INDEX('EMBI+'!$B:$B,MATCH(Base!$K439+2,'EMBI+'!$A:$A,0))),INDEX('EMBI+'!$B:$B,MATCH(Base!$K439+3,'EMBI+'!$A:$A,0)))/100</f>
        <v>3.37</v>
      </c>
      <c r="AL439" s="43"/>
      <c r="AM439" s="28"/>
      <c r="AN439" s="28"/>
    </row>
    <row r="440" spans="1:40" x14ac:dyDescent="0.35">
      <c r="A440">
        <f t="shared" si="125"/>
        <v>438</v>
      </c>
      <c r="B440">
        <f>IF(G440="Bonds",COUNTIF($G$3:G440,"Bonds"),0)</f>
        <v>0</v>
      </c>
      <c r="C440" t="str">
        <f t="shared" si="136"/>
        <v>Rede D'or4295444050</v>
      </c>
      <c r="D440">
        <f t="shared" si="137"/>
        <v>32</v>
      </c>
      <c r="E440" s="43" t="s">
        <v>523</v>
      </c>
      <c r="F440" s="43" t="s">
        <v>524</v>
      </c>
      <c r="G440" s="43" t="s">
        <v>25</v>
      </c>
      <c r="H440">
        <f t="shared" si="127"/>
        <v>0</v>
      </c>
      <c r="I440" s="43" t="s">
        <v>531</v>
      </c>
      <c r="J440" s="34">
        <f t="shared" si="138"/>
        <v>7</v>
      </c>
      <c r="K440" s="28">
        <v>42954</v>
      </c>
      <c r="L440" s="28">
        <v>44050</v>
      </c>
      <c r="M440" s="60">
        <f t="shared" si="128"/>
        <v>3.0027397260273974</v>
      </c>
      <c r="N440" s="4">
        <f t="shared" si="129"/>
        <v>0</v>
      </c>
      <c r="O440" s="43" t="s">
        <v>44</v>
      </c>
      <c r="P440" t="str">
        <f t="shared" si="132"/>
        <v>0</v>
      </c>
      <c r="Q440" s="44">
        <v>80000</v>
      </c>
      <c r="R440" s="43">
        <v>10000</v>
      </c>
      <c r="S440" s="34" t="str">
        <f>IF($V440="USD",INDEX('Dólar Spot'!$B:$B,MATCH(Base!$K440,'Dólar Spot'!$A:$A,0)),"")</f>
        <v/>
      </c>
      <c r="T440" s="4">
        <f t="shared" si="135"/>
        <v>800000000</v>
      </c>
      <c r="U440" s="8">
        <f t="shared" si="133"/>
        <v>8</v>
      </c>
      <c r="V440" s="43" t="s">
        <v>41</v>
      </c>
      <c r="W440" s="45">
        <v>110</v>
      </c>
      <c r="X440" s="46"/>
      <c r="Y440" s="9">
        <f>IF(AND(V440="DI",$W440=100),$X440/100,
IF(AND(V440="DI",$W440&lt;&gt;100,$X440=""),INDEX('Debs %CDI'!$Q:$Q,MATCH(Base!$C440,'Debs %CDI'!$A:$A,0)),
IF($V440="USD",INDEX(Bonds!$AF:$AF,MATCH(Base!$C440,Bonds!$B:$B,0)),
IF($V440="IPCA",INDEX('Debs IPCA'!$Z:$Z,MATCH(Base!$C440,'Debs IPCA'!$A:$A,0))))))</f>
        <v>9.0285496807668147E-3</v>
      </c>
      <c r="Z440" s="43">
        <v>252</v>
      </c>
      <c r="AA440" s="43" t="s">
        <v>30</v>
      </c>
      <c r="AB440" s="43" t="s">
        <v>32</v>
      </c>
      <c r="AC440">
        <f t="shared" si="130"/>
        <v>0</v>
      </c>
      <c r="AD440" s="43" t="s">
        <v>31</v>
      </c>
      <c r="AE440">
        <f t="shared" si="131"/>
        <v>1</v>
      </c>
      <c r="AF440" s="34" t="str" cm="1">
        <f t="array" ref="AF440">INDEX(Ratings!$B$2:$M$40,_xlfn.XMATCH(Base!F440,Ratings!$A$2:$A$40),_xlfn.XMATCH(YEAR(Base!K440),Ratings!$B$1:$M$1))</f>
        <v>BB+</v>
      </c>
      <c r="AG440">
        <f t="shared" si="124"/>
        <v>0</v>
      </c>
      <c r="AH440">
        <f>IFERROR(IFERROR(IFERROR(INDEX('EMBI+'!$B:$B,MATCH(Base!$K440,'EMBI+'!$A:$A,0)),INDEX('EMBI+'!$B:$B,MATCH(Base!$K440+1,'EMBI+'!$A:$A,0))),INDEX('EMBI+'!$B:$B,MATCH(Base!$K440+2,'EMBI+'!$A:$A,0))),INDEX('EMBI+'!$B:$B,MATCH(Base!$K440+3,'EMBI+'!$A:$A,0)))/100</f>
        <v>2.63</v>
      </c>
      <c r="AL440" s="43"/>
      <c r="AM440" s="28"/>
      <c r="AN440" s="28"/>
    </row>
    <row r="441" spans="1:40" x14ac:dyDescent="0.35">
      <c r="A441">
        <f t="shared" si="125"/>
        <v>439</v>
      </c>
      <c r="B441">
        <f>IF(G441="Bonds",COUNTIF($G$3:G441,"Bonds"),0)</f>
        <v>0</v>
      </c>
      <c r="C441" t="str">
        <f t="shared" si="136"/>
        <v>Rede D'or4256344024</v>
      </c>
      <c r="D441">
        <f t="shared" si="137"/>
        <v>32</v>
      </c>
      <c r="E441" s="43" t="s">
        <v>523</v>
      </c>
      <c r="F441" s="43" t="s">
        <v>524</v>
      </c>
      <c r="G441" s="43" t="s">
        <v>25</v>
      </c>
      <c r="H441">
        <f t="shared" si="127"/>
        <v>0</v>
      </c>
      <c r="I441" s="43" t="s">
        <v>532</v>
      </c>
      <c r="J441" s="34">
        <f t="shared" si="138"/>
        <v>8</v>
      </c>
      <c r="K441" s="28">
        <v>42563</v>
      </c>
      <c r="L441" s="28">
        <v>44024</v>
      </c>
      <c r="M441" s="60">
        <f t="shared" si="128"/>
        <v>4.0027397260273974</v>
      </c>
      <c r="N441" s="4">
        <f t="shared" si="129"/>
        <v>0</v>
      </c>
      <c r="O441" s="43" t="s">
        <v>27</v>
      </c>
      <c r="P441" t="str">
        <f t="shared" si="132"/>
        <v>1</v>
      </c>
      <c r="Q441" s="44">
        <v>300000</v>
      </c>
      <c r="R441" s="43">
        <v>1000</v>
      </c>
      <c r="S441" s="34" t="str">
        <f>IF($V441="USD",INDEX('Dólar Spot'!$B:$B,MATCH(Base!$K441,'Dólar Spot'!$A:$A,0)),"")</f>
        <v/>
      </c>
      <c r="T441" s="4">
        <f t="shared" si="135"/>
        <v>300000000</v>
      </c>
      <c r="U441" s="8">
        <f t="shared" si="133"/>
        <v>3</v>
      </c>
      <c r="V441" s="43" t="s">
        <v>41</v>
      </c>
      <c r="W441" s="45">
        <v>100</v>
      </c>
      <c r="X441" s="46">
        <v>2</v>
      </c>
      <c r="Y441" s="9">
        <f>IF(AND(V441="DI",$W441=100),$X441/100,
IF(AND(V441="DI",$W441&lt;&gt;100,$X441=""),INDEX('Debs %CDI'!$Q:$Q,MATCH(Base!$C441,'Debs %CDI'!$A:$A,0)),
IF($V441="USD",INDEX(Bonds!$AF:$AF,MATCH(Base!$C441,Bonds!$B:$B,0)),
IF($V441="IPCA",INDEX('Debs IPCA'!$Z:$Z,MATCH(Base!$C441,'Debs IPCA'!$A:$A,0))))))</f>
        <v>0.02</v>
      </c>
      <c r="Z441" s="43">
        <v>252</v>
      </c>
      <c r="AA441" s="43" t="s">
        <v>30</v>
      </c>
      <c r="AB441" s="43" t="s">
        <v>32</v>
      </c>
      <c r="AC441">
        <f t="shared" si="130"/>
        <v>0</v>
      </c>
      <c r="AD441" s="43" t="s">
        <v>31</v>
      </c>
      <c r="AE441">
        <f t="shared" si="131"/>
        <v>1</v>
      </c>
      <c r="AF441" s="34" t="str" cm="1">
        <f t="array" ref="AF441">INDEX(Ratings!$B$2:$M$40,_xlfn.XMATCH(Base!F441,Ratings!$A$2:$A$40),_xlfn.XMATCH(YEAR(Base!K441),Ratings!$B$1:$M$1))</f>
        <v>BB+</v>
      </c>
      <c r="AG441">
        <f t="shared" si="124"/>
        <v>0</v>
      </c>
      <c r="AH441">
        <f>IFERROR(IFERROR(IFERROR(INDEX('EMBI+'!$B:$B,MATCH(Base!$K441,'EMBI+'!$A:$A,0)),INDEX('EMBI+'!$B:$B,MATCH(Base!$K441+1,'EMBI+'!$A:$A,0))),INDEX('EMBI+'!$B:$B,MATCH(Base!$K441+2,'EMBI+'!$A:$A,0))),INDEX('EMBI+'!$B:$B,MATCH(Base!$K441+3,'EMBI+'!$A:$A,0)))/100</f>
        <v>3.31</v>
      </c>
      <c r="AL441" s="43"/>
      <c r="AM441" s="28"/>
      <c r="AN441" s="28"/>
    </row>
    <row r="442" spans="1:40" x14ac:dyDescent="0.35">
      <c r="A442">
        <f t="shared" si="125"/>
        <v>440</v>
      </c>
      <c r="B442">
        <f>IF(G442="Bonds",COUNTIF($G$3:G442,"Bonds"),0)</f>
        <v>0</v>
      </c>
      <c r="C442" t="str">
        <f t="shared" si="136"/>
        <v>Rede D'or4295445511</v>
      </c>
      <c r="D442">
        <f t="shared" si="137"/>
        <v>32</v>
      </c>
      <c r="E442" s="43" t="s">
        <v>523</v>
      </c>
      <c r="F442" s="43" t="s">
        <v>524</v>
      </c>
      <c r="G442" s="43" t="s">
        <v>25</v>
      </c>
      <c r="H442">
        <f t="shared" si="127"/>
        <v>0</v>
      </c>
      <c r="I442" s="43" t="s">
        <v>533</v>
      </c>
      <c r="J442" s="34">
        <f t="shared" si="138"/>
        <v>9</v>
      </c>
      <c r="K442" s="28">
        <v>42954</v>
      </c>
      <c r="L442" s="28">
        <v>45511</v>
      </c>
      <c r="M442" s="60">
        <f t="shared" si="128"/>
        <v>7.0054794520547947</v>
      </c>
      <c r="N442" s="4">
        <f t="shared" si="129"/>
        <v>1</v>
      </c>
      <c r="O442" s="43" t="s">
        <v>44</v>
      </c>
      <c r="P442" t="str">
        <f t="shared" si="132"/>
        <v>0</v>
      </c>
      <c r="Q442" s="44">
        <v>60000</v>
      </c>
      <c r="R442" s="43">
        <v>10000</v>
      </c>
      <c r="S442" s="34" t="str">
        <f>IF($V442="USD",INDEX('Dólar Spot'!$B:$B,MATCH(Base!$K442,'Dólar Spot'!$A:$A,0)),"")</f>
        <v/>
      </c>
      <c r="T442" s="4">
        <f t="shared" si="135"/>
        <v>600000000</v>
      </c>
      <c r="U442" s="8">
        <f t="shared" si="133"/>
        <v>6</v>
      </c>
      <c r="V442" s="43" t="s">
        <v>41</v>
      </c>
      <c r="W442" s="45">
        <v>100</v>
      </c>
      <c r="X442" s="46">
        <v>1.75</v>
      </c>
      <c r="Y442" s="9">
        <f>IF(AND(V442="DI",$W442=100),$X442/100,
IF(AND(V442="DI",$W442&lt;&gt;100,$X442=""),INDEX('Debs %CDI'!$Q:$Q,MATCH(Base!$C442,'Debs %CDI'!$A:$A,0)),
IF($V442="USD",INDEX(Bonds!$AF:$AF,MATCH(Base!$C442,Bonds!$B:$B,0)),
IF($V442="IPCA",INDEX('Debs IPCA'!$Z:$Z,MATCH(Base!$C442,'Debs IPCA'!$A:$A,0))))))</f>
        <v>1.7500000000000002E-2</v>
      </c>
      <c r="Z442" s="43">
        <v>252</v>
      </c>
      <c r="AA442" s="43" t="s">
        <v>30</v>
      </c>
      <c r="AB442" s="43" t="s">
        <v>32</v>
      </c>
      <c r="AC442">
        <f t="shared" si="130"/>
        <v>0</v>
      </c>
      <c r="AD442" s="43" t="s">
        <v>31</v>
      </c>
      <c r="AE442">
        <f t="shared" si="131"/>
        <v>1</v>
      </c>
      <c r="AF442" s="34" t="str" cm="1">
        <f t="array" ref="AF442">INDEX(Ratings!$B$2:$M$40,_xlfn.XMATCH(Base!F442,Ratings!$A$2:$A$40),_xlfn.XMATCH(YEAR(Base!K442),Ratings!$B$1:$M$1))</f>
        <v>BB+</v>
      </c>
      <c r="AG442">
        <f t="shared" si="124"/>
        <v>0</v>
      </c>
      <c r="AH442">
        <f>IFERROR(IFERROR(IFERROR(INDEX('EMBI+'!$B:$B,MATCH(Base!$K442,'EMBI+'!$A:$A,0)),INDEX('EMBI+'!$B:$B,MATCH(Base!$K442+1,'EMBI+'!$A:$A,0))),INDEX('EMBI+'!$B:$B,MATCH(Base!$K442+2,'EMBI+'!$A:$A,0))),INDEX('EMBI+'!$B:$B,MATCH(Base!$K442+3,'EMBI+'!$A:$A,0)))/100</f>
        <v>2.63</v>
      </c>
      <c r="AL442" s="43"/>
      <c r="AM442" s="28"/>
      <c r="AN442" s="28"/>
    </row>
    <row r="443" spans="1:40" x14ac:dyDescent="0.35">
      <c r="A443">
        <f t="shared" si="125"/>
        <v>441</v>
      </c>
      <c r="B443">
        <f>IF(G443="Bonds",COUNTIF($G$3:G443,"Bonds"),0)</f>
        <v>0</v>
      </c>
      <c r="C443" t="str">
        <f t="shared" si="136"/>
        <v>Rede D'or4256344389</v>
      </c>
      <c r="D443">
        <f t="shared" si="137"/>
        <v>32</v>
      </c>
      <c r="E443" s="43" t="s">
        <v>523</v>
      </c>
      <c r="F443" s="43" t="s">
        <v>524</v>
      </c>
      <c r="G443" s="43" t="s">
        <v>25</v>
      </c>
      <c r="H443">
        <f t="shared" si="127"/>
        <v>0</v>
      </c>
      <c r="I443" s="43" t="s">
        <v>534</v>
      </c>
      <c r="J443" s="34">
        <f t="shared" si="138"/>
        <v>10</v>
      </c>
      <c r="K443" s="28">
        <v>42563</v>
      </c>
      <c r="L443" s="28">
        <v>44389</v>
      </c>
      <c r="M443" s="60">
        <f t="shared" si="128"/>
        <v>5.0027397260273974</v>
      </c>
      <c r="N443" s="4">
        <f t="shared" si="129"/>
        <v>1</v>
      </c>
      <c r="O443" s="43" t="s">
        <v>27</v>
      </c>
      <c r="P443" t="str">
        <f t="shared" si="132"/>
        <v>1</v>
      </c>
      <c r="Q443" s="44">
        <v>300000</v>
      </c>
      <c r="R443" s="43">
        <v>1000</v>
      </c>
      <c r="S443" s="34" t="str">
        <f>IF($V443="USD",INDEX('Dólar Spot'!$B:$B,MATCH(Base!$K443,'Dólar Spot'!$A:$A,0)),"")</f>
        <v/>
      </c>
      <c r="T443" s="4">
        <f t="shared" si="135"/>
        <v>300000000</v>
      </c>
      <c r="U443" s="8">
        <f t="shared" si="133"/>
        <v>3</v>
      </c>
      <c r="V443" s="43" t="s">
        <v>41</v>
      </c>
      <c r="W443" s="45">
        <v>100</v>
      </c>
      <c r="X443" s="46">
        <v>2.1</v>
      </c>
      <c r="Y443" s="9">
        <f>IF(AND(V443="DI",$W443=100),$X443/100,
IF(AND(V443="DI",$W443&lt;&gt;100,$X443=""),INDEX('Debs %CDI'!$Q:$Q,MATCH(Base!$C443,'Debs %CDI'!$A:$A,0)),
IF($V443="USD",INDEX(Bonds!$AF:$AF,MATCH(Base!$C443,Bonds!$B:$B,0)),
IF($V443="IPCA",INDEX('Debs IPCA'!$Z:$Z,MATCH(Base!$C443,'Debs IPCA'!$A:$A,0))))))</f>
        <v>2.1000000000000001E-2</v>
      </c>
      <c r="Z443" s="43">
        <v>252</v>
      </c>
      <c r="AA443" s="43" t="s">
        <v>30</v>
      </c>
      <c r="AB443" s="43" t="s">
        <v>32</v>
      </c>
      <c r="AC443">
        <f t="shared" si="130"/>
        <v>0</v>
      </c>
      <c r="AD443" s="43" t="s">
        <v>31</v>
      </c>
      <c r="AE443">
        <f t="shared" si="131"/>
        <v>1</v>
      </c>
      <c r="AF443" s="34" t="str" cm="1">
        <f t="array" ref="AF443">INDEX(Ratings!$B$2:$M$40,_xlfn.XMATCH(Base!F443,Ratings!$A$2:$A$40),_xlfn.XMATCH(YEAR(Base!K443),Ratings!$B$1:$M$1))</f>
        <v>BB+</v>
      </c>
      <c r="AG443">
        <f t="shared" si="124"/>
        <v>0</v>
      </c>
      <c r="AH443">
        <f>IFERROR(IFERROR(IFERROR(INDEX('EMBI+'!$B:$B,MATCH(Base!$K443,'EMBI+'!$A:$A,0)),INDEX('EMBI+'!$B:$B,MATCH(Base!$K443+1,'EMBI+'!$A:$A,0))),INDEX('EMBI+'!$B:$B,MATCH(Base!$K443+2,'EMBI+'!$A:$A,0))),INDEX('EMBI+'!$B:$B,MATCH(Base!$K443+3,'EMBI+'!$A:$A,0)))/100</f>
        <v>3.31</v>
      </c>
      <c r="AL443" s="43"/>
      <c r="AM443" s="28"/>
      <c r="AN443" s="28"/>
    </row>
    <row r="444" spans="1:40" x14ac:dyDescent="0.35">
      <c r="A444">
        <f t="shared" si="125"/>
        <v>442</v>
      </c>
      <c r="B444">
        <f>IF(G444="Bonds",COUNTIF($G$3:G444,"Bonds"),0)</f>
        <v>0</v>
      </c>
      <c r="C444" t="str">
        <f t="shared" si="136"/>
        <v>Rede D'or4335345545</v>
      </c>
      <c r="D444">
        <f t="shared" si="137"/>
        <v>32</v>
      </c>
      <c r="E444" s="43" t="s">
        <v>523</v>
      </c>
      <c r="F444" s="43" t="s">
        <v>524</v>
      </c>
      <c r="G444" s="43" t="s">
        <v>25</v>
      </c>
      <c r="H444">
        <f t="shared" si="127"/>
        <v>0</v>
      </c>
      <c r="I444" s="43" t="s">
        <v>535</v>
      </c>
      <c r="J444" s="34">
        <f t="shared" si="138"/>
        <v>11</v>
      </c>
      <c r="K444" s="28">
        <v>43353</v>
      </c>
      <c r="L444" s="28">
        <v>45545</v>
      </c>
      <c r="M444" s="60">
        <f t="shared" si="128"/>
        <v>6.0054794520547947</v>
      </c>
      <c r="N444" s="4">
        <f t="shared" si="129"/>
        <v>1</v>
      </c>
      <c r="O444" s="43" t="s">
        <v>44</v>
      </c>
      <c r="P444" t="str">
        <f t="shared" si="132"/>
        <v>0</v>
      </c>
      <c r="Q444" s="44">
        <v>1400000000</v>
      </c>
      <c r="R444" s="43">
        <v>1</v>
      </c>
      <c r="S444" s="34" t="str">
        <f>IF($V444="USD",INDEX('Dólar Spot'!$B:$B,MATCH(Base!$K444,'Dólar Spot'!$A:$A,0)),"")</f>
        <v/>
      </c>
      <c r="T444" s="4">
        <f t="shared" si="135"/>
        <v>1400000000</v>
      </c>
      <c r="U444" s="8">
        <f t="shared" si="133"/>
        <v>14</v>
      </c>
      <c r="V444" s="43" t="s">
        <v>41</v>
      </c>
      <c r="W444" s="45">
        <v>100</v>
      </c>
      <c r="X444" s="46">
        <v>1.02</v>
      </c>
      <c r="Y444" s="9">
        <f>IF(AND(V444="DI",$W444=100),$X444/100,
IF(AND(V444="DI",$W444&lt;&gt;100,$X444=""),INDEX('Debs %CDI'!$Q:$Q,MATCH(Base!$C444,'Debs %CDI'!$A:$A,0)),
IF($V444="USD",INDEX(Bonds!$AF:$AF,MATCH(Base!$C444,Bonds!$B:$B,0)),
IF($V444="IPCA",INDEX('Debs IPCA'!$Z:$Z,MATCH(Base!$C444,'Debs IPCA'!$A:$A,0))))))</f>
        <v>1.0200000000000001E-2</v>
      </c>
      <c r="Z444" s="43">
        <v>252</v>
      </c>
      <c r="AA444" s="43" t="s">
        <v>30</v>
      </c>
      <c r="AB444" s="43" t="s">
        <v>32</v>
      </c>
      <c r="AC444">
        <f t="shared" si="130"/>
        <v>0</v>
      </c>
      <c r="AD444" s="43" t="s">
        <v>31</v>
      </c>
      <c r="AE444">
        <f t="shared" si="131"/>
        <v>1</v>
      </c>
      <c r="AF444" s="34" t="str" cm="1">
        <f t="array" ref="AF444">INDEX(Ratings!$B$2:$M$40,_xlfn.XMATCH(Base!F444,Ratings!$A$2:$A$40),_xlfn.XMATCH(YEAR(Base!K444),Ratings!$B$1:$M$1))</f>
        <v>BB</v>
      </c>
      <c r="AG444">
        <f t="shared" si="124"/>
        <v>0</v>
      </c>
      <c r="AH444">
        <f>IFERROR(IFERROR(IFERROR(INDEX('EMBI+'!$B:$B,MATCH(Base!$K444,'EMBI+'!$A:$A,0)),INDEX('EMBI+'!$B:$B,MATCH(Base!$K444+1,'EMBI+'!$A:$A,0))),INDEX('EMBI+'!$B:$B,MATCH(Base!$K444+2,'EMBI+'!$A:$A,0))),INDEX('EMBI+'!$B:$B,MATCH(Base!$K444+3,'EMBI+'!$A:$A,0)))/100</f>
        <v>3.29</v>
      </c>
      <c r="AL444" s="43"/>
      <c r="AM444" s="28"/>
      <c r="AN444" s="28"/>
    </row>
    <row r="445" spans="1:40" x14ac:dyDescent="0.35">
      <c r="A445">
        <f t="shared" si="125"/>
        <v>443</v>
      </c>
      <c r="B445">
        <f>IF(G445="Bonds",COUNTIF($G$3:G445,"Bonds"),0)</f>
        <v>0</v>
      </c>
      <c r="C445" t="str">
        <f t="shared" si="136"/>
        <v>Rede D'or4339746319</v>
      </c>
      <c r="D445">
        <f t="shared" si="137"/>
        <v>32</v>
      </c>
      <c r="E445" s="43" t="s">
        <v>523</v>
      </c>
      <c r="F445" s="43" t="s">
        <v>524</v>
      </c>
      <c r="G445" s="43" t="s">
        <v>25</v>
      </c>
      <c r="H445">
        <f t="shared" si="127"/>
        <v>0</v>
      </c>
      <c r="I445" s="43" t="s">
        <v>536</v>
      </c>
      <c r="J445" s="34">
        <f t="shared" si="138"/>
        <v>12</v>
      </c>
      <c r="K445" s="28">
        <v>43397</v>
      </c>
      <c r="L445" s="28">
        <v>46319</v>
      </c>
      <c r="M445" s="60">
        <f t="shared" si="128"/>
        <v>8.0054794520547947</v>
      </c>
      <c r="N445" s="4">
        <f t="shared" si="129"/>
        <v>1</v>
      </c>
      <c r="O445" s="43" t="s">
        <v>27</v>
      </c>
      <c r="P445" t="str">
        <f t="shared" si="132"/>
        <v>1</v>
      </c>
      <c r="Q445" s="44">
        <v>500000</v>
      </c>
      <c r="R445" s="43">
        <v>1000</v>
      </c>
      <c r="S445" s="34" t="str">
        <f>IF($V445="USD",INDEX('Dólar Spot'!$B:$B,MATCH(Base!$K445,'Dólar Spot'!$A:$A,0)),"")</f>
        <v/>
      </c>
      <c r="T445" s="4">
        <f t="shared" si="135"/>
        <v>500000000</v>
      </c>
      <c r="U445" s="8">
        <f t="shared" si="133"/>
        <v>5</v>
      </c>
      <c r="V445" s="43" t="s">
        <v>41</v>
      </c>
      <c r="W445" s="45">
        <v>106</v>
      </c>
      <c r="X445" s="46"/>
      <c r="Y445" s="9">
        <f>IF(AND(V445="DI",$W445=100),$X445/100,
IF(AND(V445="DI",$W445&lt;&gt;100,$X445=""),INDEX('Debs %CDI'!$Q:$Q,MATCH(Base!$C445,'Debs %CDI'!$A:$A,0)),
IF($V445="USD",INDEX(Bonds!$AF:$AF,MATCH(Base!$C445,Bonds!$B:$B,0)),
IF($V445="IPCA",INDEX('Debs IPCA'!$Z:$Z,MATCH(Base!$C445,'Debs IPCA'!$A:$A,0))))))</f>
        <v>6.2943663344020183E-3</v>
      </c>
      <c r="Z445" s="43">
        <v>252</v>
      </c>
      <c r="AA445" s="43" t="s">
        <v>30</v>
      </c>
      <c r="AB445" s="43" t="s">
        <v>32</v>
      </c>
      <c r="AC445">
        <f t="shared" si="130"/>
        <v>0</v>
      </c>
      <c r="AD445" s="43" t="s">
        <v>31</v>
      </c>
      <c r="AE445">
        <f t="shared" si="131"/>
        <v>1</v>
      </c>
      <c r="AF445" s="34" t="str" cm="1">
        <f t="array" ref="AF445">INDEX(Ratings!$B$2:$M$40,_xlfn.XMATCH(Base!F445,Ratings!$A$2:$A$40),_xlfn.XMATCH(YEAR(Base!K445),Ratings!$B$1:$M$1))</f>
        <v>BB</v>
      </c>
      <c r="AG445">
        <f t="shared" si="124"/>
        <v>0</v>
      </c>
      <c r="AH445">
        <f>IFERROR(IFERROR(IFERROR(INDEX('EMBI+'!$B:$B,MATCH(Base!$K445,'EMBI+'!$A:$A,0)),INDEX('EMBI+'!$B:$B,MATCH(Base!$K445+1,'EMBI+'!$A:$A,0))),INDEX('EMBI+'!$B:$B,MATCH(Base!$K445+2,'EMBI+'!$A:$A,0))),INDEX('EMBI+'!$B:$B,MATCH(Base!$K445+3,'EMBI+'!$A:$A,0)))/100</f>
        <v>2.69</v>
      </c>
      <c r="AL445" s="43"/>
      <c r="AM445" s="28"/>
      <c r="AN445" s="28"/>
    </row>
    <row r="446" spans="1:40" x14ac:dyDescent="0.35">
      <c r="A446">
        <f t="shared" si="125"/>
        <v>444</v>
      </c>
      <c r="B446">
        <f>IF(G446="Bonds",COUNTIF($G$3:G446,"Bonds"),0)</f>
        <v>0</v>
      </c>
      <c r="C446" t="str">
        <f t="shared" si="136"/>
        <v>Rede D'or4088943444</v>
      </c>
      <c r="D446">
        <f t="shared" si="137"/>
        <v>32</v>
      </c>
      <c r="E446" s="43" t="s">
        <v>523</v>
      </c>
      <c r="F446" s="43" t="s">
        <v>524</v>
      </c>
      <c r="G446" s="43" t="s">
        <v>25</v>
      </c>
      <c r="H446">
        <f t="shared" si="127"/>
        <v>0</v>
      </c>
      <c r="I446" s="43" t="s">
        <v>537</v>
      </c>
      <c r="J446" s="34">
        <f t="shared" si="138"/>
        <v>13</v>
      </c>
      <c r="K446" s="28">
        <v>40889</v>
      </c>
      <c r="L446" s="28">
        <v>43444</v>
      </c>
      <c r="M446" s="60">
        <f t="shared" si="128"/>
        <v>7</v>
      </c>
      <c r="N446" s="4">
        <f t="shared" si="129"/>
        <v>1</v>
      </c>
      <c r="O446" s="43" t="s">
        <v>27</v>
      </c>
      <c r="P446" t="str">
        <f t="shared" si="132"/>
        <v>1</v>
      </c>
      <c r="Q446" s="44">
        <v>100</v>
      </c>
      <c r="R446" s="43">
        <v>1000000</v>
      </c>
      <c r="S446" s="34" t="str">
        <f>IF($V446="USD",INDEX('Dólar Spot'!$B:$B,MATCH(Base!$K446,'Dólar Spot'!$A:$A,0)),"")</f>
        <v/>
      </c>
      <c r="T446" s="4">
        <f t="shared" si="135"/>
        <v>100000000</v>
      </c>
      <c r="U446" s="8">
        <f t="shared" si="133"/>
        <v>1</v>
      </c>
      <c r="V446" s="43" t="s">
        <v>41</v>
      </c>
      <c r="W446" s="45">
        <v>100</v>
      </c>
      <c r="X446" s="46">
        <v>2.2000000000000002</v>
      </c>
      <c r="Y446" s="9">
        <f>IF(AND(V446="DI",$W446=100),$X446/100,
IF(AND(V446="DI",$W446&lt;&gt;100,$X446=""),INDEX('Debs %CDI'!$Q:$Q,MATCH(Base!$C446,'Debs %CDI'!$A:$A,0)),
IF($V446="USD",INDEX(Bonds!$AF:$AF,MATCH(Base!$C446,Bonds!$B:$B,0)),
IF($V446="IPCA",INDEX('Debs IPCA'!$Z:$Z,MATCH(Base!$C446,'Debs IPCA'!$A:$A,0))))))</f>
        <v>2.2000000000000002E-2</v>
      </c>
      <c r="Z446" s="43">
        <v>252</v>
      </c>
      <c r="AA446" s="43" t="s">
        <v>30</v>
      </c>
      <c r="AB446" s="43" t="s">
        <v>32</v>
      </c>
      <c r="AC446">
        <f t="shared" si="130"/>
        <v>0</v>
      </c>
      <c r="AD446" s="43" t="s">
        <v>31</v>
      </c>
      <c r="AE446">
        <f t="shared" si="131"/>
        <v>1</v>
      </c>
      <c r="AF446" s="34" t="str" cm="1">
        <f t="array" ref="AF446">INDEX(Ratings!$B$2:$M$40,_xlfn.XMATCH(Base!F446,Ratings!$A$2:$A$40),_xlfn.XMATCH(YEAR(Base!K446),Ratings!$B$1:$M$1))</f>
        <v>NR</v>
      </c>
      <c r="AG446">
        <f t="shared" si="124"/>
        <v>0</v>
      </c>
      <c r="AH446">
        <f>IFERROR(IFERROR(IFERROR(INDEX('EMBI+'!$B:$B,MATCH(Base!$K446,'EMBI+'!$A:$A,0)),INDEX('EMBI+'!$B:$B,MATCH(Base!$K446+1,'EMBI+'!$A:$A,0))),INDEX('EMBI+'!$B:$B,MATCH(Base!$K446+2,'EMBI+'!$A:$A,0))),INDEX('EMBI+'!$B:$B,MATCH(Base!$K446+3,'EMBI+'!$A:$A,0)))/100</f>
        <v>2.11</v>
      </c>
      <c r="AL446" s="43"/>
      <c r="AM446" s="28"/>
      <c r="AN446" s="28"/>
    </row>
    <row r="447" spans="1:40" x14ac:dyDescent="0.35">
      <c r="A447">
        <f t="shared" si="125"/>
        <v>445</v>
      </c>
      <c r="B447">
        <f>IF(G447="Bonds",COUNTIF($G$3:G447,"Bonds"),0)</f>
        <v>0</v>
      </c>
      <c r="C447" t="str">
        <f t="shared" si="136"/>
        <v>Rede D'or4088744175</v>
      </c>
      <c r="D447">
        <f t="shared" si="137"/>
        <v>32</v>
      </c>
      <c r="E447" s="43" t="s">
        <v>523</v>
      </c>
      <c r="F447" s="43" t="s">
        <v>524</v>
      </c>
      <c r="G447" s="43" t="s">
        <v>25</v>
      </c>
      <c r="H447">
        <f t="shared" si="127"/>
        <v>0</v>
      </c>
      <c r="I447" s="43" t="s">
        <v>538</v>
      </c>
      <c r="J447" s="34">
        <f t="shared" si="138"/>
        <v>14</v>
      </c>
      <c r="K447" s="28">
        <v>40887</v>
      </c>
      <c r="L447" s="28">
        <v>44175</v>
      </c>
      <c r="M447" s="60">
        <f t="shared" si="128"/>
        <v>9.0082191780821912</v>
      </c>
      <c r="N447" s="4">
        <f t="shared" si="129"/>
        <v>1</v>
      </c>
      <c r="O447" s="43" t="s">
        <v>58</v>
      </c>
      <c r="P447" t="str">
        <f t="shared" si="132"/>
        <v>1</v>
      </c>
      <c r="Q447" s="44">
        <v>65000</v>
      </c>
      <c r="R447" s="43">
        <v>10000</v>
      </c>
      <c r="S447" s="34" t="str">
        <f>IF($V447="USD",INDEX('Dólar Spot'!$B:$B,MATCH(Base!$K447,'Dólar Spot'!$A:$A,0)),"")</f>
        <v/>
      </c>
      <c r="T447" s="4">
        <f t="shared" si="135"/>
        <v>650000000</v>
      </c>
      <c r="U447" s="8">
        <f t="shared" si="133"/>
        <v>6.5</v>
      </c>
      <c r="V447" s="43" t="s">
        <v>41</v>
      </c>
      <c r="W447" s="45">
        <v>100</v>
      </c>
      <c r="X447" s="46">
        <v>2.2999999999999998</v>
      </c>
      <c r="Y447" s="9">
        <f>IF(AND(V447="DI",$W447=100),$X447/100,
IF(AND(V447="DI",$W447&lt;&gt;100,$X447=""),INDEX('Debs %CDI'!$Q:$Q,MATCH(Base!$C447,'Debs %CDI'!$A:$A,0)),
IF($V447="USD",INDEX(Bonds!$AF:$AF,MATCH(Base!$C447,Bonds!$B:$B,0)),
IF($V447="IPCA",INDEX('Debs IPCA'!$Z:$Z,MATCH(Base!$C447,'Debs IPCA'!$A:$A,0))))))</f>
        <v>2.3E-2</v>
      </c>
      <c r="Z447" s="43">
        <v>252</v>
      </c>
      <c r="AA447" s="43" t="s">
        <v>30</v>
      </c>
      <c r="AB447" s="43" t="s">
        <v>32</v>
      </c>
      <c r="AC447">
        <f t="shared" si="130"/>
        <v>0</v>
      </c>
      <c r="AD447" s="43" t="s">
        <v>31</v>
      </c>
      <c r="AE447">
        <f t="shared" si="131"/>
        <v>1</v>
      </c>
      <c r="AF447" s="34" t="str" cm="1">
        <f t="array" ref="AF447">INDEX(Ratings!$B$2:$M$40,_xlfn.XMATCH(Base!F447,Ratings!$A$2:$A$40),_xlfn.XMATCH(YEAR(Base!K447),Ratings!$B$1:$M$1))</f>
        <v>NR</v>
      </c>
      <c r="AG447">
        <f t="shared" si="124"/>
        <v>0</v>
      </c>
      <c r="AH447">
        <f>IFERROR(IFERROR(IFERROR(INDEX('EMBI+'!$B:$B,MATCH(Base!$K447,'EMBI+'!$A:$A,0)),INDEX('EMBI+'!$B:$B,MATCH(Base!$K447+1,'EMBI+'!$A:$A,0))),INDEX('EMBI+'!$B:$B,MATCH(Base!$K447+2,'EMBI+'!$A:$A,0))),INDEX('EMBI+'!$B:$B,MATCH(Base!$K447+3,'EMBI+'!$A:$A,0)))/100</f>
        <v>2.11</v>
      </c>
      <c r="AL447" s="43"/>
      <c r="AM447" s="28"/>
      <c r="AN447" s="28"/>
    </row>
    <row r="448" spans="1:40" x14ac:dyDescent="0.35">
      <c r="A448">
        <f t="shared" si="125"/>
        <v>446</v>
      </c>
      <c r="B448">
        <f>IF(G448="Bonds",COUNTIF($G$3:G448,"Bonds"),0)</f>
        <v>0</v>
      </c>
      <c r="C448" t="str">
        <f t="shared" si="136"/>
        <v>Rede D'or4113144418</v>
      </c>
      <c r="D448">
        <f t="shared" si="137"/>
        <v>32</v>
      </c>
      <c r="E448" s="43" t="s">
        <v>523</v>
      </c>
      <c r="F448" s="43" t="s">
        <v>524</v>
      </c>
      <c r="G448" s="43" t="s">
        <v>25</v>
      </c>
      <c r="H448">
        <f t="shared" si="127"/>
        <v>0</v>
      </c>
      <c r="I448" s="43" t="s">
        <v>539</v>
      </c>
      <c r="J448" s="34">
        <f t="shared" si="138"/>
        <v>15</v>
      </c>
      <c r="K448" s="28">
        <v>41131</v>
      </c>
      <c r="L448" s="28">
        <v>44418</v>
      </c>
      <c r="M448" s="60">
        <f t="shared" si="128"/>
        <v>9.0054794520547947</v>
      </c>
      <c r="N448" s="4">
        <f t="shared" si="129"/>
        <v>1</v>
      </c>
      <c r="O448" s="43" t="s">
        <v>27</v>
      </c>
      <c r="P448" t="str">
        <f t="shared" si="132"/>
        <v>1</v>
      </c>
      <c r="Q448" s="44">
        <v>80000</v>
      </c>
      <c r="R448" s="43">
        <v>10000</v>
      </c>
      <c r="S448" s="34" t="str">
        <f>IF($V448="USD",INDEX('Dólar Spot'!$B:$B,MATCH(Base!$K448,'Dólar Spot'!$A:$A,0)),"")</f>
        <v/>
      </c>
      <c r="T448" s="4">
        <f t="shared" si="135"/>
        <v>800000000</v>
      </c>
      <c r="U448" s="8">
        <f t="shared" si="133"/>
        <v>8</v>
      </c>
      <c r="V448" s="43" t="s">
        <v>41</v>
      </c>
      <c r="W448" s="45">
        <v>100</v>
      </c>
      <c r="X448" s="46">
        <v>2.4</v>
      </c>
      <c r="Y448" s="9">
        <f>IF(AND(V448="DI",$W448=100),$X448/100,
IF(AND(V448="DI",$W448&lt;&gt;100,$X448=""),INDEX('Debs %CDI'!$Q:$Q,MATCH(Base!$C448,'Debs %CDI'!$A:$A,0)),
IF($V448="USD",INDEX(Bonds!$AF:$AF,MATCH(Base!$C448,Bonds!$B:$B,0)),
IF($V448="IPCA",INDEX('Debs IPCA'!$Z:$Z,MATCH(Base!$C448,'Debs IPCA'!$A:$A,0))))))</f>
        <v>2.4E-2</v>
      </c>
      <c r="Z448" s="43">
        <v>252</v>
      </c>
      <c r="AA448" s="43" t="s">
        <v>30</v>
      </c>
      <c r="AB448" s="43" t="s">
        <v>32</v>
      </c>
      <c r="AC448">
        <f t="shared" si="130"/>
        <v>0</v>
      </c>
      <c r="AD448" s="43" t="s">
        <v>31</v>
      </c>
      <c r="AE448">
        <f t="shared" si="131"/>
        <v>1</v>
      </c>
      <c r="AF448" s="34" t="str" cm="1">
        <f t="array" ref="AF448">INDEX(Ratings!$B$2:$M$40,_xlfn.XMATCH(Base!F448,Ratings!$A$2:$A$40),_xlfn.XMATCH(YEAR(Base!K448),Ratings!$B$1:$M$1))</f>
        <v>NR</v>
      </c>
      <c r="AG448">
        <f t="shared" si="124"/>
        <v>0</v>
      </c>
      <c r="AH448">
        <f>IFERROR(IFERROR(IFERROR(INDEX('EMBI+'!$B:$B,MATCH(Base!$K448,'EMBI+'!$A:$A,0)),INDEX('EMBI+'!$B:$B,MATCH(Base!$K448+1,'EMBI+'!$A:$A,0))),INDEX('EMBI+'!$B:$B,MATCH(Base!$K448+2,'EMBI+'!$A:$A,0))),INDEX('EMBI+'!$B:$B,MATCH(Base!$K448+3,'EMBI+'!$A:$A,0)))/100</f>
        <v>1.69</v>
      </c>
      <c r="AL448" s="43"/>
      <c r="AM448" s="28"/>
      <c r="AN448" s="28"/>
    </row>
    <row r="449" spans="1:40" x14ac:dyDescent="0.35">
      <c r="A449">
        <f t="shared" si="125"/>
        <v>447</v>
      </c>
      <c r="B449">
        <f>IF(G449="Bonds",COUNTIF($G$3:G449,"Bonds"),0)</f>
        <v>0</v>
      </c>
      <c r="C449" t="str">
        <f t="shared" si="136"/>
        <v>Rede D'or4363646376</v>
      </c>
      <c r="D449">
        <f t="shared" si="137"/>
        <v>32</v>
      </c>
      <c r="E449" s="43" t="s">
        <v>523</v>
      </c>
      <c r="F449" s="43" t="s">
        <v>524</v>
      </c>
      <c r="G449" s="43" t="s">
        <v>25</v>
      </c>
      <c r="H449">
        <f t="shared" si="127"/>
        <v>0</v>
      </c>
      <c r="I449" s="43" t="s">
        <v>540</v>
      </c>
      <c r="J449" s="34">
        <f t="shared" si="138"/>
        <v>16</v>
      </c>
      <c r="K449" s="28">
        <v>43636</v>
      </c>
      <c r="L449" s="28">
        <v>46376</v>
      </c>
      <c r="M449" s="60">
        <f t="shared" si="128"/>
        <v>7.506849315068493</v>
      </c>
      <c r="N449" s="4">
        <f t="shared" si="129"/>
        <v>1</v>
      </c>
      <c r="O449" s="43" t="s">
        <v>44</v>
      </c>
      <c r="P449" t="str">
        <f t="shared" si="132"/>
        <v>0</v>
      </c>
      <c r="Q449" s="44">
        <v>2500000</v>
      </c>
      <c r="R449" s="43">
        <v>1000</v>
      </c>
      <c r="S449" s="34" t="str">
        <f>IF($V449="USD",INDEX('Dólar Spot'!$B:$B,MATCH(Base!$K449,'Dólar Spot'!$A:$A,0)),"")</f>
        <v/>
      </c>
      <c r="T449" s="4">
        <f t="shared" si="135"/>
        <v>2500000000</v>
      </c>
      <c r="U449" s="8">
        <f t="shared" si="133"/>
        <v>25</v>
      </c>
      <c r="V449" s="43" t="s">
        <v>41</v>
      </c>
      <c r="W449" s="45">
        <v>100</v>
      </c>
      <c r="X449" s="46">
        <v>1.25</v>
      </c>
      <c r="Y449" s="9">
        <f>IF(AND(V449="DI",$W449=100),$X449/100,
IF(AND(V449="DI",$W449&lt;&gt;100,$X449=""),INDEX('Debs %CDI'!$Q:$Q,MATCH(Base!$C449,'Debs %CDI'!$A:$A,0)),
IF($V449="USD",INDEX(Bonds!$AF:$AF,MATCH(Base!$C449,Bonds!$B:$B,0)),
IF($V449="IPCA",INDEX('Debs IPCA'!$Z:$Z,MATCH(Base!$C449,'Debs IPCA'!$A:$A,0))))))</f>
        <v>1.2500000000000001E-2</v>
      </c>
      <c r="Z449" s="43">
        <v>252</v>
      </c>
      <c r="AA449" s="43" t="s">
        <v>30</v>
      </c>
      <c r="AB449" s="43" t="s">
        <v>32</v>
      </c>
      <c r="AC449">
        <f t="shared" si="130"/>
        <v>0</v>
      </c>
      <c r="AD449" s="43" t="s">
        <v>31</v>
      </c>
      <c r="AE449">
        <f t="shared" si="131"/>
        <v>1</v>
      </c>
      <c r="AF449" s="34" t="str" cm="1">
        <f t="array" ref="AF449">INDEX(Ratings!$B$2:$M$40,_xlfn.XMATCH(Base!F449,Ratings!$A$2:$A$40),_xlfn.XMATCH(YEAR(Base!K449),Ratings!$B$1:$M$1))</f>
        <v>BB</v>
      </c>
      <c r="AG449">
        <f t="shared" si="124"/>
        <v>0</v>
      </c>
      <c r="AH449">
        <f>IFERROR(IFERROR(IFERROR(INDEX('EMBI+'!$B:$B,MATCH(Base!$K449,'EMBI+'!$A:$A,0)),INDEX('EMBI+'!$B:$B,MATCH(Base!$K449+1,'EMBI+'!$A:$A,0))),INDEX('EMBI+'!$B:$B,MATCH(Base!$K449+2,'EMBI+'!$A:$A,0))),INDEX('EMBI+'!$B:$B,MATCH(Base!$K449+3,'EMBI+'!$A:$A,0)))/100</f>
        <v>2.37</v>
      </c>
      <c r="AL449" s="43"/>
      <c r="AM449" s="28"/>
      <c r="AN449" s="28"/>
    </row>
    <row r="450" spans="1:40" x14ac:dyDescent="0.35">
      <c r="A450">
        <f t="shared" si="125"/>
        <v>448</v>
      </c>
      <c r="B450">
        <f>IF(G450="Bonds",COUNTIF($G$3:G450,"Bonds"),0)</f>
        <v>0</v>
      </c>
      <c r="C450" t="str">
        <f t="shared" si="136"/>
        <v>Rede D'or4399948080</v>
      </c>
      <c r="D450">
        <f t="shared" si="137"/>
        <v>32</v>
      </c>
      <c r="E450" s="43" t="s">
        <v>523</v>
      </c>
      <c r="F450" s="43" t="s">
        <v>524</v>
      </c>
      <c r="G450" s="43" t="s">
        <v>25</v>
      </c>
      <c r="H450">
        <f t="shared" si="127"/>
        <v>0</v>
      </c>
      <c r="I450" s="43" t="s">
        <v>541</v>
      </c>
      <c r="J450" s="34">
        <f t="shared" si="138"/>
        <v>17</v>
      </c>
      <c r="K450" s="28">
        <v>43999</v>
      </c>
      <c r="L450" s="28">
        <v>48080</v>
      </c>
      <c r="M450" s="60">
        <f t="shared" si="128"/>
        <v>11.180821917808219</v>
      </c>
      <c r="N450" s="4">
        <f t="shared" si="129"/>
        <v>1</v>
      </c>
      <c r="O450" s="43" t="s">
        <v>44</v>
      </c>
      <c r="P450" t="str">
        <f t="shared" si="132"/>
        <v>0</v>
      </c>
      <c r="Q450" s="44">
        <v>2500000</v>
      </c>
      <c r="R450" s="43">
        <v>1000</v>
      </c>
      <c r="S450" s="34" t="str">
        <f>IF($V450="USD",INDEX('Dólar Spot'!$B:$B,MATCH(Base!$K450,'Dólar Spot'!$A:$A,0)),"")</f>
        <v/>
      </c>
      <c r="T450" s="4">
        <f t="shared" si="135"/>
        <v>2500000000</v>
      </c>
      <c r="U450" s="8">
        <f t="shared" si="133"/>
        <v>25</v>
      </c>
      <c r="V450" s="43" t="s">
        <v>41</v>
      </c>
      <c r="W450" s="45">
        <v>100</v>
      </c>
      <c r="X450" s="46">
        <v>1.9</v>
      </c>
      <c r="Y450" s="9">
        <f>IF(AND(V450="DI",$W450=100),$X450/100,
IF(AND(V450="DI",$W450&lt;&gt;100,$X450=""),INDEX('Debs %CDI'!$Q:$Q,MATCH(Base!$C450,'Debs %CDI'!$A:$A,0)),
IF($V450="USD",INDEX(Bonds!$AF:$AF,MATCH(Base!$C450,Bonds!$B:$B,0)),
IF($V450="IPCA",INDEX('Debs IPCA'!$Z:$Z,MATCH(Base!$C450,'Debs IPCA'!$A:$A,0))))))</f>
        <v>1.9E-2</v>
      </c>
      <c r="Z450" s="43">
        <v>252</v>
      </c>
      <c r="AA450" s="43" t="s">
        <v>30</v>
      </c>
      <c r="AB450" s="43" t="s">
        <v>32</v>
      </c>
      <c r="AC450">
        <f t="shared" si="130"/>
        <v>0</v>
      </c>
      <c r="AD450" s="43" t="s">
        <v>31</v>
      </c>
      <c r="AE450">
        <f t="shared" si="131"/>
        <v>1</v>
      </c>
      <c r="AF450" s="34" t="str" cm="1">
        <f t="array" ref="AF450">INDEX(Ratings!$B$2:$M$40,_xlfn.XMATCH(Base!F450,Ratings!$A$2:$A$40),_xlfn.XMATCH(YEAR(Base!K450),Ratings!$B$1:$M$1))</f>
        <v>BB</v>
      </c>
      <c r="AG450">
        <f t="shared" si="124"/>
        <v>0</v>
      </c>
      <c r="AH450">
        <f>IFERROR(IFERROR(IFERROR(INDEX('EMBI+'!$B:$B,MATCH(Base!$K450,'EMBI+'!$A:$A,0)),INDEX('EMBI+'!$B:$B,MATCH(Base!$K450+1,'EMBI+'!$A:$A,0))),INDEX('EMBI+'!$B:$B,MATCH(Base!$K450+2,'EMBI+'!$A:$A,0))),INDEX('EMBI+'!$B:$B,MATCH(Base!$K450+3,'EMBI+'!$A:$A,0)))/100</f>
        <v>3.74</v>
      </c>
      <c r="AL450" s="43"/>
      <c r="AM450" s="28"/>
      <c r="AN450" s="28"/>
    </row>
    <row r="451" spans="1:40" x14ac:dyDescent="0.35">
      <c r="A451">
        <f t="shared" si="125"/>
        <v>449</v>
      </c>
      <c r="B451">
        <f>IF(G451="Bonds",COUNTIF($G$3:G451,"Bonds"),0)</f>
        <v>0</v>
      </c>
      <c r="C451" t="str">
        <f t="shared" si="136"/>
        <v>Rede D'or4363647289</v>
      </c>
      <c r="D451">
        <f t="shared" si="137"/>
        <v>32</v>
      </c>
      <c r="E451" s="43" t="s">
        <v>523</v>
      </c>
      <c r="F451" s="43" t="s">
        <v>524</v>
      </c>
      <c r="G451" s="43" t="s">
        <v>25</v>
      </c>
      <c r="H451">
        <f t="shared" si="127"/>
        <v>0</v>
      </c>
      <c r="I451" s="43" t="s">
        <v>542</v>
      </c>
      <c r="J451" s="34">
        <f t="shared" si="138"/>
        <v>18</v>
      </c>
      <c r="K451" s="28">
        <v>43636</v>
      </c>
      <c r="L451" s="28">
        <v>47289</v>
      </c>
      <c r="M451" s="60">
        <f t="shared" si="128"/>
        <v>10.008219178082191</v>
      </c>
      <c r="N451" s="4">
        <f t="shared" si="129"/>
        <v>1</v>
      </c>
      <c r="O451" s="43" t="s">
        <v>44</v>
      </c>
      <c r="P451" t="str">
        <f t="shared" si="132"/>
        <v>0</v>
      </c>
      <c r="Q451" s="44">
        <v>1000000</v>
      </c>
      <c r="R451" s="43">
        <v>1000</v>
      </c>
      <c r="S451" s="34" t="str">
        <f>IF($V451="USD",INDEX('Dólar Spot'!$B:$B,MATCH(Base!$K451,'Dólar Spot'!$A:$A,0)),"")</f>
        <v/>
      </c>
      <c r="T451" s="4">
        <f t="shared" si="135"/>
        <v>1000000000</v>
      </c>
      <c r="U451" s="8">
        <f t="shared" si="133"/>
        <v>10</v>
      </c>
      <c r="V451" s="43" t="s">
        <v>41</v>
      </c>
      <c r="W451" s="45">
        <v>100</v>
      </c>
      <c r="X451" s="46">
        <v>0.79</v>
      </c>
      <c r="Y451" s="9">
        <f>IF(AND(V451="DI",$W451=100),$X451/100,
IF(AND(V451="DI",$W451&lt;&gt;100,$X451=""),INDEX('Debs %CDI'!$Q:$Q,MATCH(Base!$C451,'Debs %CDI'!$A:$A,0)),
IF($V451="USD",INDEX(Bonds!$AF:$AF,MATCH(Base!$C451,Bonds!$B:$B,0)),
IF($V451="IPCA",INDEX('Debs IPCA'!$Z:$Z,MATCH(Base!$C451,'Debs IPCA'!$A:$A,0))))))</f>
        <v>7.9000000000000008E-3</v>
      </c>
      <c r="Z451" s="43">
        <v>252</v>
      </c>
      <c r="AA451" s="43" t="s">
        <v>30</v>
      </c>
      <c r="AB451" s="43" t="s">
        <v>32</v>
      </c>
      <c r="AC451">
        <f t="shared" si="130"/>
        <v>0</v>
      </c>
      <c r="AD451" s="43" t="s">
        <v>31</v>
      </c>
      <c r="AE451">
        <f t="shared" si="131"/>
        <v>1</v>
      </c>
      <c r="AF451" s="34" t="str" cm="1">
        <f t="array" ref="AF451">INDEX(Ratings!$B$2:$M$40,_xlfn.XMATCH(Base!F451,Ratings!$A$2:$A$40),_xlfn.XMATCH(YEAR(Base!K451),Ratings!$B$1:$M$1))</f>
        <v>BB</v>
      </c>
      <c r="AG451">
        <f t="shared" si="124"/>
        <v>0</v>
      </c>
      <c r="AH451">
        <f>IFERROR(IFERROR(IFERROR(INDEX('EMBI+'!$B:$B,MATCH(Base!$K451,'EMBI+'!$A:$A,0)),INDEX('EMBI+'!$B:$B,MATCH(Base!$K451+1,'EMBI+'!$A:$A,0))),INDEX('EMBI+'!$B:$B,MATCH(Base!$K451+2,'EMBI+'!$A:$A,0))),INDEX('EMBI+'!$B:$B,MATCH(Base!$K451+3,'EMBI+'!$A:$A,0)))/100</f>
        <v>2.37</v>
      </c>
      <c r="AL451" s="43"/>
      <c r="AM451" s="28"/>
      <c r="AN451" s="28"/>
    </row>
    <row r="452" spans="1:40" x14ac:dyDescent="0.35">
      <c r="A452">
        <f t="shared" si="125"/>
        <v>450</v>
      </c>
      <c r="B452">
        <f>IF(G452="Bonds",COUNTIF($G$3:G452,"Bonds"),0)</f>
        <v>0</v>
      </c>
      <c r="C452" t="str">
        <f t="shared" si="136"/>
        <v>Rede D'or4399948080</v>
      </c>
      <c r="D452">
        <f t="shared" si="137"/>
        <v>32</v>
      </c>
      <c r="E452" s="43" t="s">
        <v>523</v>
      </c>
      <c r="F452" s="43" t="s">
        <v>524</v>
      </c>
      <c r="G452" s="43" t="s">
        <v>25</v>
      </c>
      <c r="H452">
        <f t="shared" si="127"/>
        <v>0</v>
      </c>
      <c r="I452" s="43" t="s">
        <v>543</v>
      </c>
      <c r="J452" s="34">
        <f t="shared" si="138"/>
        <v>19</v>
      </c>
      <c r="K452" s="28">
        <v>43999</v>
      </c>
      <c r="L452" s="28">
        <v>48080</v>
      </c>
      <c r="M452" s="60">
        <f t="shared" si="128"/>
        <v>11.180821917808219</v>
      </c>
      <c r="N452" s="4">
        <f t="shared" si="129"/>
        <v>1</v>
      </c>
      <c r="O452" s="43" t="s">
        <v>44</v>
      </c>
      <c r="P452" t="str">
        <f t="shared" si="132"/>
        <v>0</v>
      </c>
      <c r="Q452" s="44">
        <v>1500000</v>
      </c>
      <c r="R452" s="43">
        <v>1000</v>
      </c>
      <c r="S452" s="34" t="str">
        <f>IF($V452="USD",INDEX('Dólar Spot'!$B:$B,MATCH(Base!$K452,'Dólar Spot'!$A:$A,0)),"")</f>
        <v/>
      </c>
      <c r="T452" s="4">
        <f t="shared" si="135"/>
        <v>1500000000</v>
      </c>
      <c r="U452" s="8">
        <f t="shared" si="133"/>
        <v>15</v>
      </c>
      <c r="V452" s="43" t="s">
        <v>41</v>
      </c>
      <c r="W452" s="45">
        <v>100</v>
      </c>
      <c r="X452" s="46">
        <v>1.9</v>
      </c>
      <c r="Y452" s="9">
        <f>IF(AND(V452="DI",$W452=100),$X452/100,
IF(AND(V452="DI",$W452&lt;&gt;100,$X452=""),INDEX('Debs %CDI'!$Q:$Q,MATCH(Base!$C452,'Debs %CDI'!$A:$A,0)),
IF($V452="USD",INDEX(Bonds!$AF:$AF,MATCH(Base!$C452,Bonds!$B:$B,0)),
IF($V452="IPCA",INDEX('Debs IPCA'!$Z:$Z,MATCH(Base!$C452,'Debs IPCA'!$A:$A,0))))))</f>
        <v>1.9E-2</v>
      </c>
      <c r="Z452" s="43">
        <v>252</v>
      </c>
      <c r="AA452" s="43" t="s">
        <v>30</v>
      </c>
      <c r="AB452" s="43" t="s">
        <v>32</v>
      </c>
      <c r="AC452">
        <f t="shared" si="130"/>
        <v>0</v>
      </c>
      <c r="AD452" s="43" t="s">
        <v>31</v>
      </c>
      <c r="AE452">
        <f t="shared" si="131"/>
        <v>1</v>
      </c>
      <c r="AF452" s="34" t="str" cm="1">
        <f t="array" ref="AF452">INDEX(Ratings!$B$2:$M$40,_xlfn.XMATCH(Base!F452,Ratings!$A$2:$A$40),_xlfn.XMATCH(YEAR(Base!K452),Ratings!$B$1:$M$1))</f>
        <v>BB</v>
      </c>
      <c r="AG452">
        <f t="shared" ref="AG452:AG515" si="139">IF(AND(AF452&lt;&gt;"BBB-",AF452&lt;&gt;"BBB",AF452&lt;&gt;"BBB+"),0,1)</f>
        <v>0</v>
      </c>
      <c r="AH452">
        <f>IFERROR(IFERROR(IFERROR(INDEX('EMBI+'!$B:$B,MATCH(Base!$K452,'EMBI+'!$A:$A,0)),INDEX('EMBI+'!$B:$B,MATCH(Base!$K452+1,'EMBI+'!$A:$A,0))),INDEX('EMBI+'!$B:$B,MATCH(Base!$K452+2,'EMBI+'!$A:$A,0))),INDEX('EMBI+'!$B:$B,MATCH(Base!$K452+3,'EMBI+'!$A:$A,0)))/100</f>
        <v>3.74</v>
      </c>
      <c r="AL452" s="43"/>
      <c r="AM452" s="28"/>
      <c r="AN452" s="28"/>
    </row>
    <row r="453" spans="1:40" x14ac:dyDescent="0.35">
      <c r="A453">
        <f t="shared" si="125"/>
        <v>451</v>
      </c>
      <c r="B453">
        <f>IF(G453="Bonds",COUNTIF($G$3:G453,"Bonds"),0)</f>
        <v>0</v>
      </c>
      <c r="C453" t="str">
        <f t="shared" si="136"/>
        <v>Rede D'or4469646888</v>
      </c>
      <c r="D453">
        <f t="shared" si="137"/>
        <v>32</v>
      </c>
      <c r="E453" s="43" t="s">
        <v>523</v>
      </c>
      <c r="F453" s="43" t="s">
        <v>524</v>
      </c>
      <c r="G453" s="43" t="s">
        <v>25</v>
      </c>
      <c r="H453">
        <f t="shared" si="127"/>
        <v>0</v>
      </c>
      <c r="I453" s="43" t="s">
        <v>861</v>
      </c>
      <c r="J453" s="34">
        <f t="shared" si="138"/>
        <v>20</v>
      </c>
      <c r="K453" s="28">
        <v>44696</v>
      </c>
      <c r="L453" s="28">
        <v>46888</v>
      </c>
      <c r="M453" s="60">
        <f t="shared" si="128"/>
        <v>6.0054794520547947</v>
      </c>
      <c r="N453" s="4">
        <f t="shared" si="129"/>
        <v>1</v>
      </c>
      <c r="O453" s="43" t="s">
        <v>44</v>
      </c>
      <c r="P453" t="str">
        <f t="shared" si="132"/>
        <v>0</v>
      </c>
      <c r="Q453" s="44">
        <v>900000</v>
      </c>
      <c r="R453" s="43">
        <v>1000</v>
      </c>
      <c r="S453" s="34" t="str">
        <f>IF($V453="USD",INDEX('Dólar Spot'!$B:$B,MATCH(Base!$K453,'Dólar Spot'!$A:$A,0)),"")</f>
        <v/>
      </c>
      <c r="T453" s="4">
        <f t="shared" si="135"/>
        <v>900000000</v>
      </c>
      <c r="U453" s="8">
        <f t="shared" si="133"/>
        <v>9</v>
      </c>
      <c r="V453" s="43" t="s">
        <v>41</v>
      </c>
      <c r="W453" s="45">
        <v>100</v>
      </c>
      <c r="X453" s="46">
        <v>1.4</v>
      </c>
      <c r="Y453" s="9">
        <f>IF(AND(V453="DI",$W453=100),$X453/100,
IF(AND(V453="DI",$W453&lt;&gt;100,$X453=""),INDEX('Debs %CDI'!$Q:$Q,MATCH(Base!$C453,'Debs %CDI'!$A:$A,0)),
IF($V453="USD",INDEX(Bonds!$AF:$AF,MATCH(Base!$C453,Bonds!$B:$B,0)),
IF($V453="IPCA",INDEX('Debs IPCA'!$Z:$Z,MATCH(Base!$C453,'Debs IPCA'!$A:$A,0))))))</f>
        <v>1.3999999999999999E-2</v>
      </c>
      <c r="Z453" s="43">
        <v>252</v>
      </c>
      <c r="AA453" s="43" t="s">
        <v>30</v>
      </c>
      <c r="AB453" s="43" t="s">
        <v>32</v>
      </c>
      <c r="AC453">
        <f t="shared" si="130"/>
        <v>0</v>
      </c>
      <c r="AD453" s="43" t="s">
        <v>31</v>
      </c>
      <c r="AE453">
        <f t="shared" si="131"/>
        <v>1</v>
      </c>
      <c r="AF453" s="34" t="str" cm="1">
        <f t="array" ref="AF453">INDEX(Ratings!$B$2:$M$40,_xlfn.XMATCH(Base!F453,Ratings!$A$2:$A$40),_xlfn.XMATCH(YEAR(Base!K453),Ratings!$B$1:$M$1))</f>
        <v>BB</v>
      </c>
      <c r="AG453">
        <f t="shared" si="139"/>
        <v>0</v>
      </c>
      <c r="AH453">
        <f>IFERROR(IFERROR(IFERROR(INDEX('EMBI+'!$B:$B,MATCH(Base!$K453,'EMBI+'!$A:$A,0)),INDEX('EMBI+'!$B:$B,MATCH(Base!$K453+1,'EMBI+'!$A:$A,0))),INDEX('EMBI+'!$B:$B,MATCH(Base!$K453+2,'EMBI+'!$A:$A,0))),INDEX('EMBI+'!$B:$B,MATCH(Base!$K453+3,'EMBI+'!$A:$A,0)))/100</f>
        <v>3.19</v>
      </c>
      <c r="AL453" s="43"/>
      <c r="AM453" s="28"/>
      <c r="AN453" s="28"/>
    </row>
    <row r="454" spans="1:40" x14ac:dyDescent="0.35">
      <c r="A454">
        <f t="shared" si="125"/>
        <v>452</v>
      </c>
      <c r="B454">
        <f>IF(G454="Bonds",COUNTIF($G$3:G454,"Bonds"),0)</f>
        <v>0</v>
      </c>
      <c r="C454" t="str">
        <f t="shared" si="136"/>
        <v>Rede D'or4484948502</v>
      </c>
      <c r="D454">
        <f t="shared" si="137"/>
        <v>32</v>
      </c>
      <c r="E454" s="43" t="s">
        <v>523</v>
      </c>
      <c r="F454" s="43" t="s">
        <v>524</v>
      </c>
      <c r="G454" s="43" t="s">
        <v>25</v>
      </c>
      <c r="H454">
        <f t="shared" si="127"/>
        <v>0</v>
      </c>
      <c r="I454" s="43" t="s">
        <v>862</v>
      </c>
      <c r="J454" s="34">
        <f t="shared" si="138"/>
        <v>21</v>
      </c>
      <c r="K454" s="28">
        <v>44849</v>
      </c>
      <c r="L454" s="28">
        <v>48502</v>
      </c>
      <c r="M454" s="60">
        <f t="shared" si="128"/>
        <v>10.008219178082191</v>
      </c>
      <c r="N454" s="4">
        <f t="shared" si="129"/>
        <v>1</v>
      </c>
      <c r="O454" s="43" t="s">
        <v>44</v>
      </c>
      <c r="P454" t="str">
        <f t="shared" si="132"/>
        <v>0</v>
      </c>
      <c r="Q454" s="44">
        <v>450000</v>
      </c>
      <c r="R454" s="43">
        <v>1000</v>
      </c>
      <c r="S454" s="34" t="str">
        <f>IF($V454="USD",INDEX('Dólar Spot'!$B:$B,MATCH(Base!$K454,'Dólar Spot'!$A:$A,0)),"")</f>
        <v/>
      </c>
      <c r="T454" s="4">
        <f t="shared" si="135"/>
        <v>450000000</v>
      </c>
      <c r="U454" s="8">
        <f t="shared" si="133"/>
        <v>4.5</v>
      </c>
      <c r="V454" s="43" t="s">
        <v>41</v>
      </c>
      <c r="W454" s="45">
        <v>100</v>
      </c>
      <c r="X454" s="46">
        <v>2</v>
      </c>
      <c r="Y454" s="9">
        <f>IF(AND(V454="DI",$W454=100),$X454/100,
IF(AND(V454="DI",$W454&lt;&gt;100,$X454=""),INDEX('Debs %CDI'!$Q:$Q,MATCH(Base!$C454,'Debs %CDI'!$A:$A,0)),
IF($V454="USD",INDEX(Bonds!$AF:$AF,MATCH(Base!$C454,Bonds!$B:$B,0)),
IF($V454="IPCA",INDEX('Debs IPCA'!$Z:$Z,MATCH(Base!$C454,'Debs IPCA'!$A:$A,0))))))</f>
        <v>0.02</v>
      </c>
      <c r="Z454" s="43">
        <v>252</v>
      </c>
      <c r="AA454" s="43" t="s">
        <v>30</v>
      </c>
      <c r="AB454" s="43" t="s">
        <v>32</v>
      </c>
      <c r="AC454">
        <f t="shared" si="130"/>
        <v>0</v>
      </c>
      <c r="AD454" s="43" t="s">
        <v>31</v>
      </c>
      <c r="AE454">
        <f t="shared" si="131"/>
        <v>1</v>
      </c>
      <c r="AF454" s="34" t="str" cm="1">
        <f t="array" ref="AF454">INDEX(Ratings!$B$2:$M$40,_xlfn.XMATCH(Base!F454,Ratings!$A$2:$A$40),_xlfn.XMATCH(YEAR(Base!K454),Ratings!$B$1:$M$1))</f>
        <v>BB</v>
      </c>
      <c r="AG454">
        <f t="shared" si="139"/>
        <v>0</v>
      </c>
      <c r="AH454">
        <f>IFERROR(IFERROR(IFERROR(INDEX('EMBI+'!$B:$B,MATCH(Base!$K454,'EMBI+'!$A:$A,0)),INDEX('EMBI+'!$B:$B,MATCH(Base!$K454+1,'EMBI+'!$A:$A,0))),INDEX('EMBI+'!$B:$B,MATCH(Base!$K454+2,'EMBI+'!$A:$A,0))),INDEX('EMBI+'!$B:$B,MATCH(Base!$K454+3,'EMBI+'!$A:$A,0)))/100</f>
        <v>2.83</v>
      </c>
      <c r="AL454" s="43"/>
      <c r="AM454" s="28"/>
      <c r="AN454" s="28"/>
    </row>
    <row r="455" spans="1:40" x14ac:dyDescent="0.35">
      <c r="A455">
        <f t="shared" si="125"/>
        <v>453</v>
      </c>
      <c r="B455">
        <f>IF(G455="Bonds",COUNTIF($G$3:G455,"Bonds"),0)</f>
        <v>0</v>
      </c>
      <c r="C455" t="str">
        <f t="shared" si="136"/>
        <v>Rede D'or4469648349</v>
      </c>
      <c r="D455">
        <f t="shared" si="137"/>
        <v>32</v>
      </c>
      <c r="E455" s="43" t="s">
        <v>523</v>
      </c>
      <c r="F455" s="43" t="s">
        <v>524</v>
      </c>
      <c r="G455" s="43" t="s">
        <v>25</v>
      </c>
      <c r="H455">
        <f t="shared" si="127"/>
        <v>0</v>
      </c>
      <c r="I455" s="43" t="s">
        <v>863</v>
      </c>
      <c r="J455" s="34">
        <f t="shared" si="138"/>
        <v>22</v>
      </c>
      <c r="K455" s="28">
        <v>44696</v>
      </c>
      <c r="L455" s="28">
        <v>48349</v>
      </c>
      <c r="M455" s="60">
        <f t="shared" si="128"/>
        <v>10.008219178082191</v>
      </c>
      <c r="N455" s="4">
        <f t="shared" si="129"/>
        <v>1</v>
      </c>
      <c r="O455" s="43" t="s">
        <v>44</v>
      </c>
      <c r="P455" t="str">
        <f t="shared" si="132"/>
        <v>0</v>
      </c>
      <c r="Q455" s="44">
        <v>850000</v>
      </c>
      <c r="R455" s="43">
        <v>1000</v>
      </c>
      <c r="S455" s="34" t="str">
        <f>IF($V455="USD",INDEX('Dólar Spot'!$B:$B,MATCH(Base!$K455,'Dólar Spot'!$A:$A,0)),"")</f>
        <v/>
      </c>
      <c r="T455" s="4">
        <f t="shared" si="135"/>
        <v>850000000</v>
      </c>
      <c r="U455" s="8">
        <f t="shared" si="133"/>
        <v>8.5</v>
      </c>
      <c r="V455" s="43" t="s">
        <v>41</v>
      </c>
      <c r="W455" s="45">
        <v>100</v>
      </c>
      <c r="X455" s="46">
        <v>1.9</v>
      </c>
      <c r="Y455" s="9">
        <f>IF(AND(V455="DI",$W455=100),$X455/100,
IF(AND(V455="DI",$W455&lt;&gt;100,$X455=""),INDEX('Debs %CDI'!$Q:$Q,MATCH(Base!$C455,'Debs %CDI'!$A:$A,0)),
IF($V455="USD",INDEX(Bonds!$AF:$AF,MATCH(Base!$C455,Bonds!$B:$B,0)),
IF($V455="IPCA",INDEX('Debs IPCA'!$Z:$Z,MATCH(Base!$C455,'Debs IPCA'!$A:$A,0))))))</f>
        <v>1.9E-2</v>
      </c>
      <c r="Z455" s="43">
        <v>252</v>
      </c>
      <c r="AA455" s="43" t="s">
        <v>30</v>
      </c>
      <c r="AB455" s="43" t="s">
        <v>32</v>
      </c>
      <c r="AC455">
        <f t="shared" si="130"/>
        <v>0</v>
      </c>
      <c r="AD455" s="43" t="s">
        <v>31</v>
      </c>
      <c r="AE455">
        <f t="shared" si="131"/>
        <v>1</v>
      </c>
      <c r="AF455" s="34" t="str" cm="1">
        <f t="array" ref="AF455">INDEX(Ratings!$B$2:$M$40,_xlfn.XMATCH(Base!F455,Ratings!$A$2:$A$40),_xlfn.XMATCH(YEAR(Base!K455),Ratings!$B$1:$M$1))</f>
        <v>BB</v>
      </c>
      <c r="AG455">
        <f t="shared" si="139"/>
        <v>0</v>
      </c>
      <c r="AH455">
        <f>IFERROR(IFERROR(IFERROR(INDEX('EMBI+'!$B:$B,MATCH(Base!$K455,'EMBI+'!$A:$A,0)),INDEX('EMBI+'!$B:$B,MATCH(Base!$K455+1,'EMBI+'!$A:$A,0))),INDEX('EMBI+'!$B:$B,MATCH(Base!$K455+2,'EMBI+'!$A:$A,0))),INDEX('EMBI+'!$B:$B,MATCH(Base!$K455+3,'EMBI+'!$A:$A,0)))/100</f>
        <v>3.19</v>
      </c>
      <c r="AL455" s="43"/>
      <c r="AM455" s="28"/>
      <c r="AN455" s="28"/>
    </row>
    <row r="456" spans="1:40" x14ac:dyDescent="0.35">
      <c r="A456">
        <f t="shared" si="125"/>
        <v>454</v>
      </c>
      <c r="B456">
        <f>IF(G456="Bonds",COUNTIF($G$3:G456,"Bonds"),0)</f>
        <v>0</v>
      </c>
      <c r="C456" t="str">
        <f t="shared" si="136"/>
        <v>Rede D'or4484948502</v>
      </c>
      <c r="D456">
        <f t="shared" si="137"/>
        <v>32</v>
      </c>
      <c r="E456" s="43" t="s">
        <v>523</v>
      </c>
      <c r="F456" s="43" t="s">
        <v>524</v>
      </c>
      <c r="G456" s="43" t="s">
        <v>25</v>
      </c>
      <c r="H456">
        <f t="shared" si="127"/>
        <v>0</v>
      </c>
      <c r="I456" s="43" t="s">
        <v>864</v>
      </c>
      <c r="J456" s="34">
        <f t="shared" si="138"/>
        <v>23</v>
      </c>
      <c r="K456" s="28">
        <v>44849</v>
      </c>
      <c r="L456" s="28">
        <v>48502</v>
      </c>
      <c r="M456" s="60">
        <f t="shared" si="128"/>
        <v>10.008219178082191</v>
      </c>
      <c r="N456" s="4">
        <f t="shared" si="129"/>
        <v>1</v>
      </c>
      <c r="O456" s="43" t="s">
        <v>44</v>
      </c>
      <c r="P456" t="str">
        <f t="shared" si="132"/>
        <v>0</v>
      </c>
      <c r="Q456" s="44">
        <v>150000</v>
      </c>
      <c r="R456" s="43">
        <v>1000</v>
      </c>
      <c r="S456" s="34" t="str">
        <f>IF($V456="USD",INDEX('Dólar Spot'!$B:$B,MATCH(Base!$K456,'Dólar Spot'!$A:$A,0)),"")</f>
        <v/>
      </c>
      <c r="T456" s="4">
        <f t="shared" si="135"/>
        <v>150000000</v>
      </c>
      <c r="U456" s="8">
        <f t="shared" si="133"/>
        <v>1.5</v>
      </c>
      <c r="V456" s="43" t="s">
        <v>41</v>
      </c>
      <c r="W456" s="45">
        <v>100</v>
      </c>
      <c r="X456" s="46">
        <v>1.95</v>
      </c>
      <c r="Y456" s="9">
        <f>IF(AND(V456="DI",$W456=100),$X456/100,
IF(AND(V456="DI",$W456&lt;&gt;100,$X456=""),INDEX('Debs %CDI'!$Q:$Q,MATCH(Base!$C456,'Debs %CDI'!$A:$A,0)),
IF($V456="USD",INDEX(Bonds!$AF:$AF,MATCH(Base!$C456,Bonds!$B:$B,0)),
IF($V456="IPCA",INDEX('Debs IPCA'!$Z:$Z,MATCH(Base!$C456,'Debs IPCA'!$A:$A,0))))))</f>
        <v>1.95E-2</v>
      </c>
      <c r="Z456" s="43">
        <v>252</v>
      </c>
      <c r="AA456" s="43" t="s">
        <v>30</v>
      </c>
      <c r="AB456" s="43" t="s">
        <v>32</v>
      </c>
      <c r="AC456">
        <f t="shared" si="130"/>
        <v>0</v>
      </c>
      <c r="AD456" s="43" t="s">
        <v>31</v>
      </c>
      <c r="AE456">
        <f t="shared" si="131"/>
        <v>1</v>
      </c>
      <c r="AF456" s="34" t="str" cm="1">
        <f t="array" ref="AF456">INDEX(Ratings!$B$2:$M$40,_xlfn.XMATCH(Base!F456,Ratings!$A$2:$A$40),_xlfn.XMATCH(YEAR(Base!K456),Ratings!$B$1:$M$1))</f>
        <v>BB</v>
      </c>
      <c r="AG456">
        <f t="shared" si="139"/>
        <v>0</v>
      </c>
      <c r="AH456">
        <f>IFERROR(IFERROR(IFERROR(INDEX('EMBI+'!$B:$B,MATCH(Base!$K456,'EMBI+'!$A:$A,0)),INDEX('EMBI+'!$B:$B,MATCH(Base!$K456+1,'EMBI+'!$A:$A,0))),INDEX('EMBI+'!$B:$B,MATCH(Base!$K456+2,'EMBI+'!$A:$A,0))),INDEX('EMBI+'!$B:$B,MATCH(Base!$K456+3,'EMBI+'!$A:$A,0)))/100</f>
        <v>2.83</v>
      </c>
      <c r="AL456" s="43"/>
      <c r="AM456" s="28"/>
      <c r="AN456" s="28"/>
    </row>
    <row r="457" spans="1:40" x14ac:dyDescent="0.35">
      <c r="A457">
        <f t="shared" ref="A457:A520" si="140">+A456+1</f>
        <v>455</v>
      </c>
      <c r="B457">
        <f>IF(G457="Bonds",COUNTIF($G$3:G457,"Bonds"),0)</f>
        <v>0</v>
      </c>
      <c r="C457" t="str">
        <f t="shared" si="136"/>
        <v>Rede D'or4469648349</v>
      </c>
      <c r="D457">
        <f t="shared" si="137"/>
        <v>32</v>
      </c>
      <c r="E457" s="43" t="s">
        <v>523</v>
      </c>
      <c r="F457" s="43" t="s">
        <v>524</v>
      </c>
      <c r="G457" s="43" t="s">
        <v>25</v>
      </c>
      <c r="H457">
        <f t="shared" si="127"/>
        <v>0</v>
      </c>
      <c r="I457" s="43" t="s">
        <v>865</v>
      </c>
      <c r="J457" s="34">
        <f t="shared" si="138"/>
        <v>24</v>
      </c>
      <c r="K457" s="28">
        <v>44696</v>
      </c>
      <c r="L457" s="28">
        <v>48349</v>
      </c>
      <c r="M457" s="60">
        <f t="shared" si="128"/>
        <v>10.008219178082191</v>
      </c>
      <c r="N457" s="4">
        <f t="shared" si="129"/>
        <v>1</v>
      </c>
      <c r="O457" s="43" t="s">
        <v>44</v>
      </c>
      <c r="P457" t="str">
        <f t="shared" si="132"/>
        <v>0</v>
      </c>
      <c r="Q457" s="44">
        <v>625000</v>
      </c>
      <c r="R457" s="43">
        <v>1000</v>
      </c>
      <c r="S457" s="34" t="str">
        <f>IF($V457="USD",INDEX('Dólar Spot'!$B:$B,MATCH(Base!$K457,'Dólar Spot'!$A:$A,0)),"")</f>
        <v/>
      </c>
      <c r="T457" s="4">
        <f t="shared" si="135"/>
        <v>625000000</v>
      </c>
      <c r="U457" s="8">
        <f t="shared" si="133"/>
        <v>6.25</v>
      </c>
      <c r="V457" s="43" t="s">
        <v>41</v>
      </c>
      <c r="W457" s="45">
        <v>100</v>
      </c>
      <c r="X457" s="46">
        <v>1.9</v>
      </c>
      <c r="Y457" s="9">
        <f>IF(AND(V457="DI",$W457=100),$X457/100,
IF(AND(V457="DI",$W457&lt;&gt;100,$X457=""),INDEX('Debs %CDI'!$Q:$Q,MATCH(Base!$C457,'Debs %CDI'!$A:$A,0)),
IF($V457="USD",INDEX(Bonds!$AF:$AF,MATCH(Base!$C457,Bonds!$B:$B,0)),
IF($V457="IPCA",INDEX('Debs IPCA'!$Z:$Z,MATCH(Base!$C457,'Debs IPCA'!$A:$A,0))))))</f>
        <v>1.9E-2</v>
      </c>
      <c r="Z457" s="43">
        <v>252</v>
      </c>
      <c r="AA457" s="43" t="s">
        <v>30</v>
      </c>
      <c r="AB457" s="43" t="s">
        <v>32</v>
      </c>
      <c r="AC457">
        <f t="shared" si="130"/>
        <v>0</v>
      </c>
      <c r="AD457" s="43" t="s">
        <v>31</v>
      </c>
      <c r="AE457">
        <f t="shared" si="131"/>
        <v>1</v>
      </c>
      <c r="AF457" s="34" t="str" cm="1">
        <f t="array" ref="AF457">INDEX(Ratings!$B$2:$M$40,_xlfn.XMATCH(Base!F457,Ratings!$A$2:$A$40),_xlfn.XMATCH(YEAR(Base!K457),Ratings!$B$1:$M$1))</f>
        <v>BB</v>
      </c>
      <c r="AG457">
        <f t="shared" si="139"/>
        <v>0</v>
      </c>
      <c r="AH457">
        <f>IFERROR(IFERROR(IFERROR(INDEX('EMBI+'!$B:$B,MATCH(Base!$K457,'EMBI+'!$A:$A,0)),INDEX('EMBI+'!$B:$B,MATCH(Base!$K457+1,'EMBI+'!$A:$A,0))),INDEX('EMBI+'!$B:$B,MATCH(Base!$K457+2,'EMBI+'!$A:$A,0))),INDEX('EMBI+'!$B:$B,MATCH(Base!$K457+3,'EMBI+'!$A:$A,0)))/100</f>
        <v>3.19</v>
      </c>
      <c r="AL457" s="43"/>
      <c r="AM457" s="28"/>
      <c r="AN457" s="28"/>
    </row>
    <row r="458" spans="1:40" x14ac:dyDescent="0.35">
      <c r="A458">
        <f t="shared" si="140"/>
        <v>456</v>
      </c>
      <c r="B458">
        <f>IF(G458="Bonds",COUNTIF($G$3:G458,"Bonds"),0)</f>
        <v>131</v>
      </c>
      <c r="C458" t="str">
        <f t="shared" si="136"/>
        <v>Rede D'or4385222/01/2030</v>
      </c>
      <c r="D458">
        <f t="shared" si="137"/>
        <v>32</v>
      </c>
      <c r="E458" s="43" t="s">
        <v>544</v>
      </c>
      <c r="F458" s="43" t="s">
        <v>524</v>
      </c>
      <c r="G458" s="43" t="s">
        <v>34</v>
      </c>
      <c r="H458">
        <f t="shared" si="127"/>
        <v>1</v>
      </c>
      <c r="I458" s="43"/>
      <c r="J458" s="34">
        <f t="shared" si="138"/>
        <v>25</v>
      </c>
      <c r="K458" s="28">
        <v>43852</v>
      </c>
      <c r="L458" s="28" t="s">
        <v>545</v>
      </c>
      <c r="M458" s="60">
        <f t="shared" si="128"/>
        <v>10.008219178082191</v>
      </c>
      <c r="N458" s="4">
        <f t="shared" si="129"/>
        <v>1</v>
      </c>
      <c r="O458" s="43" t="s">
        <v>36</v>
      </c>
      <c r="P458" t="str">
        <f t="shared" si="132"/>
        <v>0</v>
      </c>
      <c r="Q458" s="43"/>
      <c r="R458" s="43"/>
      <c r="S458" s="34">
        <f>IF($V458="USD",INDEX('Dólar Spot'!$B:$B,MATCH(Base!$K458,'Dólar Spot'!$A:$A,0)),"")</f>
        <v>4.1882999999999999</v>
      </c>
      <c r="T458" s="44">
        <v>850000000</v>
      </c>
      <c r="U458" s="8">
        <f t="shared" si="133"/>
        <v>35.600549999999998</v>
      </c>
      <c r="V458" s="43" t="s">
        <v>651</v>
      </c>
      <c r="W458" s="45" t="s">
        <v>29</v>
      </c>
      <c r="X458" s="53">
        <v>4.5</v>
      </c>
      <c r="Y458" s="9">
        <f>IF(AND(V458="DI",$W458=100),$X458/100,
IF(AND(V458="DI",$W458&lt;&gt;100,$X458=""),INDEX('Debs %CDI'!$Q:$Q,MATCH(Base!$C458,'Debs %CDI'!$A:$A,0)),
IF($V458="USD",INDEX(Bonds!$AF:$AF,MATCH(Base!$C458,Bonds!$B:$B,0)),
IF($V458="IPCA",INDEX('Debs IPCA'!$Z:$Z,MATCH(Base!$C458,'Debs IPCA'!$A:$A,0))))))</f>
        <v>1.7567539926467424E-2</v>
      </c>
      <c r="Z458" s="43">
        <v>360</v>
      </c>
      <c r="AA458" s="43" t="s">
        <v>37</v>
      </c>
      <c r="AB458" s="43" t="s">
        <v>32</v>
      </c>
      <c r="AC458">
        <f t="shared" si="130"/>
        <v>0</v>
      </c>
      <c r="AD458" s="43" t="s">
        <v>31</v>
      </c>
      <c r="AE458">
        <f t="shared" si="131"/>
        <v>1</v>
      </c>
      <c r="AF458" s="34" t="str" cm="1">
        <f t="array" ref="AF458">INDEX(Ratings!$B$2:$M$40,_xlfn.XMATCH(Base!F458,Ratings!$A$2:$A$40),_xlfn.XMATCH(YEAR(Base!K458),Ratings!$B$1:$M$1))</f>
        <v>BB</v>
      </c>
      <c r="AG458">
        <f t="shared" si="139"/>
        <v>0</v>
      </c>
      <c r="AH458">
        <f>IFERROR(IFERROR(IFERROR(INDEX('EMBI+'!$B:$B,MATCH(Base!$K458,'EMBI+'!$A:$A,0)),INDEX('EMBI+'!$B:$B,MATCH(Base!$K458+1,'EMBI+'!$A:$A,0))),INDEX('EMBI+'!$B:$B,MATCH(Base!$K458+2,'EMBI+'!$A:$A,0))),INDEX('EMBI+'!$B:$B,MATCH(Base!$K458+3,'EMBI+'!$A:$A,0)))/100</f>
        <v>2.16</v>
      </c>
      <c r="AL458" s="43"/>
      <c r="AM458" s="28"/>
      <c r="AN458" s="28"/>
    </row>
    <row r="459" spans="1:40" x14ac:dyDescent="0.35">
      <c r="A459">
        <f t="shared" si="140"/>
        <v>457</v>
      </c>
      <c r="B459">
        <f>IF(G459="Bonds",COUNTIF($G$3:G459,"Bonds"),0)</f>
        <v>132</v>
      </c>
      <c r="C459" t="str">
        <f t="shared" si="136"/>
        <v>Rede D'or4311717/01/2028</v>
      </c>
      <c r="D459">
        <f t="shared" si="137"/>
        <v>32</v>
      </c>
      <c r="E459" s="43" t="s">
        <v>544</v>
      </c>
      <c r="F459" s="43" t="s">
        <v>524</v>
      </c>
      <c r="G459" s="43" t="s">
        <v>34</v>
      </c>
      <c r="H459">
        <f t="shared" si="127"/>
        <v>1</v>
      </c>
      <c r="I459" s="43"/>
      <c r="J459" s="34">
        <f t="shared" si="138"/>
        <v>26</v>
      </c>
      <c r="K459" s="28">
        <v>43117</v>
      </c>
      <c r="L459" s="28" t="s">
        <v>546</v>
      </c>
      <c r="M459" s="60">
        <f t="shared" si="128"/>
        <v>10.005479452054795</v>
      </c>
      <c r="N459" s="4">
        <f t="shared" si="129"/>
        <v>1</v>
      </c>
      <c r="O459" s="43" t="s">
        <v>36</v>
      </c>
      <c r="P459" t="str">
        <f t="shared" si="132"/>
        <v>0</v>
      </c>
      <c r="Q459" s="43"/>
      <c r="R459" s="43"/>
      <c r="S459" s="34">
        <f>IF($V459="USD",INDEX('Dólar Spot'!$B:$B,MATCH(Base!$K459,'Dólar Spot'!$A:$A,0)),"")</f>
        <v>3.2317999999999998</v>
      </c>
      <c r="T459" s="44">
        <v>500000000</v>
      </c>
      <c r="U459" s="8">
        <f t="shared" si="133"/>
        <v>16.158999999999999</v>
      </c>
      <c r="V459" s="43" t="s">
        <v>651</v>
      </c>
      <c r="W459" s="45" t="s">
        <v>29</v>
      </c>
      <c r="X459" s="53">
        <v>4.95</v>
      </c>
      <c r="Y459" s="9">
        <f>IF(AND(V459="DI",$W459=100),$X459/100,
IF(AND(V459="DI",$W459&lt;&gt;100,$X459=""),INDEX('Debs %CDI'!$Q:$Q,MATCH(Base!$C459,'Debs %CDI'!$A:$A,0)),
IF($V459="USD",INDEX(Bonds!$AF:$AF,MATCH(Base!$C459,Bonds!$B:$B,0)),
IF($V459="IPCA",INDEX('Debs IPCA'!$Z:$Z,MATCH(Base!$C459,'Debs IPCA'!$A:$A,0))))))</f>
        <v>1.3810003622565459E-2</v>
      </c>
      <c r="Z459" s="43">
        <v>360</v>
      </c>
      <c r="AA459" s="43" t="s">
        <v>37</v>
      </c>
      <c r="AB459" s="43" t="s">
        <v>32</v>
      </c>
      <c r="AC459">
        <f t="shared" si="130"/>
        <v>0</v>
      </c>
      <c r="AD459" s="43" t="s">
        <v>31</v>
      </c>
      <c r="AE459">
        <f t="shared" si="131"/>
        <v>1</v>
      </c>
      <c r="AF459" s="34" t="str" cm="1">
        <f t="array" ref="AF459">INDEX(Ratings!$B$2:$M$40,_xlfn.XMATCH(Base!F459,Ratings!$A$2:$A$40),_xlfn.XMATCH(YEAR(Base!K459),Ratings!$B$1:$M$1))</f>
        <v>BB</v>
      </c>
      <c r="AG459">
        <f t="shared" si="139"/>
        <v>0</v>
      </c>
      <c r="AH459">
        <f>IFERROR(IFERROR(IFERROR(INDEX('EMBI+'!$B:$B,MATCH(Base!$K459,'EMBI+'!$A:$A,0)),INDEX('EMBI+'!$B:$B,MATCH(Base!$K459+1,'EMBI+'!$A:$A,0))),INDEX('EMBI+'!$B:$B,MATCH(Base!$K459+2,'EMBI+'!$A:$A,0))),INDEX('EMBI+'!$B:$B,MATCH(Base!$K459+3,'EMBI+'!$A:$A,0)))/100</f>
        <v>2.2799999999999998</v>
      </c>
      <c r="AL459" s="43"/>
      <c r="AM459" s="28"/>
      <c r="AN459" s="28"/>
    </row>
    <row r="460" spans="1:40" x14ac:dyDescent="0.35">
      <c r="A460">
        <f t="shared" si="140"/>
        <v>458</v>
      </c>
      <c r="B460">
        <f>IF(G460="Bonds",COUNTIF($G$3:G460,"Bonds"),0)</f>
        <v>133</v>
      </c>
      <c r="C460" t="str">
        <f t="shared" si="136"/>
        <v>Rede D'or4387422/01/2030</v>
      </c>
      <c r="D460">
        <f t="shared" si="137"/>
        <v>32</v>
      </c>
      <c r="E460" s="43" t="s">
        <v>544</v>
      </c>
      <c r="F460" s="43" t="s">
        <v>524</v>
      </c>
      <c r="G460" s="43" t="s">
        <v>34</v>
      </c>
      <c r="H460">
        <f t="shared" si="127"/>
        <v>1</v>
      </c>
      <c r="I460" s="43"/>
      <c r="J460" s="34">
        <f t="shared" si="138"/>
        <v>27</v>
      </c>
      <c r="K460" s="28">
        <v>43874</v>
      </c>
      <c r="L460" s="28" t="s">
        <v>545</v>
      </c>
      <c r="M460" s="60">
        <f t="shared" si="128"/>
        <v>9.9479452054794528</v>
      </c>
      <c r="N460" s="4">
        <f t="shared" si="129"/>
        <v>1</v>
      </c>
      <c r="O460" s="43" t="s">
        <v>36</v>
      </c>
      <c r="P460" t="str">
        <f t="shared" si="132"/>
        <v>0</v>
      </c>
      <c r="Q460" s="43"/>
      <c r="R460" s="43"/>
      <c r="S460" s="34">
        <f>IF($V460="USD",INDEX('Dólar Spot'!$B:$B,MATCH(Base!$K460,'Dólar Spot'!$A:$A,0)),"")</f>
        <v>4.3383000000000003</v>
      </c>
      <c r="T460" s="44">
        <v>350000000</v>
      </c>
      <c r="U460" s="8">
        <f t="shared" si="133"/>
        <v>15.184049999999999</v>
      </c>
      <c r="V460" s="43" t="s">
        <v>651</v>
      </c>
      <c r="W460" s="45" t="s">
        <v>29</v>
      </c>
      <c r="X460" s="53">
        <v>4.5</v>
      </c>
      <c r="Y460" s="9">
        <f>IF(AND(V460="DI",$W460=100),$X460/100,
IF(AND(V460="DI",$W460&lt;&gt;100,$X460=""),INDEX('Debs %CDI'!$Q:$Q,MATCH(Base!$C460,'Debs %CDI'!$A:$A,0)),
IF($V460="USD",INDEX(Bonds!$AF:$AF,MATCH(Base!$C460,Bonds!$B:$B,0)),
IF($V460="IPCA",INDEX('Debs IPCA'!$Z:$Z,MATCH(Base!$C460,'Debs IPCA'!$A:$A,0))))))</f>
        <v>1.7587056110925259E-2</v>
      </c>
      <c r="Z460" s="43">
        <v>360</v>
      </c>
      <c r="AA460" s="43" t="s">
        <v>37</v>
      </c>
      <c r="AB460" s="43" t="s">
        <v>32</v>
      </c>
      <c r="AC460">
        <f t="shared" si="130"/>
        <v>0</v>
      </c>
      <c r="AD460" s="43" t="s">
        <v>31</v>
      </c>
      <c r="AE460">
        <f t="shared" si="131"/>
        <v>1</v>
      </c>
      <c r="AF460" s="34" t="str" cm="1">
        <f t="array" ref="AF460">INDEX(Ratings!$B$2:$M$40,_xlfn.XMATCH(Base!F460,Ratings!$A$2:$A$40),_xlfn.XMATCH(YEAR(Base!K460),Ratings!$B$1:$M$1))</f>
        <v>BB</v>
      </c>
      <c r="AG460">
        <f t="shared" si="139"/>
        <v>0</v>
      </c>
      <c r="AH460">
        <f>IFERROR(IFERROR(IFERROR(INDEX('EMBI+'!$B:$B,MATCH(Base!$K460,'EMBI+'!$A:$A,0)),INDEX('EMBI+'!$B:$B,MATCH(Base!$K460+1,'EMBI+'!$A:$A,0))),INDEX('EMBI+'!$B:$B,MATCH(Base!$K460+2,'EMBI+'!$A:$A,0))),INDEX('EMBI+'!$B:$B,MATCH(Base!$K460+3,'EMBI+'!$A:$A,0)))/100</f>
        <v>2.0299999999999998</v>
      </c>
      <c r="AL460" s="43"/>
      <c r="AM460" s="28"/>
      <c r="AN460" s="28"/>
    </row>
    <row r="461" spans="1:40" x14ac:dyDescent="0.35">
      <c r="A461">
        <f t="shared" si="140"/>
        <v>459</v>
      </c>
      <c r="B461">
        <f>IF(G461="Bonds",COUNTIF($G$3:G461,"Bonds"),0)</f>
        <v>0</v>
      </c>
      <c r="C461" t="str">
        <f t="shared" si="136"/>
        <v>Rumo4118343009</v>
      </c>
      <c r="D461">
        <f t="shared" si="137"/>
        <v>33</v>
      </c>
      <c r="E461" s="43" t="s">
        <v>547</v>
      </c>
      <c r="F461" s="43" t="s">
        <v>548</v>
      </c>
      <c r="G461" s="43" t="s">
        <v>25</v>
      </c>
      <c r="H461">
        <f t="shared" si="127"/>
        <v>0</v>
      </c>
      <c r="I461" s="43" t="s">
        <v>549</v>
      </c>
      <c r="J461" s="34">
        <f t="shared" si="138"/>
        <v>1</v>
      </c>
      <c r="K461" s="28">
        <v>41183</v>
      </c>
      <c r="L461" s="28">
        <v>43009</v>
      </c>
      <c r="M461" s="60">
        <f t="shared" si="128"/>
        <v>5.0027397260273974</v>
      </c>
      <c r="N461" s="4">
        <f t="shared" si="129"/>
        <v>1</v>
      </c>
      <c r="O461" s="43" t="s">
        <v>44</v>
      </c>
      <c r="P461" t="str">
        <f t="shared" si="132"/>
        <v>0</v>
      </c>
      <c r="Q461" s="44">
        <v>75000</v>
      </c>
      <c r="R461" s="43">
        <v>10000</v>
      </c>
      <c r="S461" s="34" t="str">
        <f>IF($V461="USD",INDEX('Dólar Spot'!$B:$B,MATCH(Base!$K461,'Dólar Spot'!$A:$A,0)),"")</f>
        <v/>
      </c>
      <c r="T461" s="4">
        <f t="shared" ref="T461:T474" si="141">Q461*R461</f>
        <v>750000000</v>
      </c>
      <c r="U461" s="8">
        <f t="shared" si="133"/>
        <v>7.5</v>
      </c>
      <c r="V461" s="43" t="s">
        <v>41</v>
      </c>
      <c r="W461" s="45">
        <v>100</v>
      </c>
      <c r="X461" s="46">
        <v>1.3</v>
      </c>
      <c r="Y461" s="9">
        <f>IF(AND(V461="DI",$W461=100),$X461/100,
IF(AND(V461="DI",$W461&lt;&gt;100,$X461=""),INDEX('Debs %CDI'!$Q:$Q,MATCH(Base!$C461,'Debs %CDI'!$A:$A,0)),
IF($V461="USD",INDEX(Bonds!$AF:$AF,MATCH(Base!$C461,Bonds!$B:$B,0)),
IF($V461="IPCA",INDEX('Debs IPCA'!$Z:$Z,MATCH(Base!$C461,'Debs IPCA'!$A:$A,0))))))</f>
        <v>1.3000000000000001E-2</v>
      </c>
      <c r="Z461" s="43">
        <v>252</v>
      </c>
      <c r="AA461" s="43" t="s">
        <v>30</v>
      </c>
      <c r="AB461" s="43" t="s">
        <v>32</v>
      </c>
      <c r="AC461">
        <f t="shared" si="130"/>
        <v>0</v>
      </c>
      <c r="AD461" s="43" t="s">
        <v>32</v>
      </c>
      <c r="AE461">
        <f t="shared" si="131"/>
        <v>0</v>
      </c>
      <c r="AF461" s="34" t="str" cm="1">
        <f t="array" ref="AF461">INDEX(Ratings!$B$2:$M$40,_xlfn.XMATCH(Base!F461,Ratings!$A$2:$A$40),_xlfn.XMATCH(YEAR(Base!K461),Ratings!$B$1:$M$1))</f>
        <v>BB-</v>
      </c>
      <c r="AG461">
        <f t="shared" si="139"/>
        <v>0</v>
      </c>
      <c r="AH461">
        <f>IFERROR(IFERROR(IFERROR(INDEX('EMBI+'!$B:$B,MATCH(Base!$K461,'EMBI+'!$A:$A,0)),INDEX('EMBI+'!$B:$B,MATCH(Base!$K461+1,'EMBI+'!$A:$A,0))),INDEX('EMBI+'!$B:$B,MATCH(Base!$K461+2,'EMBI+'!$A:$A,0))),INDEX('EMBI+'!$B:$B,MATCH(Base!$K461+3,'EMBI+'!$A:$A,0)))/100</f>
        <v>1.62</v>
      </c>
      <c r="AL461" s="43"/>
      <c r="AM461" s="28"/>
      <c r="AN461" s="28"/>
    </row>
    <row r="462" spans="1:40" x14ac:dyDescent="0.35">
      <c r="A462">
        <f t="shared" si="140"/>
        <v>460</v>
      </c>
      <c r="B462">
        <f>IF(G462="Bonds",COUNTIF($G$3:G462,"Bonds"),0)</f>
        <v>0</v>
      </c>
      <c r="C462" t="str">
        <f t="shared" si="136"/>
        <v>Rumo4064842475</v>
      </c>
      <c r="D462">
        <f t="shared" si="137"/>
        <v>33</v>
      </c>
      <c r="E462" s="43" t="s">
        <v>547</v>
      </c>
      <c r="F462" s="43" t="s">
        <v>548</v>
      </c>
      <c r="G462" s="43" t="s">
        <v>25</v>
      </c>
      <c r="H462">
        <f t="shared" si="127"/>
        <v>0</v>
      </c>
      <c r="I462" s="43" t="s">
        <v>550</v>
      </c>
      <c r="J462" s="34">
        <f t="shared" si="138"/>
        <v>2</v>
      </c>
      <c r="K462" s="28">
        <v>40648</v>
      </c>
      <c r="L462" s="28">
        <v>42475</v>
      </c>
      <c r="M462" s="60">
        <f t="shared" si="128"/>
        <v>5.0054794520547947</v>
      </c>
      <c r="N462" s="4">
        <f t="shared" si="129"/>
        <v>1</v>
      </c>
      <c r="O462" s="43" t="s">
        <v>44</v>
      </c>
      <c r="P462" t="str">
        <f t="shared" si="132"/>
        <v>0</v>
      </c>
      <c r="Q462" s="44">
        <v>53916</v>
      </c>
      <c r="R462" s="43">
        <v>10000</v>
      </c>
      <c r="S462" s="34" t="str">
        <f>IF($V462="USD",INDEX('Dólar Spot'!$B:$B,MATCH(Base!$K462,'Dólar Spot'!$A:$A,0)),"")</f>
        <v/>
      </c>
      <c r="T462" s="4">
        <f t="shared" si="141"/>
        <v>539160000</v>
      </c>
      <c r="U462" s="8">
        <f t="shared" si="133"/>
        <v>5.3916000000000004</v>
      </c>
      <c r="V462" s="43" t="s">
        <v>41</v>
      </c>
      <c r="W462" s="45">
        <v>100</v>
      </c>
      <c r="X462" s="46">
        <v>1.65</v>
      </c>
      <c r="Y462" s="9">
        <f>IF(AND(V462="DI",$W462=100),$X462/100,
IF(AND(V462="DI",$W462&lt;&gt;100,$X462=""),INDEX('Debs %CDI'!$Q:$Q,MATCH(Base!$C462,'Debs %CDI'!$A:$A,0)),
IF($V462="USD",INDEX(Bonds!$AF:$AF,MATCH(Base!$C462,Bonds!$B:$B,0)),
IF($V462="IPCA",INDEX('Debs IPCA'!$Z:$Z,MATCH(Base!$C462,'Debs IPCA'!$A:$A,0))))))</f>
        <v>1.6500000000000001E-2</v>
      </c>
      <c r="Z462" s="43">
        <v>252</v>
      </c>
      <c r="AA462" s="43" t="s">
        <v>30</v>
      </c>
      <c r="AB462" s="43" t="s">
        <v>32</v>
      </c>
      <c r="AC462">
        <f t="shared" si="130"/>
        <v>0</v>
      </c>
      <c r="AD462" s="43" t="s">
        <v>31</v>
      </c>
      <c r="AE462">
        <f t="shared" si="131"/>
        <v>1</v>
      </c>
      <c r="AF462" s="34" t="str" cm="1">
        <f t="array" ref="AF462">INDEX(Ratings!$B$2:$M$40,_xlfn.XMATCH(Base!F462,Ratings!$A$2:$A$40),_xlfn.XMATCH(YEAR(Base!K462),Ratings!$B$1:$M$1))</f>
        <v>BB-</v>
      </c>
      <c r="AG462">
        <f t="shared" si="139"/>
        <v>0</v>
      </c>
      <c r="AH462">
        <f>IFERROR(IFERROR(IFERROR(INDEX('EMBI+'!$B:$B,MATCH(Base!$K462,'EMBI+'!$A:$A,0)),INDEX('EMBI+'!$B:$B,MATCH(Base!$K462+1,'EMBI+'!$A:$A,0))),INDEX('EMBI+'!$B:$B,MATCH(Base!$K462+2,'EMBI+'!$A:$A,0))),INDEX('EMBI+'!$B:$B,MATCH(Base!$K462+3,'EMBI+'!$A:$A,0)))/100</f>
        <v>1.75</v>
      </c>
      <c r="AL462" s="43"/>
      <c r="AM462" s="28"/>
      <c r="AN462" s="28"/>
    </row>
    <row r="463" spans="1:40" x14ac:dyDescent="0.35">
      <c r="A463">
        <f t="shared" si="140"/>
        <v>461</v>
      </c>
      <c r="B463">
        <f>IF(G463="Bonds",COUNTIF($G$3:G463,"Bonds"),0)</f>
        <v>0</v>
      </c>
      <c r="C463" t="str">
        <f t="shared" si="136"/>
        <v>Rumo4073942566</v>
      </c>
      <c r="D463">
        <f t="shared" si="137"/>
        <v>33</v>
      </c>
      <c r="E463" s="43" t="s">
        <v>547</v>
      </c>
      <c r="F463" s="43" t="s">
        <v>548</v>
      </c>
      <c r="G463" s="43" t="s">
        <v>25</v>
      </c>
      <c r="H463">
        <f t="shared" si="127"/>
        <v>0</v>
      </c>
      <c r="I463" s="43" t="s">
        <v>551</v>
      </c>
      <c r="J463" s="34">
        <f t="shared" si="138"/>
        <v>3</v>
      </c>
      <c r="K463" s="28">
        <v>40739</v>
      </c>
      <c r="L463" s="28">
        <v>42566</v>
      </c>
      <c r="M463" s="60">
        <f t="shared" si="128"/>
        <v>5.0054794520547947</v>
      </c>
      <c r="N463" s="4">
        <f t="shared" si="129"/>
        <v>1</v>
      </c>
      <c r="O463" s="43" t="s">
        <v>44</v>
      </c>
      <c r="P463" t="str">
        <f t="shared" si="132"/>
        <v>0</v>
      </c>
      <c r="Q463" s="44">
        <v>13376</v>
      </c>
      <c r="R463" s="43">
        <v>10741.24</v>
      </c>
      <c r="S463" s="34" t="str">
        <f>IF($V463="USD",INDEX('Dólar Spot'!$B:$B,MATCH(Base!$K463,'Dólar Spot'!$A:$A,0)),"")</f>
        <v/>
      </c>
      <c r="T463" s="4">
        <f t="shared" si="141"/>
        <v>143674826.24000001</v>
      </c>
      <c r="U463" s="8">
        <f t="shared" si="133"/>
        <v>1.4367482624000001</v>
      </c>
      <c r="V463" s="43" t="s">
        <v>41</v>
      </c>
      <c r="W463" s="45">
        <v>100</v>
      </c>
      <c r="X463" s="46">
        <v>1.65</v>
      </c>
      <c r="Y463" s="9">
        <f>IF(AND(V463="DI",$W463=100),$X463/100,
IF(AND(V463="DI",$W463&lt;&gt;100,$X463=""),INDEX('Debs %CDI'!$Q:$Q,MATCH(Base!$C463,'Debs %CDI'!$A:$A,0)),
IF($V463="USD",INDEX(Bonds!$AF:$AF,MATCH(Base!$C463,Bonds!$B:$B,0)),
IF($V463="IPCA",INDEX('Debs IPCA'!$Z:$Z,MATCH(Base!$C463,'Debs IPCA'!$A:$A,0))))))</f>
        <v>1.6500000000000001E-2</v>
      </c>
      <c r="Z463" s="43">
        <v>252</v>
      </c>
      <c r="AA463" s="43" t="s">
        <v>30</v>
      </c>
      <c r="AB463" s="43" t="s">
        <v>32</v>
      </c>
      <c r="AC463">
        <f t="shared" si="130"/>
        <v>0</v>
      </c>
      <c r="AD463" s="43" t="s">
        <v>31</v>
      </c>
      <c r="AE463">
        <f t="shared" si="131"/>
        <v>1</v>
      </c>
      <c r="AF463" s="34" t="str" cm="1">
        <f t="array" ref="AF463">INDEX(Ratings!$B$2:$M$40,_xlfn.XMATCH(Base!F463,Ratings!$A$2:$A$40),_xlfn.XMATCH(YEAR(Base!K463),Ratings!$B$1:$M$1))</f>
        <v>BB-</v>
      </c>
      <c r="AG463">
        <f t="shared" si="139"/>
        <v>0</v>
      </c>
      <c r="AH463">
        <f>IFERROR(IFERROR(IFERROR(INDEX('EMBI+'!$B:$B,MATCH(Base!$K463,'EMBI+'!$A:$A,0)),INDEX('EMBI+'!$B:$B,MATCH(Base!$K463+1,'EMBI+'!$A:$A,0))),INDEX('EMBI+'!$B:$B,MATCH(Base!$K463+2,'EMBI+'!$A:$A,0))),INDEX('EMBI+'!$B:$B,MATCH(Base!$K463+3,'EMBI+'!$A:$A,0)))/100</f>
        <v>1.73</v>
      </c>
      <c r="AL463" s="43"/>
      <c r="AM463" s="28"/>
      <c r="AN463" s="28"/>
    </row>
    <row r="464" spans="1:40" x14ac:dyDescent="0.35">
      <c r="A464">
        <f t="shared" si="140"/>
        <v>462</v>
      </c>
      <c r="B464">
        <f>IF(G464="Bonds",COUNTIF($G$3:G464,"Bonds"),0)</f>
        <v>0</v>
      </c>
      <c r="C464" t="str">
        <f t="shared" si="136"/>
        <v>Rumo4064843205</v>
      </c>
      <c r="D464">
        <f t="shared" si="137"/>
        <v>33</v>
      </c>
      <c r="E464" s="43" t="s">
        <v>547</v>
      </c>
      <c r="F464" s="43" t="s">
        <v>548</v>
      </c>
      <c r="G464" s="43" t="s">
        <v>25</v>
      </c>
      <c r="H464">
        <f t="shared" si="127"/>
        <v>0</v>
      </c>
      <c r="I464" s="43" t="s">
        <v>552</v>
      </c>
      <c r="J464" s="34">
        <f t="shared" si="138"/>
        <v>4</v>
      </c>
      <c r="K464" s="28">
        <v>40648</v>
      </c>
      <c r="L464" s="28">
        <v>43205</v>
      </c>
      <c r="M464" s="60">
        <f t="shared" si="128"/>
        <v>7.0054794520547947</v>
      </c>
      <c r="N464" s="4">
        <f t="shared" si="129"/>
        <v>1</v>
      </c>
      <c r="O464" s="43" t="s">
        <v>44</v>
      </c>
      <c r="P464" t="str">
        <f t="shared" si="132"/>
        <v>0</v>
      </c>
      <c r="Q464" s="44">
        <v>27084</v>
      </c>
      <c r="R464" s="43">
        <v>10000</v>
      </c>
      <c r="S464" s="34" t="str">
        <f>IF($V464="USD",INDEX('Dólar Spot'!$B:$B,MATCH(Base!$K464,'Dólar Spot'!$A:$A,0)),"")</f>
        <v/>
      </c>
      <c r="T464" s="4">
        <f t="shared" si="141"/>
        <v>270840000</v>
      </c>
      <c r="U464" s="8">
        <f t="shared" si="133"/>
        <v>2.7084000000000001</v>
      </c>
      <c r="V464" s="43" t="s">
        <v>28</v>
      </c>
      <c r="W464" s="45" t="s">
        <v>29</v>
      </c>
      <c r="X464" s="46">
        <v>8.4</v>
      </c>
      <c r="Y464" s="9">
        <f>IF(AND(V464="DI",$W464=100),$X464/100,
IF(AND(V464="DI",$W464&lt;&gt;100,$X464=""),INDEX('Debs %CDI'!$Q:$Q,MATCH(Base!$C464,'Debs %CDI'!$A:$A,0)),
IF($V464="USD",INDEX(Bonds!$AF:$AF,MATCH(Base!$C464,Bonds!$B:$B,0)),
IF($V464="IPCA",INDEX('Debs IPCA'!$Z:$Z,MATCH(Base!$C464,'Debs IPCA'!$A:$A,0))))))</f>
        <v>1.9193198348066431E-2</v>
      </c>
      <c r="Z464" s="43">
        <v>252</v>
      </c>
      <c r="AA464" s="43" t="s">
        <v>30</v>
      </c>
      <c r="AB464" s="43" t="s">
        <v>32</v>
      </c>
      <c r="AC464">
        <f t="shared" si="130"/>
        <v>0</v>
      </c>
      <c r="AD464" s="43" t="s">
        <v>31</v>
      </c>
      <c r="AE464">
        <f t="shared" si="131"/>
        <v>1</v>
      </c>
      <c r="AF464" s="34" t="str" cm="1">
        <f t="array" ref="AF464">INDEX(Ratings!$B$2:$M$40,_xlfn.XMATCH(Base!F464,Ratings!$A$2:$A$40),_xlfn.XMATCH(YEAR(Base!K464),Ratings!$B$1:$M$1))</f>
        <v>BB-</v>
      </c>
      <c r="AG464">
        <f t="shared" si="139"/>
        <v>0</v>
      </c>
      <c r="AH464">
        <f>IFERROR(IFERROR(IFERROR(INDEX('EMBI+'!$B:$B,MATCH(Base!$K464,'EMBI+'!$A:$A,0)),INDEX('EMBI+'!$B:$B,MATCH(Base!$K464+1,'EMBI+'!$A:$A,0))),INDEX('EMBI+'!$B:$B,MATCH(Base!$K464+2,'EMBI+'!$A:$A,0))),INDEX('EMBI+'!$B:$B,MATCH(Base!$K464+3,'EMBI+'!$A:$A,0)))/100</f>
        <v>1.75</v>
      </c>
      <c r="AL464" s="43"/>
      <c r="AM464" s="28"/>
      <c r="AN464" s="28"/>
    </row>
    <row r="465" spans="1:40" x14ac:dyDescent="0.35">
      <c r="A465">
        <f t="shared" si="140"/>
        <v>463</v>
      </c>
      <c r="B465">
        <f>IF(G465="Bonds",COUNTIF($G$3:G465,"Bonds"),0)</f>
        <v>0</v>
      </c>
      <c r="C465" t="str">
        <f t="shared" si="136"/>
        <v>Rumo4073942566</v>
      </c>
      <c r="D465">
        <f t="shared" si="137"/>
        <v>33</v>
      </c>
      <c r="E465" s="43" t="s">
        <v>547</v>
      </c>
      <c r="F465" s="43" t="s">
        <v>548</v>
      </c>
      <c r="G465" s="43" t="s">
        <v>25</v>
      </c>
      <c r="H465">
        <f t="shared" si="127"/>
        <v>0</v>
      </c>
      <c r="I465" s="43" t="s">
        <v>553</v>
      </c>
      <c r="J465" s="34">
        <f t="shared" si="138"/>
        <v>5</v>
      </c>
      <c r="K465" s="28">
        <v>40739</v>
      </c>
      <c r="L465" s="28">
        <v>42566</v>
      </c>
      <c r="M465" s="60">
        <f t="shared" si="128"/>
        <v>5.0054794520547947</v>
      </c>
      <c r="N465" s="4">
        <f t="shared" si="129"/>
        <v>1</v>
      </c>
      <c r="O465" s="43" t="s">
        <v>44</v>
      </c>
      <c r="P465" t="str">
        <f t="shared" si="132"/>
        <v>0</v>
      </c>
      <c r="Q465" s="44">
        <v>28056</v>
      </c>
      <c r="R465" s="43">
        <v>7698.94</v>
      </c>
      <c r="S465" s="34" t="str">
        <f>IF($V465="USD",INDEX('Dólar Spot'!$B:$B,MATCH(Base!$K465,'Dólar Spot'!$A:$A,0)),"")</f>
        <v/>
      </c>
      <c r="T465" s="4">
        <f t="shared" si="141"/>
        <v>216001460.63999999</v>
      </c>
      <c r="U465" s="8">
        <f t="shared" si="133"/>
        <v>2.1600146063999999</v>
      </c>
      <c r="V465" s="43" t="s">
        <v>41</v>
      </c>
      <c r="W465" s="45">
        <v>100</v>
      </c>
      <c r="X465" s="46">
        <v>1.65</v>
      </c>
      <c r="Y465" s="9">
        <f>IF(AND(V465="DI",$W465=100),$X465/100,
IF(AND(V465="DI",$W465&lt;&gt;100,$X465=""),INDEX('Debs %CDI'!$Q:$Q,MATCH(Base!$C465,'Debs %CDI'!$A:$A,0)),
IF($V465="USD",INDEX(Bonds!$AF:$AF,MATCH(Base!$C465,Bonds!$B:$B,0)),
IF($V465="IPCA",INDEX('Debs IPCA'!$Z:$Z,MATCH(Base!$C465,'Debs IPCA'!$A:$A,0))))))</f>
        <v>1.6500000000000001E-2</v>
      </c>
      <c r="Z465" s="43">
        <v>252</v>
      </c>
      <c r="AA465" s="43" t="s">
        <v>30</v>
      </c>
      <c r="AB465" s="43" t="s">
        <v>32</v>
      </c>
      <c r="AC465">
        <f t="shared" si="130"/>
        <v>0</v>
      </c>
      <c r="AD465" s="43" t="s">
        <v>31</v>
      </c>
      <c r="AE465">
        <f t="shared" si="131"/>
        <v>1</v>
      </c>
      <c r="AF465" s="34" t="str" cm="1">
        <f t="array" ref="AF465">INDEX(Ratings!$B$2:$M$40,_xlfn.XMATCH(Base!F465,Ratings!$A$2:$A$40),_xlfn.XMATCH(YEAR(Base!K465),Ratings!$B$1:$M$1))</f>
        <v>BB-</v>
      </c>
      <c r="AG465">
        <f t="shared" si="139"/>
        <v>0</v>
      </c>
      <c r="AH465">
        <f>IFERROR(IFERROR(IFERROR(INDEX('EMBI+'!$B:$B,MATCH(Base!$K465,'EMBI+'!$A:$A,0)),INDEX('EMBI+'!$B:$B,MATCH(Base!$K465+1,'EMBI+'!$A:$A,0))),INDEX('EMBI+'!$B:$B,MATCH(Base!$K465+2,'EMBI+'!$A:$A,0))),INDEX('EMBI+'!$B:$B,MATCH(Base!$K465+3,'EMBI+'!$A:$A,0)))/100</f>
        <v>1.73</v>
      </c>
      <c r="AL465" s="43"/>
      <c r="AM465" s="28"/>
      <c r="AN465" s="28"/>
    </row>
    <row r="466" spans="1:40" x14ac:dyDescent="0.35">
      <c r="A466">
        <f t="shared" si="140"/>
        <v>464</v>
      </c>
      <c r="B466">
        <f>IF(G466="Bonds",COUNTIF($G$3:G466,"Bonds"),0)</f>
        <v>0</v>
      </c>
      <c r="C466" t="str">
        <f t="shared" si="136"/>
        <v>Rumo4211843214</v>
      </c>
      <c r="D466">
        <f t="shared" si="137"/>
        <v>33</v>
      </c>
      <c r="E466" s="43" t="s">
        <v>547</v>
      </c>
      <c r="F466" s="43" t="s">
        <v>548</v>
      </c>
      <c r="G466" s="43" t="s">
        <v>25</v>
      </c>
      <c r="H466">
        <f t="shared" si="127"/>
        <v>0</v>
      </c>
      <c r="I466" s="43" t="s">
        <v>554</v>
      </c>
      <c r="J466" s="34">
        <f t="shared" si="138"/>
        <v>6</v>
      </c>
      <c r="K466" s="28">
        <v>42118</v>
      </c>
      <c r="L466" s="28">
        <v>43214</v>
      </c>
      <c r="M466" s="60">
        <f t="shared" si="128"/>
        <v>3.0027397260273974</v>
      </c>
      <c r="N466" s="4">
        <f t="shared" si="129"/>
        <v>0</v>
      </c>
      <c r="O466" s="43" t="s">
        <v>44</v>
      </c>
      <c r="P466" t="str">
        <f t="shared" si="132"/>
        <v>0</v>
      </c>
      <c r="Q466" s="44">
        <v>140000</v>
      </c>
      <c r="R466" s="43">
        <v>10000</v>
      </c>
      <c r="S466" s="34" t="str">
        <f>IF($V466="USD",INDEX('Dólar Spot'!$B:$B,MATCH(Base!$K466,'Dólar Spot'!$A:$A,0)),"")</f>
        <v/>
      </c>
      <c r="T466" s="4">
        <f t="shared" si="141"/>
        <v>1400000000</v>
      </c>
      <c r="U466" s="8">
        <f t="shared" si="133"/>
        <v>14</v>
      </c>
      <c r="V466" s="43" t="s">
        <v>41</v>
      </c>
      <c r="W466" s="45">
        <v>100</v>
      </c>
      <c r="X466" s="46">
        <v>2.5499999999999998</v>
      </c>
      <c r="Y466" s="9">
        <f>IF(AND(V466="DI",$W466=100),$X466/100,
IF(AND(V466="DI",$W466&lt;&gt;100,$X466=""),INDEX('Debs %CDI'!$Q:$Q,MATCH(Base!$C466,'Debs %CDI'!$A:$A,0)),
IF($V466="USD",INDEX(Bonds!$AF:$AF,MATCH(Base!$C466,Bonds!$B:$B,0)),
IF($V466="IPCA",INDEX('Debs IPCA'!$Z:$Z,MATCH(Base!$C466,'Debs IPCA'!$A:$A,0))))))</f>
        <v>2.5499999999999998E-2</v>
      </c>
      <c r="Z466" s="43">
        <v>252</v>
      </c>
      <c r="AA466" s="43" t="s">
        <v>30</v>
      </c>
      <c r="AB466" s="43" t="s">
        <v>32</v>
      </c>
      <c r="AC466">
        <f t="shared" si="130"/>
        <v>0</v>
      </c>
      <c r="AD466" s="43" t="s">
        <v>31</v>
      </c>
      <c r="AE466">
        <f t="shared" si="131"/>
        <v>1</v>
      </c>
      <c r="AF466" s="34" t="str" cm="1">
        <f t="array" ref="AF466">INDEX(Ratings!$B$2:$M$40,_xlfn.XMATCH(Base!F466,Ratings!$A$2:$A$40),_xlfn.XMATCH(YEAR(Base!K466),Ratings!$B$1:$M$1))</f>
        <v>BB-</v>
      </c>
      <c r="AG466">
        <f t="shared" si="139"/>
        <v>0</v>
      </c>
      <c r="AH466">
        <f>IFERROR(IFERROR(IFERROR(INDEX('EMBI+'!$B:$B,MATCH(Base!$K466,'EMBI+'!$A:$A,0)),INDEX('EMBI+'!$B:$B,MATCH(Base!$K466+1,'EMBI+'!$A:$A,0))),INDEX('EMBI+'!$B:$B,MATCH(Base!$K466+2,'EMBI+'!$A:$A,0))),INDEX('EMBI+'!$B:$B,MATCH(Base!$K466+3,'EMBI+'!$A:$A,0)))/100</f>
        <v>2.8</v>
      </c>
      <c r="AL466" s="43"/>
      <c r="AM466" s="28"/>
      <c r="AN466" s="28"/>
    </row>
    <row r="467" spans="1:40" x14ac:dyDescent="0.35">
      <c r="A467">
        <f t="shared" si="140"/>
        <v>465</v>
      </c>
      <c r="B467">
        <f>IF(G467="Bonds",COUNTIF($G$3:G467,"Bonds"),0)</f>
        <v>0</v>
      </c>
      <c r="C467" t="str">
        <f t="shared" si="136"/>
        <v>Rumo4351147164</v>
      </c>
      <c r="D467">
        <f t="shared" si="137"/>
        <v>33</v>
      </c>
      <c r="E467" s="43" t="s">
        <v>547</v>
      </c>
      <c r="F467" s="43" t="s">
        <v>548</v>
      </c>
      <c r="G467" s="43" t="s">
        <v>25</v>
      </c>
      <c r="H467">
        <f t="shared" si="127"/>
        <v>0</v>
      </c>
      <c r="I467" s="43" t="s">
        <v>555</v>
      </c>
      <c r="J467" s="34">
        <f t="shared" si="138"/>
        <v>7</v>
      </c>
      <c r="K467" s="28">
        <v>43511</v>
      </c>
      <c r="L467" s="28">
        <v>47164</v>
      </c>
      <c r="M467" s="60">
        <f t="shared" si="128"/>
        <v>10.008219178082191</v>
      </c>
      <c r="N467" s="4">
        <f t="shared" si="129"/>
        <v>1</v>
      </c>
      <c r="O467" s="43" t="s">
        <v>44</v>
      </c>
      <c r="P467" t="str">
        <f t="shared" si="132"/>
        <v>0</v>
      </c>
      <c r="Q467" s="44">
        <v>600000</v>
      </c>
      <c r="R467" s="43">
        <v>1000</v>
      </c>
      <c r="S467" s="34" t="str">
        <f>IF($V467="USD",INDEX('Dólar Spot'!$B:$B,MATCH(Base!$K467,'Dólar Spot'!$A:$A,0)),"")</f>
        <v/>
      </c>
      <c r="T467" s="4">
        <f t="shared" si="141"/>
        <v>600000000</v>
      </c>
      <c r="U467" s="8">
        <f t="shared" si="133"/>
        <v>6</v>
      </c>
      <c r="V467" s="43" t="s">
        <v>28</v>
      </c>
      <c r="W467" s="45" t="s">
        <v>29</v>
      </c>
      <c r="X467" s="46">
        <v>4.5</v>
      </c>
      <c r="Y467" s="9">
        <f>IF(AND(V467="DI",$W467=100),$X467/100,
IF(AND(V467="DI",$W467&lt;&gt;100,$X467=""),INDEX('Debs %CDI'!$Q:$Q,MATCH(Base!$C467,'Debs %CDI'!$A:$A,0)),
IF($V467="USD",INDEX(Bonds!$AF:$AF,MATCH(Base!$C467,Bonds!$B:$B,0)),
IF($V467="IPCA",INDEX('Debs IPCA'!$Z:$Z,MATCH(Base!$C467,'Debs IPCA'!$A:$A,0))))))</f>
        <v>1.2331886793079949E-3</v>
      </c>
      <c r="Z467" s="43">
        <v>252</v>
      </c>
      <c r="AA467" s="43" t="s">
        <v>30</v>
      </c>
      <c r="AB467" s="43" t="s">
        <v>31</v>
      </c>
      <c r="AC467">
        <f t="shared" si="130"/>
        <v>1</v>
      </c>
      <c r="AD467" s="43" t="s">
        <v>32</v>
      </c>
      <c r="AE467">
        <f t="shared" si="131"/>
        <v>0</v>
      </c>
      <c r="AF467" s="34" t="str" cm="1">
        <f t="array" ref="AF467">INDEX(Ratings!$B$2:$M$40,_xlfn.XMATCH(Base!F467,Ratings!$A$2:$A$40),_xlfn.XMATCH(YEAR(Base!K467),Ratings!$B$1:$M$1))</f>
        <v>BB</v>
      </c>
      <c r="AG467">
        <f t="shared" si="139"/>
        <v>0</v>
      </c>
      <c r="AH467">
        <f>IFERROR(IFERROR(IFERROR(INDEX('EMBI+'!$B:$B,MATCH(Base!$K467,'EMBI+'!$A:$A,0)),INDEX('EMBI+'!$B:$B,MATCH(Base!$K467+1,'EMBI+'!$A:$A,0))),INDEX('EMBI+'!$B:$B,MATCH(Base!$K467+2,'EMBI+'!$A:$A,0))),INDEX('EMBI+'!$B:$B,MATCH(Base!$K467+3,'EMBI+'!$A:$A,0)))/100</f>
        <v>2.41</v>
      </c>
      <c r="AL467" s="43"/>
      <c r="AM467" s="28"/>
      <c r="AN467" s="28"/>
    </row>
    <row r="468" spans="1:40" x14ac:dyDescent="0.35">
      <c r="A468">
        <f t="shared" si="140"/>
        <v>466</v>
      </c>
      <c r="B468">
        <f>IF(G468="Bonds",COUNTIF($G$3:G468,"Bonds"),0)</f>
        <v>0</v>
      </c>
      <c r="C468" t="str">
        <f t="shared" si="136"/>
        <v>Rumo4375347406</v>
      </c>
      <c r="D468">
        <f t="shared" si="137"/>
        <v>33</v>
      </c>
      <c r="E468" s="43" t="s">
        <v>547</v>
      </c>
      <c r="F468" s="43" t="s">
        <v>548</v>
      </c>
      <c r="G468" s="43" t="s">
        <v>25</v>
      </c>
      <c r="H468">
        <f t="shared" si="127"/>
        <v>0</v>
      </c>
      <c r="I468" s="43" t="s">
        <v>556</v>
      </c>
      <c r="J468" s="34">
        <f t="shared" si="138"/>
        <v>8</v>
      </c>
      <c r="K468" s="28">
        <v>43753</v>
      </c>
      <c r="L468" s="28">
        <v>47406</v>
      </c>
      <c r="M468" s="60">
        <f t="shared" si="128"/>
        <v>10.008219178082191</v>
      </c>
      <c r="N468" s="4">
        <f t="shared" si="129"/>
        <v>1</v>
      </c>
      <c r="O468" s="43" t="s">
        <v>44</v>
      </c>
      <c r="P468" t="str">
        <f t="shared" si="132"/>
        <v>0</v>
      </c>
      <c r="Q468" s="44">
        <v>906856</v>
      </c>
      <c r="R468" s="43">
        <v>1000</v>
      </c>
      <c r="S468" s="34" t="str">
        <f>IF($V468="USD",INDEX('Dólar Spot'!$B:$B,MATCH(Base!$K468,'Dólar Spot'!$A:$A,0)),"")</f>
        <v/>
      </c>
      <c r="T468" s="4">
        <f t="shared" si="141"/>
        <v>906856000</v>
      </c>
      <c r="U468" s="8">
        <f t="shared" si="133"/>
        <v>9.0685599999999997</v>
      </c>
      <c r="V468" s="43" t="s">
        <v>28</v>
      </c>
      <c r="W468" s="45" t="s">
        <v>29</v>
      </c>
      <c r="X468" s="46">
        <v>3.9</v>
      </c>
      <c r="Y468" s="9">
        <f>IF(AND(V468="DI",$W468=100),$X468/100,
IF(AND(V468="DI",$W468&lt;&gt;100,$X468=""),INDEX('Debs %CDI'!$Q:$Q,MATCH(Base!$C468,'Debs %CDI'!$A:$A,0)),
IF($V468="USD",INDEX(Bonds!$AF:$AF,MATCH(Base!$C468,Bonds!$B:$B,0)),
IF($V468="IPCA",INDEX('Debs IPCA'!$Z:$Z,MATCH(Base!$C468,'Debs IPCA'!$A:$A,0))))))</f>
        <v>6.8613025290367169E-3</v>
      </c>
      <c r="Z468" s="43">
        <v>252</v>
      </c>
      <c r="AA468" s="43" t="s">
        <v>30</v>
      </c>
      <c r="AB468" s="43" t="s">
        <v>31</v>
      </c>
      <c r="AC468">
        <f t="shared" si="130"/>
        <v>1</v>
      </c>
      <c r="AD468" s="43" t="s">
        <v>32</v>
      </c>
      <c r="AE468">
        <f t="shared" si="131"/>
        <v>0</v>
      </c>
      <c r="AF468" s="34" t="str" cm="1">
        <f t="array" ref="AF468">INDEX(Ratings!$B$2:$M$40,_xlfn.XMATCH(Base!F468,Ratings!$A$2:$A$40),_xlfn.XMATCH(YEAR(Base!K468),Ratings!$B$1:$M$1))</f>
        <v>BB</v>
      </c>
      <c r="AG468">
        <f t="shared" si="139"/>
        <v>0</v>
      </c>
      <c r="AH468">
        <f>IFERROR(IFERROR(IFERROR(INDEX('EMBI+'!$B:$B,MATCH(Base!$K468,'EMBI+'!$A:$A,0)),INDEX('EMBI+'!$B:$B,MATCH(Base!$K468+1,'EMBI+'!$A:$A,0))),INDEX('EMBI+'!$B:$B,MATCH(Base!$K468+2,'EMBI+'!$A:$A,0))),INDEX('EMBI+'!$B:$B,MATCH(Base!$K468+3,'EMBI+'!$A:$A,0)))/100</f>
        <v>2.37</v>
      </c>
      <c r="AL468" s="43"/>
      <c r="AM468" s="28"/>
      <c r="AN468" s="28"/>
    </row>
    <row r="469" spans="1:40" x14ac:dyDescent="0.35">
      <c r="A469">
        <f t="shared" si="140"/>
        <v>467</v>
      </c>
      <c r="B469">
        <f>IF(G469="Bonds",COUNTIF($G$3:G469,"Bonds"),0)</f>
        <v>0</v>
      </c>
      <c r="C469" t="str">
        <f t="shared" si="136"/>
        <v>Rumo4393647588</v>
      </c>
      <c r="D469">
        <f t="shared" si="137"/>
        <v>33</v>
      </c>
      <c r="E469" s="43" t="s">
        <v>547</v>
      </c>
      <c r="F469" s="43" t="s">
        <v>548</v>
      </c>
      <c r="G469" s="43" t="s">
        <v>25</v>
      </c>
      <c r="H469">
        <f t="shared" si="127"/>
        <v>0</v>
      </c>
      <c r="I469" s="43" t="s">
        <v>557</v>
      </c>
      <c r="J469" s="34">
        <f t="shared" si="138"/>
        <v>9</v>
      </c>
      <c r="K469" s="28">
        <v>43936</v>
      </c>
      <c r="L469" s="28">
        <v>47588</v>
      </c>
      <c r="M469" s="60">
        <f t="shared" si="128"/>
        <v>10.005479452054795</v>
      </c>
      <c r="N469" s="4">
        <f t="shared" si="129"/>
        <v>1</v>
      </c>
      <c r="O469" s="43" t="s">
        <v>44</v>
      </c>
      <c r="P469" t="str">
        <f t="shared" si="132"/>
        <v>0</v>
      </c>
      <c r="Q469" s="44">
        <v>800000</v>
      </c>
      <c r="R469" s="43">
        <v>1000</v>
      </c>
      <c r="S469" s="34" t="str">
        <f>IF($V469="USD",INDEX('Dólar Spot'!$B:$B,MATCH(Base!$K469,'Dólar Spot'!$A:$A,0)),"")</f>
        <v/>
      </c>
      <c r="T469" s="4">
        <f t="shared" si="141"/>
        <v>800000000</v>
      </c>
      <c r="U469" s="8">
        <f t="shared" si="133"/>
        <v>8</v>
      </c>
      <c r="V469" s="43" t="s">
        <v>28</v>
      </c>
      <c r="W469" s="45" t="s">
        <v>29</v>
      </c>
      <c r="X469" s="46">
        <v>6.7961</v>
      </c>
      <c r="Y469" s="9">
        <f>IF(AND(V469="DI",$W469=100),$X469/100,
IF(AND(V469="DI",$W469&lt;&gt;100,$X469=""),INDEX('Debs %CDI'!$Q:$Q,MATCH(Base!$C469,'Debs %CDI'!$A:$A,0)),
IF($V469="USD",INDEX(Bonds!$AF:$AF,MATCH(Base!$C469,Bonds!$B:$B,0)),
IF($V469="IPCA",INDEX('Debs IPCA'!$Z:$Z,MATCH(Base!$C469,'Debs IPCA'!$A:$A,0))))))</f>
        <v>2.8576984540753747E-2</v>
      </c>
      <c r="Z469" s="43">
        <v>252</v>
      </c>
      <c r="AA469" s="43" t="s">
        <v>30</v>
      </c>
      <c r="AB469" s="43" t="s">
        <v>31</v>
      </c>
      <c r="AC469">
        <f t="shared" si="130"/>
        <v>1</v>
      </c>
      <c r="AD469" s="43" t="s">
        <v>32</v>
      </c>
      <c r="AE469">
        <f t="shared" si="131"/>
        <v>0</v>
      </c>
      <c r="AF469" s="34" t="str" cm="1">
        <f t="array" ref="AF469">INDEX(Ratings!$B$2:$M$40,_xlfn.XMATCH(Base!F469,Ratings!$A$2:$A$40),_xlfn.XMATCH(YEAR(Base!K469),Ratings!$B$1:$M$1))</f>
        <v>BB</v>
      </c>
      <c r="AG469">
        <f t="shared" si="139"/>
        <v>0</v>
      </c>
      <c r="AH469">
        <f>IFERROR(IFERROR(IFERROR(INDEX('EMBI+'!$B:$B,MATCH(Base!$K469,'EMBI+'!$A:$A,0)),INDEX('EMBI+'!$B:$B,MATCH(Base!$K469+1,'EMBI+'!$A:$A,0))),INDEX('EMBI+'!$B:$B,MATCH(Base!$K469+2,'EMBI+'!$A:$A,0))),INDEX('EMBI+'!$B:$B,MATCH(Base!$K469+3,'EMBI+'!$A:$A,0)))/100</f>
        <v>3.94</v>
      </c>
      <c r="AL469" s="43"/>
      <c r="AM469" s="28"/>
      <c r="AN469" s="28"/>
    </row>
    <row r="470" spans="1:40" x14ac:dyDescent="0.35">
      <c r="A470">
        <f t="shared" si="140"/>
        <v>468</v>
      </c>
      <c r="B470">
        <f>IF(G470="Bonds",COUNTIF($G$3:G470,"Bonds"),0)</f>
        <v>0</v>
      </c>
      <c r="C470" t="str">
        <f t="shared" si="136"/>
        <v>Rumo4418047832</v>
      </c>
      <c r="D470">
        <f t="shared" si="137"/>
        <v>33</v>
      </c>
      <c r="E470" s="43" t="s">
        <v>547</v>
      </c>
      <c r="F470" s="43" t="s">
        <v>548</v>
      </c>
      <c r="G470" s="43" t="s">
        <v>25</v>
      </c>
      <c r="H470">
        <f t="shared" si="127"/>
        <v>0</v>
      </c>
      <c r="I470" s="43" t="s">
        <v>558</v>
      </c>
      <c r="J470" s="34">
        <f t="shared" si="138"/>
        <v>10</v>
      </c>
      <c r="K470" s="28">
        <v>44180</v>
      </c>
      <c r="L470" s="28">
        <v>47832</v>
      </c>
      <c r="M470" s="60">
        <f t="shared" si="128"/>
        <v>10.005479452054795</v>
      </c>
      <c r="N470" s="4">
        <f t="shared" si="129"/>
        <v>1</v>
      </c>
      <c r="O470" s="43" t="s">
        <v>44</v>
      </c>
      <c r="P470" t="str">
        <f t="shared" si="132"/>
        <v>0</v>
      </c>
      <c r="Q470" s="44">
        <v>376523</v>
      </c>
      <c r="R470" s="43">
        <v>1000</v>
      </c>
      <c r="S470" s="34" t="str">
        <f>IF($V470="USD",INDEX('Dólar Spot'!$B:$B,MATCH(Base!$K470,'Dólar Spot'!$A:$A,0)),"")</f>
        <v/>
      </c>
      <c r="T470" s="4">
        <f t="shared" si="141"/>
        <v>376523000</v>
      </c>
      <c r="U470" s="8">
        <f t="shared" si="133"/>
        <v>3.7652299999999999</v>
      </c>
      <c r="V470" s="43" t="s">
        <v>28</v>
      </c>
      <c r="W470" s="45" t="s">
        <v>29</v>
      </c>
      <c r="X470" s="46">
        <v>3.6</v>
      </c>
      <c r="Y470" s="9">
        <f>IF(AND(V470="DI",$W470=100),$X470/100,
IF(AND(V470="DI",$W470&lt;&gt;100,$X470=""),INDEX('Debs %CDI'!$Q:$Q,MATCH(Base!$C470,'Debs %CDI'!$A:$A,0)),
IF($V470="USD",INDEX(Bonds!$AF:$AF,MATCH(Base!$C470,Bonds!$B:$B,0)),
IF($V470="IPCA",INDEX('Debs IPCA'!$Z:$Z,MATCH(Base!$C470,'Debs IPCA'!$A:$A,0))))))</f>
        <v>4.1822530079089759E-3</v>
      </c>
      <c r="Z470" s="43">
        <v>252</v>
      </c>
      <c r="AA470" s="43" t="s">
        <v>30</v>
      </c>
      <c r="AB470" s="43" t="s">
        <v>31</v>
      </c>
      <c r="AC470">
        <f t="shared" si="130"/>
        <v>1</v>
      </c>
      <c r="AD470" s="43" t="s">
        <v>32</v>
      </c>
      <c r="AE470">
        <f t="shared" si="131"/>
        <v>0</v>
      </c>
      <c r="AF470" s="34" t="str" cm="1">
        <f t="array" ref="AF470">INDEX(Ratings!$B$2:$M$40,_xlfn.XMATCH(Base!F470,Ratings!$A$2:$A$40),_xlfn.XMATCH(YEAR(Base!K470),Ratings!$B$1:$M$1))</f>
        <v>BB</v>
      </c>
      <c r="AG470">
        <f t="shared" si="139"/>
        <v>0</v>
      </c>
      <c r="AH470">
        <f>IFERROR(IFERROR(IFERROR(INDEX('EMBI+'!$B:$B,MATCH(Base!$K470,'EMBI+'!$A:$A,0)),INDEX('EMBI+'!$B:$B,MATCH(Base!$K470+1,'EMBI+'!$A:$A,0))),INDEX('EMBI+'!$B:$B,MATCH(Base!$K470+2,'EMBI+'!$A:$A,0))),INDEX('EMBI+'!$B:$B,MATCH(Base!$K470+3,'EMBI+'!$A:$A,0)))/100</f>
        <v>2.63</v>
      </c>
      <c r="AL470" s="43"/>
      <c r="AM470" s="28"/>
      <c r="AN470" s="28"/>
    </row>
    <row r="471" spans="1:40" x14ac:dyDescent="0.35">
      <c r="A471">
        <f t="shared" si="140"/>
        <v>469</v>
      </c>
      <c r="B471">
        <f>IF(G471="Bonds",COUNTIF($G$3:G471,"Bonds"),0)</f>
        <v>0</v>
      </c>
      <c r="C471" t="str">
        <f t="shared" si="136"/>
        <v>Rumo4436248014</v>
      </c>
      <c r="D471">
        <f t="shared" si="137"/>
        <v>33</v>
      </c>
      <c r="E471" s="43" t="s">
        <v>547</v>
      </c>
      <c r="F471" s="43" t="s">
        <v>548</v>
      </c>
      <c r="G471" s="43" t="s">
        <v>25</v>
      </c>
      <c r="H471">
        <f t="shared" si="127"/>
        <v>0</v>
      </c>
      <c r="I471" s="43" t="s">
        <v>559</v>
      </c>
      <c r="J471" s="34">
        <f t="shared" si="138"/>
        <v>11</v>
      </c>
      <c r="K471" s="28">
        <v>44362</v>
      </c>
      <c r="L471" s="28">
        <v>48014</v>
      </c>
      <c r="M471" s="60">
        <f t="shared" si="128"/>
        <v>10.005479452054795</v>
      </c>
      <c r="N471" s="4">
        <f t="shared" si="129"/>
        <v>1</v>
      </c>
      <c r="O471" s="43" t="s">
        <v>44</v>
      </c>
      <c r="P471" t="str">
        <f t="shared" si="132"/>
        <v>0</v>
      </c>
      <c r="Q471" s="44">
        <v>784619</v>
      </c>
      <c r="R471" s="43">
        <v>1000</v>
      </c>
      <c r="S471" s="34" t="str">
        <f>IF($V471="USD",INDEX('Dólar Spot'!$B:$B,MATCH(Base!$K471,'Dólar Spot'!$A:$A,0)),"")</f>
        <v/>
      </c>
      <c r="T471" s="4">
        <f t="shared" si="141"/>
        <v>784619000</v>
      </c>
      <c r="U471" s="8">
        <f t="shared" si="133"/>
        <v>7.84619</v>
      </c>
      <c r="V471" s="43" t="s">
        <v>28</v>
      </c>
      <c r="W471" s="45" t="s">
        <v>29</v>
      </c>
      <c r="X471" s="46">
        <v>4.4997999999999996</v>
      </c>
      <c r="Y471" s="9">
        <f>IF(AND(V471="DI",$W471=100),$X471/100,
IF(AND(V471="DI",$W471&lt;&gt;100,$X471=""),INDEX('Debs %CDI'!$Q:$Q,MATCH(Base!$C471,'Debs %CDI'!$A:$A,0)),
IF($V471="USD",INDEX(Bonds!$AF:$AF,MATCH(Base!$C471,Bonds!$B:$B,0)),
IF($V471="IPCA",INDEX('Debs IPCA'!$Z:$Z,MATCH(Base!$C471,'Debs IPCA'!$A:$A,0))))))</f>
        <v>7.5067311753969079E-3</v>
      </c>
      <c r="Z471" s="43">
        <v>252</v>
      </c>
      <c r="AA471" s="43" t="s">
        <v>30</v>
      </c>
      <c r="AB471" s="43" t="s">
        <v>31</v>
      </c>
      <c r="AC471">
        <f t="shared" si="130"/>
        <v>1</v>
      </c>
      <c r="AD471" s="43" t="s">
        <v>32</v>
      </c>
      <c r="AE471">
        <f t="shared" si="131"/>
        <v>0</v>
      </c>
      <c r="AF471" s="34" t="str" cm="1">
        <f t="array" ref="AF471">INDEX(Ratings!$B$2:$M$40,_xlfn.XMATCH(Base!F471,Ratings!$A$2:$A$40),_xlfn.XMATCH(YEAR(Base!K471),Ratings!$B$1:$M$1))</f>
        <v>BB</v>
      </c>
      <c r="AG471">
        <f t="shared" si="139"/>
        <v>0</v>
      </c>
      <c r="AH471">
        <f>IFERROR(IFERROR(IFERROR(INDEX('EMBI+'!$B:$B,MATCH(Base!$K471,'EMBI+'!$A:$A,0)),INDEX('EMBI+'!$B:$B,MATCH(Base!$K471+1,'EMBI+'!$A:$A,0))),INDEX('EMBI+'!$B:$B,MATCH(Base!$K471+2,'EMBI+'!$A:$A,0))),INDEX('EMBI+'!$B:$B,MATCH(Base!$K471+3,'EMBI+'!$A:$A,0)))/100</f>
        <v>2.66</v>
      </c>
      <c r="AL471" s="43"/>
      <c r="AM471" s="28"/>
      <c r="AN471" s="28"/>
    </row>
    <row r="472" spans="1:40" x14ac:dyDescent="0.35">
      <c r="A472">
        <f t="shared" si="140"/>
        <v>470</v>
      </c>
      <c r="B472">
        <f>IF(G472="Bonds",COUNTIF($G$3:G472,"Bonds"),0)</f>
        <v>0</v>
      </c>
      <c r="C472" t="str">
        <f t="shared" si="136"/>
        <v>Rumo4375347406</v>
      </c>
      <c r="D472">
        <f t="shared" si="137"/>
        <v>33</v>
      </c>
      <c r="E472" s="43" t="s">
        <v>547</v>
      </c>
      <c r="F472" s="43" t="s">
        <v>548</v>
      </c>
      <c r="G472" s="43" t="s">
        <v>25</v>
      </c>
      <c r="H472">
        <f t="shared" si="127"/>
        <v>0</v>
      </c>
      <c r="I472" s="43" t="s">
        <v>560</v>
      </c>
      <c r="J472" s="34">
        <f t="shared" si="138"/>
        <v>12</v>
      </c>
      <c r="K472" s="28">
        <v>43753</v>
      </c>
      <c r="L472" s="28">
        <v>47406</v>
      </c>
      <c r="M472" s="60">
        <f t="shared" si="128"/>
        <v>10.008219178082191</v>
      </c>
      <c r="N472" s="4">
        <f t="shared" si="129"/>
        <v>1</v>
      </c>
      <c r="O472" s="43" t="s">
        <v>44</v>
      </c>
      <c r="P472" t="str">
        <f t="shared" si="132"/>
        <v>0</v>
      </c>
      <c r="Q472" s="44">
        <v>222280</v>
      </c>
      <c r="R472" s="43">
        <v>1000</v>
      </c>
      <c r="S472" s="34" t="str">
        <f>IF($V472="USD",INDEX('Dólar Spot'!$B:$B,MATCH(Base!$K472,'Dólar Spot'!$A:$A,0)),"")</f>
        <v/>
      </c>
      <c r="T472" s="4">
        <f t="shared" si="141"/>
        <v>222280000</v>
      </c>
      <c r="U472" s="8">
        <f t="shared" si="133"/>
        <v>2.2227999999999999</v>
      </c>
      <c r="V472" s="43" t="s">
        <v>28</v>
      </c>
      <c r="W472" s="45" t="s">
        <v>29</v>
      </c>
      <c r="X472" s="46">
        <v>4</v>
      </c>
      <c r="Y472" s="9">
        <f>IF(AND(V472="DI",$W472=100),$X472/100,
IF(AND(V472="DI",$W472&lt;&gt;100,$X472=""),INDEX('Debs %CDI'!$Q:$Q,MATCH(Base!$C472,'Debs %CDI'!$A:$A,0)),
IF($V472="USD",INDEX(Bonds!$AF:$AF,MATCH(Base!$C472,Bonds!$B:$B,0)),
IF($V472="IPCA",INDEX('Debs IPCA'!$Z:$Z,MATCH(Base!$C472,'Debs IPCA'!$A:$A,0))))))</f>
        <v>6.8613025290367169E-3</v>
      </c>
      <c r="Z472" s="43">
        <v>252</v>
      </c>
      <c r="AA472" s="43" t="s">
        <v>30</v>
      </c>
      <c r="AB472" s="43" t="s">
        <v>31</v>
      </c>
      <c r="AC472">
        <f t="shared" si="130"/>
        <v>1</v>
      </c>
      <c r="AD472" s="43" t="s">
        <v>32</v>
      </c>
      <c r="AE472">
        <f t="shared" si="131"/>
        <v>0</v>
      </c>
      <c r="AF472" s="34" t="str" cm="1">
        <f t="array" ref="AF472">INDEX(Ratings!$B$2:$M$40,_xlfn.XMATCH(Base!F472,Ratings!$A$2:$A$40),_xlfn.XMATCH(YEAR(Base!K472),Ratings!$B$1:$M$1))</f>
        <v>BB</v>
      </c>
      <c r="AG472">
        <f t="shared" si="139"/>
        <v>0</v>
      </c>
      <c r="AH472">
        <f>IFERROR(IFERROR(IFERROR(INDEX('EMBI+'!$B:$B,MATCH(Base!$K472,'EMBI+'!$A:$A,0)),INDEX('EMBI+'!$B:$B,MATCH(Base!$K472+1,'EMBI+'!$A:$A,0))),INDEX('EMBI+'!$B:$B,MATCH(Base!$K472+2,'EMBI+'!$A:$A,0))),INDEX('EMBI+'!$B:$B,MATCH(Base!$K472+3,'EMBI+'!$A:$A,0)))/100</f>
        <v>2.37</v>
      </c>
      <c r="AL472" s="43"/>
      <c r="AM472" s="28"/>
      <c r="AN472" s="28"/>
    </row>
    <row r="473" spans="1:40" x14ac:dyDescent="0.35">
      <c r="A473">
        <f t="shared" si="140"/>
        <v>471</v>
      </c>
      <c r="B473">
        <f>IF(G473="Bonds",COUNTIF($G$3:G473,"Bonds"),0)</f>
        <v>0</v>
      </c>
      <c r="C473" t="str">
        <f t="shared" si="136"/>
        <v>Rumo4418049658</v>
      </c>
      <c r="D473">
        <f t="shared" si="137"/>
        <v>33</v>
      </c>
      <c r="E473" s="43" t="s">
        <v>547</v>
      </c>
      <c r="F473" s="43" t="s">
        <v>548</v>
      </c>
      <c r="G473" s="43" t="s">
        <v>25</v>
      </c>
      <c r="H473">
        <f t="shared" si="127"/>
        <v>0</v>
      </c>
      <c r="I473" s="43" t="s">
        <v>561</v>
      </c>
      <c r="J473" s="34">
        <f t="shared" si="138"/>
        <v>13</v>
      </c>
      <c r="K473" s="28">
        <v>44180</v>
      </c>
      <c r="L473" s="28">
        <v>49658</v>
      </c>
      <c r="M473" s="60">
        <f t="shared" si="128"/>
        <v>15.008219178082191</v>
      </c>
      <c r="N473" s="4">
        <f t="shared" si="129"/>
        <v>1</v>
      </c>
      <c r="O473" s="43" t="s">
        <v>44</v>
      </c>
      <c r="P473" t="str">
        <f t="shared" si="132"/>
        <v>0</v>
      </c>
      <c r="Q473" s="44">
        <v>823477</v>
      </c>
      <c r="R473" s="43">
        <v>1000</v>
      </c>
      <c r="S473" s="34" t="str">
        <f>IF($V473="USD",INDEX('Dólar Spot'!$B:$B,MATCH(Base!$K473,'Dólar Spot'!$A:$A,0)),"")</f>
        <v/>
      </c>
      <c r="T473" s="4">
        <f t="shared" si="141"/>
        <v>823477000</v>
      </c>
      <c r="U473" s="8">
        <f t="shared" si="133"/>
        <v>8.2347699999999993</v>
      </c>
      <c r="V473" s="43" t="s">
        <v>28</v>
      </c>
      <c r="W473" s="45" t="s">
        <v>29</v>
      </c>
      <c r="X473" s="46">
        <v>4</v>
      </c>
      <c r="Y473" s="9">
        <f>IF(AND(V473="DI",$W473=100),$X473/100,
IF(AND(V473="DI",$W473&lt;&gt;100,$X473=""),INDEX('Debs %CDI'!$Q:$Q,MATCH(Base!$C473,'Debs %CDI'!$A:$A,0)),
IF($V473="USD",INDEX(Bonds!$AF:$AF,MATCH(Base!$C473,Bonds!$B:$B,0)),
IF($V473="IPCA",INDEX('Debs IPCA'!$Z:$Z,MATCH(Base!$C473,'Debs IPCA'!$A:$A,0))))))</f>
        <v>3.0341799518824875E-3</v>
      </c>
      <c r="Z473" s="43">
        <v>252</v>
      </c>
      <c r="AA473" s="43" t="s">
        <v>30</v>
      </c>
      <c r="AB473" s="43" t="s">
        <v>31</v>
      </c>
      <c r="AC473">
        <f t="shared" si="130"/>
        <v>1</v>
      </c>
      <c r="AD473" s="43" t="s">
        <v>32</v>
      </c>
      <c r="AE473">
        <f t="shared" si="131"/>
        <v>0</v>
      </c>
      <c r="AF473" s="34" t="str" cm="1">
        <f t="array" ref="AF473">INDEX(Ratings!$B$2:$M$40,_xlfn.XMATCH(Base!F473,Ratings!$A$2:$A$40),_xlfn.XMATCH(YEAR(Base!K473),Ratings!$B$1:$M$1))</f>
        <v>BB</v>
      </c>
      <c r="AG473">
        <f t="shared" si="139"/>
        <v>0</v>
      </c>
      <c r="AH473">
        <f>IFERROR(IFERROR(IFERROR(INDEX('EMBI+'!$B:$B,MATCH(Base!$K473,'EMBI+'!$A:$A,0)),INDEX('EMBI+'!$B:$B,MATCH(Base!$K473+1,'EMBI+'!$A:$A,0))),INDEX('EMBI+'!$B:$B,MATCH(Base!$K473+2,'EMBI+'!$A:$A,0))),INDEX('EMBI+'!$B:$B,MATCH(Base!$K473+3,'EMBI+'!$A:$A,0)))/100</f>
        <v>2.63</v>
      </c>
      <c r="AL473" s="43"/>
      <c r="AM473" s="28"/>
      <c r="AN473" s="28"/>
    </row>
    <row r="474" spans="1:40" x14ac:dyDescent="0.35">
      <c r="A474">
        <f t="shared" si="140"/>
        <v>472</v>
      </c>
      <c r="B474">
        <f>IF(G474="Bonds",COUNTIF($G$3:G474,"Bonds"),0)</f>
        <v>0</v>
      </c>
      <c r="C474" t="str">
        <f t="shared" si="136"/>
        <v>Rumo4436249841</v>
      </c>
      <c r="D474">
        <f t="shared" si="137"/>
        <v>33</v>
      </c>
      <c r="E474" s="43" t="s">
        <v>547</v>
      </c>
      <c r="F474" s="43" t="s">
        <v>548</v>
      </c>
      <c r="G474" s="43" t="s">
        <v>25</v>
      </c>
      <c r="H474">
        <f t="shared" si="127"/>
        <v>0</v>
      </c>
      <c r="I474" s="43" t="s">
        <v>562</v>
      </c>
      <c r="J474" s="34">
        <f t="shared" si="138"/>
        <v>14</v>
      </c>
      <c r="K474" s="28">
        <v>44362</v>
      </c>
      <c r="L474" s="28">
        <v>49841</v>
      </c>
      <c r="M474" s="60">
        <f t="shared" si="128"/>
        <v>15.010958904109589</v>
      </c>
      <c r="N474" s="4">
        <f t="shared" si="129"/>
        <v>1</v>
      </c>
      <c r="O474" s="43" t="s">
        <v>44</v>
      </c>
      <c r="P474" t="str">
        <f t="shared" si="132"/>
        <v>0</v>
      </c>
      <c r="Q474" s="44">
        <v>258815</v>
      </c>
      <c r="R474" s="43">
        <v>1000</v>
      </c>
      <c r="S474" s="34" t="str">
        <f>IF($V474="USD",INDEX('Dólar Spot'!$B:$B,MATCH(Base!$K474,'Dólar Spot'!$A:$A,0)),"")</f>
        <v/>
      </c>
      <c r="T474" s="4">
        <f t="shared" si="141"/>
        <v>258815000</v>
      </c>
      <c r="U474" s="8">
        <f t="shared" si="133"/>
        <v>2.5881500000000002</v>
      </c>
      <c r="V474" s="43" t="s">
        <v>28</v>
      </c>
      <c r="W474" s="45" t="s">
        <v>29</v>
      </c>
      <c r="X474" s="46">
        <v>4.5404</v>
      </c>
      <c r="Y474" s="9">
        <f>IF(AND(V474="DI",$W474=100),$X474/100,
IF(AND(V474="DI",$W474&lt;&gt;100,$X474=""),INDEX('Debs %CDI'!$Q:$Q,MATCH(Base!$C474,'Debs %CDI'!$A:$A,0)),
IF($V474="USD",INDEX(Bonds!$AF:$AF,MATCH(Base!$C474,Bonds!$B:$B,0)),
IF($V474="IPCA",INDEX('Debs IPCA'!$Z:$Z,MATCH(Base!$C474,'Debs IPCA'!$A:$A,0))))))</f>
        <v>6.8807341954011392E-3</v>
      </c>
      <c r="Z474" s="43">
        <v>252</v>
      </c>
      <c r="AA474" s="43" t="s">
        <v>30</v>
      </c>
      <c r="AB474" s="43" t="s">
        <v>31</v>
      </c>
      <c r="AC474">
        <f t="shared" si="130"/>
        <v>1</v>
      </c>
      <c r="AD474" s="43" t="s">
        <v>32</v>
      </c>
      <c r="AE474">
        <f t="shared" si="131"/>
        <v>0</v>
      </c>
      <c r="AF474" s="34" t="str" cm="1">
        <f t="array" ref="AF474">INDEX(Ratings!$B$2:$M$40,_xlfn.XMATCH(Base!F474,Ratings!$A$2:$A$40),_xlfn.XMATCH(YEAR(Base!K474),Ratings!$B$1:$M$1))</f>
        <v>BB</v>
      </c>
      <c r="AG474">
        <f t="shared" si="139"/>
        <v>0</v>
      </c>
      <c r="AH474">
        <f>IFERROR(IFERROR(IFERROR(INDEX('EMBI+'!$B:$B,MATCH(Base!$K474,'EMBI+'!$A:$A,0)),INDEX('EMBI+'!$B:$B,MATCH(Base!$K474+1,'EMBI+'!$A:$A,0))),INDEX('EMBI+'!$B:$B,MATCH(Base!$K474+2,'EMBI+'!$A:$A,0))),INDEX('EMBI+'!$B:$B,MATCH(Base!$K474+3,'EMBI+'!$A:$A,0)))/100</f>
        <v>2.66</v>
      </c>
      <c r="AL474" s="43"/>
      <c r="AM474" s="28"/>
      <c r="AN474" s="28"/>
    </row>
    <row r="475" spans="1:40" x14ac:dyDescent="0.35">
      <c r="A475">
        <f t="shared" si="140"/>
        <v>473</v>
      </c>
      <c r="B475">
        <f>IF(G475="Bonds",COUNTIF($G$3:G475,"Bonds"),0)</f>
        <v>134</v>
      </c>
      <c r="C475" t="str">
        <f t="shared" si="136"/>
        <v>Rumo4402210/01/2028</v>
      </c>
      <c r="D475">
        <f t="shared" si="137"/>
        <v>33</v>
      </c>
      <c r="E475" s="43" t="s">
        <v>563</v>
      </c>
      <c r="F475" s="43" t="s">
        <v>548</v>
      </c>
      <c r="G475" s="43" t="s">
        <v>34</v>
      </c>
      <c r="H475">
        <f t="shared" si="127"/>
        <v>1</v>
      </c>
      <c r="I475" s="43"/>
      <c r="J475" s="34">
        <f t="shared" si="138"/>
        <v>15</v>
      </c>
      <c r="K475" s="28">
        <v>44022</v>
      </c>
      <c r="L475" s="28" t="s">
        <v>119</v>
      </c>
      <c r="M475" s="60">
        <f t="shared" si="128"/>
        <v>7.506849315068493</v>
      </c>
      <c r="N475" s="4">
        <f t="shared" si="129"/>
        <v>1</v>
      </c>
      <c r="O475" s="43" t="s">
        <v>36</v>
      </c>
      <c r="P475" t="str">
        <f t="shared" si="132"/>
        <v>0</v>
      </c>
      <c r="Q475" s="43"/>
      <c r="R475" s="43"/>
      <c r="S475" s="34">
        <f>IF($V475="USD",INDEX('Dólar Spot'!$B:$B,MATCH(Base!$K475,'Dólar Spot'!$A:$A,0)),"")</f>
        <v>5.3433999999999999</v>
      </c>
      <c r="T475" s="44">
        <v>500000000</v>
      </c>
      <c r="U475" s="8">
        <f t="shared" si="133"/>
        <v>26.716999999999999</v>
      </c>
      <c r="V475" s="43" t="s">
        <v>651</v>
      </c>
      <c r="W475" s="45" t="s">
        <v>29</v>
      </c>
      <c r="X475" s="53">
        <v>5.25</v>
      </c>
      <c r="Y475" s="9">
        <f>IF(AND(V475="DI",$W475=100),$X475/100,
IF(AND(V475="DI",$W475&lt;&gt;100,$X475=""),INDEX('Debs %CDI'!$Q:$Q,MATCH(Base!$C475,'Debs %CDI'!$A:$A,0)),
IF($V475="USD",INDEX(Bonds!$AF:$AF,MATCH(Base!$C475,Bonds!$B:$B,0)),
IF($V475="IPCA",INDEX('Debs IPCA'!$Z:$Z,MATCH(Base!$C475,'Debs IPCA'!$A:$A,0))))))</f>
        <v>3.4909510387220566E-2</v>
      </c>
      <c r="Z475" s="43">
        <v>360</v>
      </c>
      <c r="AA475" s="43" t="s">
        <v>37</v>
      </c>
      <c r="AB475" s="43" t="s">
        <v>32</v>
      </c>
      <c r="AC475">
        <f t="shared" si="130"/>
        <v>0</v>
      </c>
      <c r="AD475" s="43" t="s">
        <v>31</v>
      </c>
      <c r="AE475">
        <f t="shared" si="131"/>
        <v>1</v>
      </c>
      <c r="AF475" s="34" t="str" cm="1">
        <f t="array" ref="AF475">INDEX(Ratings!$B$2:$M$40,_xlfn.XMATCH(Base!F475,Ratings!$A$2:$A$40),_xlfn.XMATCH(YEAR(Base!K475),Ratings!$B$1:$M$1))</f>
        <v>BB</v>
      </c>
      <c r="AG475">
        <f t="shared" si="139"/>
        <v>0</v>
      </c>
      <c r="AH475">
        <f>IFERROR(IFERROR(IFERROR(INDEX('EMBI+'!$B:$B,MATCH(Base!$K475,'EMBI+'!$A:$A,0)),INDEX('EMBI+'!$B:$B,MATCH(Base!$K475+1,'EMBI+'!$A:$A,0))),INDEX('EMBI+'!$B:$B,MATCH(Base!$K475+2,'EMBI+'!$A:$A,0))),INDEX('EMBI+'!$B:$B,MATCH(Base!$K475+3,'EMBI+'!$A:$A,0)))/100</f>
        <v>3.82</v>
      </c>
      <c r="AL475" s="43"/>
      <c r="AM475" s="28"/>
      <c r="AN475" s="28"/>
    </row>
    <row r="476" spans="1:40" x14ac:dyDescent="0.35">
      <c r="A476">
        <f t="shared" si="140"/>
        <v>474</v>
      </c>
      <c r="B476">
        <f>IF(G476="Bonds",COUNTIF($G$3:G476,"Bonds"),0)</f>
        <v>135</v>
      </c>
      <c r="C476" t="str">
        <f t="shared" si="136"/>
        <v>Rumo4446118/01/2032</v>
      </c>
      <c r="D476">
        <f t="shared" si="137"/>
        <v>33</v>
      </c>
      <c r="E476" s="43" t="s">
        <v>563</v>
      </c>
      <c r="F476" s="43" t="s">
        <v>548</v>
      </c>
      <c r="G476" s="43" t="s">
        <v>34</v>
      </c>
      <c r="H476">
        <f t="shared" si="127"/>
        <v>1</v>
      </c>
      <c r="I476" s="43"/>
      <c r="J476" s="34">
        <f t="shared" si="138"/>
        <v>16</v>
      </c>
      <c r="K476" s="28">
        <v>44461</v>
      </c>
      <c r="L476" s="28" t="s">
        <v>564</v>
      </c>
      <c r="M476" s="60">
        <f t="shared" si="128"/>
        <v>10.328767123287671</v>
      </c>
      <c r="N476" s="4">
        <f t="shared" si="129"/>
        <v>1</v>
      </c>
      <c r="O476" s="43" t="s">
        <v>36</v>
      </c>
      <c r="P476" t="str">
        <f t="shared" si="132"/>
        <v>0</v>
      </c>
      <c r="Q476" s="43"/>
      <c r="R476" s="43"/>
      <c r="S476" s="34">
        <f>IF($V476="USD",INDEX('Dólar Spot'!$B:$B,MATCH(Base!$K476,'Dólar Spot'!$A:$A,0)),"")</f>
        <v>5.2777000000000003</v>
      </c>
      <c r="T476" s="44">
        <v>500000000</v>
      </c>
      <c r="U476" s="8">
        <f t="shared" si="133"/>
        <v>26.388500000000001</v>
      </c>
      <c r="V476" s="43" t="s">
        <v>651</v>
      </c>
      <c r="W476" s="45" t="s">
        <v>29</v>
      </c>
      <c r="X476" s="53">
        <v>4.2</v>
      </c>
      <c r="Y476" s="9">
        <f>IF(AND(V476="DI",$W476=100),$X476/100,
IF(AND(V476="DI",$W476&lt;&gt;100,$X476=""),INDEX('Debs %CDI'!$Q:$Q,MATCH(Base!$C476,'Debs %CDI'!$A:$A,0)),
IF($V476="USD",INDEX(Bonds!$AF:$AF,MATCH(Base!$C476,Bonds!$B:$B,0)),
IF($V476="IPCA",INDEX('Debs IPCA'!$Z:$Z,MATCH(Base!$C476,'Debs IPCA'!$A:$A,0))))))</f>
        <v>2.1179202871856706E-2</v>
      </c>
      <c r="Z476" s="43">
        <v>360</v>
      </c>
      <c r="AA476" s="43" t="s">
        <v>37</v>
      </c>
      <c r="AB476" s="43" t="s">
        <v>32</v>
      </c>
      <c r="AC476">
        <f t="shared" si="130"/>
        <v>0</v>
      </c>
      <c r="AD476" s="43" t="s">
        <v>31</v>
      </c>
      <c r="AE476">
        <f t="shared" si="131"/>
        <v>1</v>
      </c>
      <c r="AF476" s="34" t="str" cm="1">
        <f t="array" ref="AF476">INDEX(Ratings!$B$2:$M$40,_xlfn.XMATCH(Base!F476,Ratings!$A$2:$A$40),_xlfn.XMATCH(YEAR(Base!K476),Ratings!$B$1:$M$1))</f>
        <v>BB</v>
      </c>
      <c r="AG476">
        <f t="shared" si="139"/>
        <v>0</v>
      </c>
      <c r="AH476">
        <f>IFERROR(IFERROR(IFERROR(INDEX('EMBI+'!$B:$B,MATCH(Base!$K476,'EMBI+'!$A:$A,0)),INDEX('EMBI+'!$B:$B,MATCH(Base!$K476+1,'EMBI+'!$A:$A,0))),INDEX('EMBI+'!$B:$B,MATCH(Base!$K476+2,'EMBI+'!$A:$A,0))),INDEX('EMBI+'!$B:$B,MATCH(Base!$K476+3,'EMBI+'!$A:$A,0)))/100</f>
        <v>3.18</v>
      </c>
      <c r="AL476" s="43"/>
      <c r="AM476" s="28"/>
      <c r="AN476" s="28"/>
    </row>
    <row r="477" spans="1:40" x14ac:dyDescent="0.35">
      <c r="A477">
        <f t="shared" si="140"/>
        <v>475</v>
      </c>
      <c r="B477">
        <f>IF(G477="Bonds",COUNTIF($G$3:G477,"Bonds"),0)</f>
        <v>0</v>
      </c>
      <c r="C477" t="str">
        <f t="shared" si="136"/>
        <v>Simpar4448947046</v>
      </c>
      <c r="D477">
        <f t="shared" si="137"/>
        <v>34</v>
      </c>
      <c r="E477" s="43" t="s">
        <v>565</v>
      </c>
      <c r="F477" s="43" t="s">
        <v>566</v>
      </c>
      <c r="G477" s="43" t="s">
        <v>25</v>
      </c>
      <c r="H477">
        <f t="shared" si="127"/>
        <v>0</v>
      </c>
      <c r="I477" s="43" t="s">
        <v>567</v>
      </c>
      <c r="J477" s="34">
        <f t="shared" si="138"/>
        <v>1</v>
      </c>
      <c r="K477" s="28">
        <v>44489</v>
      </c>
      <c r="L477" s="28">
        <v>47046</v>
      </c>
      <c r="M477" s="60">
        <f t="shared" si="128"/>
        <v>7.0054794520547947</v>
      </c>
      <c r="N477" s="4">
        <f t="shared" si="129"/>
        <v>1</v>
      </c>
      <c r="O477" s="43" t="s">
        <v>44</v>
      </c>
      <c r="P477" t="str">
        <f t="shared" si="132"/>
        <v>0</v>
      </c>
      <c r="Q477" s="44">
        <v>700000</v>
      </c>
      <c r="R477" s="43">
        <v>1000</v>
      </c>
      <c r="S477" s="34" t="str">
        <f>IF($V477="USD",INDEX('Dólar Spot'!$B:$B,MATCH(Base!$K477,'Dólar Spot'!$A:$A,0)),"")</f>
        <v/>
      </c>
      <c r="T477" s="4">
        <f t="shared" ref="T477:T495" si="142">Q477*R477</f>
        <v>700000000</v>
      </c>
      <c r="U477" s="8">
        <f t="shared" si="133"/>
        <v>7</v>
      </c>
      <c r="V477" s="43" t="s">
        <v>41</v>
      </c>
      <c r="W477" s="45">
        <v>100</v>
      </c>
      <c r="X477" s="46">
        <v>2.7</v>
      </c>
      <c r="Y477" s="9">
        <f>IF(AND(V477="DI",$W477=100),$X477/100,
IF(AND(V477="DI",$W477&lt;&gt;100,$X477=""),INDEX('Debs %CDI'!$Q:$Q,MATCH(Base!$C477,'Debs %CDI'!$A:$A,0)),
IF($V477="USD",INDEX(Bonds!$AF:$AF,MATCH(Base!$C477,Bonds!$B:$B,0)),
IF($V477="IPCA",INDEX('Debs IPCA'!$Z:$Z,MATCH(Base!$C477,'Debs IPCA'!$A:$A,0))))))</f>
        <v>2.7000000000000003E-2</v>
      </c>
      <c r="Z477" s="43">
        <v>252</v>
      </c>
      <c r="AA477" s="43" t="s">
        <v>30</v>
      </c>
      <c r="AB477" s="43" t="s">
        <v>32</v>
      </c>
      <c r="AC477">
        <f t="shared" si="130"/>
        <v>0</v>
      </c>
      <c r="AD477" s="43" t="s">
        <v>31</v>
      </c>
      <c r="AE477">
        <f t="shared" si="131"/>
        <v>1</v>
      </c>
      <c r="AF477" s="34" t="str" cm="1">
        <f t="array" ref="AF477">INDEX(Ratings!$B$2:$M$40,_xlfn.XMATCH(Base!F477,Ratings!$A$2:$A$40),_xlfn.XMATCH(YEAR(Base!K477),Ratings!$B$1:$M$1))</f>
        <v>BB-</v>
      </c>
      <c r="AG477">
        <f t="shared" si="139"/>
        <v>0</v>
      </c>
      <c r="AH477">
        <f>IFERROR(IFERROR(IFERROR(INDEX('EMBI+'!$B:$B,MATCH(Base!$K477,'EMBI+'!$A:$A,0)),INDEX('EMBI+'!$B:$B,MATCH(Base!$K477+1,'EMBI+'!$A:$A,0))),INDEX('EMBI+'!$B:$B,MATCH(Base!$K477+2,'EMBI+'!$A:$A,0))),INDEX('EMBI+'!$B:$B,MATCH(Base!$K477+3,'EMBI+'!$A:$A,0)))/100</f>
        <v>3.36</v>
      </c>
      <c r="AL477" s="43"/>
      <c r="AM477" s="28"/>
      <c r="AN477" s="28"/>
    </row>
    <row r="478" spans="1:40" x14ac:dyDescent="0.35">
      <c r="A478">
        <f t="shared" si="140"/>
        <v>476</v>
      </c>
      <c r="B478">
        <f>IF(G478="Bonds",COUNTIF($G$3:G478,"Bonds"),0)</f>
        <v>0</v>
      </c>
      <c r="C478" t="str">
        <f t="shared" si="136"/>
        <v>Simpar4071842910</v>
      </c>
      <c r="D478">
        <f t="shared" si="137"/>
        <v>34</v>
      </c>
      <c r="E478" s="43" t="s">
        <v>565</v>
      </c>
      <c r="F478" s="43" t="s">
        <v>566</v>
      </c>
      <c r="G478" s="43" t="s">
        <v>25</v>
      </c>
      <c r="H478">
        <f t="shared" si="127"/>
        <v>0</v>
      </c>
      <c r="I478" s="43" t="s">
        <v>568</v>
      </c>
      <c r="J478" s="34">
        <f t="shared" si="138"/>
        <v>2</v>
      </c>
      <c r="K478" s="28">
        <v>40718</v>
      </c>
      <c r="L478" s="28">
        <v>42910</v>
      </c>
      <c r="M478" s="60">
        <f t="shared" si="128"/>
        <v>6.0054794520547947</v>
      </c>
      <c r="N478" s="4">
        <f t="shared" si="129"/>
        <v>1</v>
      </c>
      <c r="O478" s="43" t="s">
        <v>44</v>
      </c>
      <c r="P478" t="str">
        <f t="shared" si="132"/>
        <v>0</v>
      </c>
      <c r="Q478" s="44">
        <v>113</v>
      </c>
      <c r="R478" s="43">
        <v>1000000</v>
      </c>
      <c r="S478" s="34" t="str">
        <f>IF($V478="USD",INDEX('Dólar Spot'!$B:$B,MATCH(Base!$K478,'Dólar Spot'!$A:$A,0)),"")</f>
        <v/>
      </c>
      <c r="T478" s="4">
        <f t="shared" si="142"/>
        <v>113000000</v>
      </c>
      <c r="U478" s="8">
        <f t="shared" si="133"/>
        <v>1.1299999999999999</v>
      </c>
      <c r="V478" s="43" t="s">
        <v>41</v>
      </c>
      <c r="W478" s="45">
        <v>118</v>
      </c>
      <c r="X478" s="46"/>
      <c r="Y478" s="9">
        <f>IF(AND(V478="DI",$W478=100),$X478/100,
IF(AND(V478="DI",$W478&lt;&gt;100,$X478=""),INDEX('Debs %CDI'!$Q:$Q,MATCH(Base!$C478,'Debs %CDI'!$A:$A,0)),
IF($V478="USD",INDEX(Bonds!$AF:$AF,MATCH(Base!$C478,Bonds!$B:$B,0)),
IF($V478="IPCA",INDEX('Debs IPCA'!$Z:$Z,MATCH(Base!$C478,'Debs IPCA'!$A:$A,0))))))</f>
        <v>2.1962358542059985E-2</v>
      </c>
      <c r="Z478" s="43">
        <v>252</v>
      </c>
      <c r="AA478" s="43" t="s">
        <v>30</v>
      </c>
      <c r="AB478" s="43" t="s">
        <v>32</v>
      </c>
      <c r="AC478">
        <f t="shared" si="130"/>
        <v>0</v>
      </c>
      <c r="AD478" s="43" t="s">
        <v>31</v>
      </c>
      <c r="AE478">
        <f t="shared" si="131"/>
        <v>1</v>
      </c>
      <c r="AF478" s="34" t="str" cm="1">
        <f t="array" ref="AF478">INDEX(Ratings!$B$2:$M$40,_xlfn.XMATCH(Base!F478,Ratings!$A$2:$A$40),_xlfn.XMATCH(YEAR(Base!K478),Ratings!$B$1:$M$1))</f>
        <v>BB-</v>
      </c>
      <c r="AG478">
        <f t="shared" si="139"/>
        <v>0</v>
      </c>
      <c r="AH478">
        <f>IFERROR(IFERROR(IFERROR(INDEX('EMBI+'!$B:$B,MATCH(Base!$K478,'EMBI+'!$A:$A,0)),INDEX('EMBI+'!$B:$B,MATCH(Base!$K478+1,'EMBI+'!$A:$A,0))),INDEX('EMBI+'!$B:$B,MATCH(Base!$K478+2,'EMBI+'!$A:$A,0))),INDEX('EMBI+'!$B:$B,MATCH(Base!$K478+3,'EMBI+'!$A:$A,0)))/100</f>
        <v>1.75</v>
      </c>
      <c r="AL478" s="43"/>
      <c r="AM478" s="28"/>
      <c r="AN478" s="28"/>
    </row>
    <row r="479" spans="1:40" x14ac:dyDescent="0.35">
      <c r="A479">
        <f t="shared" si="140"/>
        <v>477</v>
      </c>
      <c r="B479">
        <f>IF(G479="Bonds",COUNTIF($G$3:G479,"Bonds"),0)</f>
        <v>0</v>
      </c>
      <c r="C479" t="str">
        <f t="shared" si="136"/>
        <v>Simpar4105342514</v>
      </c>
      <c r="D479">
        <f t="shared" si="137"/>
        <v>34</v>
      </c>
      <c r="E479" s="43" t="s">
        <v>565</v>
      </c>
      <c r="F479" s="43" t="s">
        <v>566</v>
      </c>
      <c r="G479" s="43" t="s">
        <v>25</v>
      </c>
      <c r="H479">
        <f t="shared" si="127"/>
        <v>0</v>
      </c>
      <c r="I479" s="43" t="s">
        <v>569</v>
      </c>
      <c r="J479" s="34">
        <f t="shared" si="138"/>
        <v>3</v>
      </c>
      <c r="K479" s="28">
        <v>41053</v>
      </c>
      <c r="L479" s="28">
        <v>42514</v>
      </c>
      <c r="M479" s="60">
        <f t="shared" si="128"/>
        <v>4.0027397260273974</v>
      </c>
      <c r="N479" s="4">
        <f t="shared" si="129"/>
        <v>0</v>
      </c>
      <c r="O479" s="43" t="s">
        <v>44</v>
      </c>
      <c r="P479" t="str">
        <f t="shared" si="132"/>
        <v>0</v>
      </c>
      <c r="Q479" s="44">
        <v>20000</v>
      </c>
      <c r="R479" s="43">
        <v>10000</v>
      </c>
      <c r="S479" s="34" t="str">
        <f>IF($V479="USD",INDEX('Dólar Spot'!$B:$B,MATCH(Base!$K479,'Dólar Spot'!$A:$A,0)),"")</f>
        <v/>
      </c>
      <c r="T479" s="4">
        <f t="shared" si="142"/>
        <v>200000000</v>
      </c>
      <c r="U479" s="8">
        <f t="shared" si="133"/>
        <v>2</v>
      </c>
      <c r="V479" s="43" t="s">
        <v>41</v>
      </c>
      <c r="W479" s="45">
        <v>100</v>
      </c>
      <c r="X479" s="46">
        <v>1.85</v>
      </c>
      <c r="Y479" s="9">
        <f>IF(AND(V479="DI",$W479=100),$X479/100,
IF(AND(V479="DI",$W479&lt;&gt;100,$X479=""),INDEX('Debs %CDI'!$Q:$Q,MATCH(Base!$C479,'Debs %CDI'!$A:$A,0)),
IF($V479="USD",INDEX(Bonds!$AF:$AF,MATCH(Base!$C479,Bonds!$B:$B,0)),
IF($V479="IPCA",INDEX('Debs IPCA'!$Z:$Z,MATCH(Base!$C479,'Debs IPCA'!$A:$A,0))))))</f>
        <v>1.8500000000000003E-2</v>
      </c>
      <c r="Z479" s="43">
        <v>252</v>
      </c>
      <c r="AA479" s="43" t="s">
        <v>30</v>
      </c>
      <c r="AB479" s="43" t="s">
        <v>32</v>
      </c>
      <c r="AC479">
        <f t="shared" si="130"/>
        <v>0</v>
      </c>
      <c r="AD479" s="43" t="s">
        <v>31</v>
      </c>
      <c r="AE479">
        <f t="shared" si="131"/>
        <v>1</v>
      </c>
      <c r="AF479" s="34" t="str" cm="1">
        <f t="array" ref="AF479">INDEX(Ratings!$B$2:$M$40,_xlfn.XMATCH(Base!F479,Ratings!$A$2:$A$40),_xlfn.XMATCH(YEAR(Base!K479),Ratings!$B$1:$M$1))</f>
        <v>BB</v>
      </c>
      <c r="AG479">
        <f t="shared" si="139"/>
        <v>0</v>
      </c>
      <c r="AH479">
        <f>IFERROR(IFERROR(IFERROR(INDEX('EMBI+'!$B:$B,MATCH(Base!$K479,'EMBI+'!$A:$A,0)),INDEX('EMBI+'!$B:$B,MATCH(Base!$K479+1,'EMBI+'!$A:$A,0))),INDEX('EMBI+'!$B:$B,MATCH(Base!$K479+2,'EMBI+'!$A:$A,0))),INDEX('EMBI+'!$B:$B,MATCH(Base!$K479+3,'EMBI+'!$A:$A,0)))/100</f>
        <v>2.29</v>
      </c>
      <c r="AL479" s="43"/>
      <c r="AM479" s="28"/>
      <c r="AN479" s="28"/>
    </row>
    <row r="480" spans="1:40" x14ac:dyDescent="0.35">
      <c r="A480">
        <f t="shared" si="140"/>
        <v>478</v>
      </c>
      <c r="B480">
        <f>IF(G480="Bonds",COUNTIF($G$3:G480,"Bonds"),0)</f>
        <v>0</v>
      </c>
      <c r="C480" t="str">
        <f t="shared" si="136"/>
        <v>Simpar4147043296</v>
      </c>
      <c r="D480">
        <f t="shared" si="137"/>
        <v>34</v>
      </c>
      <c r="E480" s="43" t="s">
        <v>565</v>
      </c>
      <c r="F480" s="43" t="s">
        <v>566</v>
      </c>
      <c r="G480" s="43" t="s">
        <v>25</v>
      </c>
      <c r="H480">
        <f t="shared" si="127"/>
        <v>0</v>
      </c>
      <c r="I480" s="43" t="s">
        <v>570</v>
      </c>
      <c r="J480" s="34">
        <f t="shared" si="138"/>
        <v>4</v>
      </c>
      <c r="K480" s="28">
        <v>41470</v>
      </c>
      <c r="L480" s="28">
        <v>43296</v>
      </c>
      <c r="M480" s="60">
        <f t="shared" si="128"/>
        <v>5.0027397260273974</v>
      </c>
      <c r="N480" s="4">
        <f t="shared" si="129"/>
        <v>1</v>
      </c>
      <c r="O480" s="43" t="s">
        <v>44</v>
      </c>
      <c r="P480" t="str">
        <f t="shared" si="132"/>
        <v>0</v>
      </c>
      <c r="Q480" s="44">
        <v>152429</v>
      </c>
      <c r="R480" s="43">
        <v>1000</v>
      </c>
      <c r="S480" s="34" t="str">
        <f>IF($V480="USD",INDEX('Dólar Spot'!$B:$B,MATCH(Base!$K480,'Dólar Spot'!$A:$A,0)),"")</f>
        <v/>
      </c>
      <c r="T480" s="4">
        <f t="shared" si="142"/>
        <v>152429000</v>
      </c>
      <c r="U480" s="8">
        <f t="shared" si="133"/>
        <v>1.5242899999999999</v>
      </c>
      <c r="V480" s="43" t="s">
        <v>41</v>
      </c>
      <c r="W480" s="45">
        <v>100</v>
      </c>
      <c r="X480" s="46">
        <v>1.8</v>
      </c>
      <c r="Y480" s="9">
        <f>IF(AND(V480="DI",$W480=100),$X480/100,
IF(AND(V480="DI",$W480&lt;&gt;100,$X480=""),INDEX('Debs %CDI'!$Q:$Q,MATCH(Base!$C480,'Debs %CDI'!$A:$A,0)),
IF($V480="USD",INDEX(Bonds!$AF:$AF,MATCH(Base!$C480,Bonds!$B:$B,0)),
IF($V480="IPCA",INDEX('Debs IPCA'!$Z:$Z,MATCH(Base!$C480,'Debs IPCA'!$A:$A,0))))))</f>
        <v>1.8000000000000002E-2</v>
      </c>
      <c r="Z480" s="43">
        <v>252</v>
      </c>
      <c r="AA480" s="43" t="s">
        <v>30</v>
      </c>
      <c r="AB480" s="43" t="s">
        <v>32</v>
      </c>
      <c r="AC480">
        <f t="shared" si="130"/>
        <v>0</v>
      </c>
      <c r="AD480" s="43" t="s">
        <v>32</v>
      </c>
      <c r="AE480">
        <f t="shared" si="131"/>
        <v>0</v>
      </c>
      <c r="AF480" s="34" t="str" cm="1">
        <f t="array" ref="AF480">INDEX(Ratings!$B$2:$M$40,_xlfn.XMATCH(Base!F480,Ratings!$A$2:$A$40),_xlfn.XMATCH(YEAR(Base!K480),Ratings!$B$1:$M$1))</f>
        <v>BB</v>
      </c>
      <c r="AG480">
        <f t="shared" si="139"/>
        <v>0</v>
      </c>
      <c r="AH480">
        <f>IFERROR(IFERROR(IFERROR(INDEX('EMBI+'!$B:$B,MATCH(Base!$K480,'EMBI+'!$A:$A,0)),INDEX('EMBI+'!$B:$B,MATCH(Base!$K480+1,'EMBI+'!$A:$A,0))),INDEX('EMBI+'!$B:$B,MATCH(Base!$K480+2,'EMBI+'!$A:$A,0))),INDEX('EMBI+'!$B:$B,MATCH(Base!$K480+3,'EMBI+'!$A:$A,0)))/100</f>
        <v>2.2400000000000002</v>
      </c>
      <c r="AL480" s="43"/>
      <c r="AM480" s="28"/>
      <c r="AN480" s="28"/>
    </row>
    <row r="481" spans="1:40" x14ac:dyDescent="0.35">
      <c r="A481">
        <f t="shared" si="140"/>
        <v>479</v>
      </c>
      <c r="B481">
        <f>IF(G481="Bonds",COUNTIF($G$3:G481,"Bonds"),0)</f>
        <v>0</v>
      </c>
      <c r="C481" t="str">
        <f t="shared" si="136"/>
        <v>Simpar4157143762</v>
      </c>
      <c r="D481">
        <f t="shared" si="137"/>
        <v>34</v>
      </c>
      <c r="E481" s="43" t="s">
        <v>565</v>
      </c>
      <c r="F481" s="43" t="s">
        <v>566</v>
      </c>
      <c r="G481" s="43" t="s">
        <v>25</v>
      </c>
      <c r="H481">
        <f t="shared" si="127"/>
        <v>0</v>
      </c>
      <c r="I481" s="43" t="s">
        <v>571</v>
      </c>
      <c r="J481" s="34">
        <f t="shared" si="138"/>
        <v>5</v>
      </c>
      <c r="K481" s="28">
        <v>41571</v>
      </c>
      <c r="L481" s="28">
        <v>43762</v>
      </c>
      <c r="M481" s="60">
        <f t="shared" si="128"/>
        <v>6.0027397260273974</v>
      </c>
      <c r="N481" s="4">
        <f t="shared" si="129"/>
        <v>1</v>
      </c>
      <c r="O481" s="43" t="s">
        <v>44</v>
      </c>
      <c r="P481" t="str">
        <f t="shared" si="132"/>
        <v>0</v>
      </c>
      <c r="Q481" s="44">
        <v>17000</v>
      </c>
      <c r="R481" s="43">
        <v>10000</v>
      </c>
      <c r="S481" s="34" t="str">
        <f>IF($V481="USD",INDEX('Dólar Spot'!$B:$B,MATCH(Base!$K481,'Dólar Spot'!$A:$A,0)),"")</f>
        <v/>
      </c>
      <c r="T481" s="4">
        <f t="shared" si="142"/>
        <v>170000000</v>
      </c>
      <c r="U481" s="8">
        <f t="shared" si="133"/>
        <v>1.7</v>
      </c>
      <c r="V481" s="43" t="s">
        <v>41</v>
      </c>
      <c r="W481" s="45">
        <v>117.5</v>
      </c>
      <c r="X481" s="46"/>
      <c r="Y481" s="9">
        <f>IF(AND(V481="DI",$W481=100),$X481/100,
IF(AND(V481="DI",$W481&lt;&gt;100,$X481=""),INDEX('Debs %CDI'!$Q:$Q,MATCH(Base!$C481,'Debs %CDI'!$A:$A,0)),
IF($V481="USD",INDEX(Bonds!$AF:$AF,MATCH(Base!$C481,Bonds!$B:$B,0)),
IF($V481="IPCA",INDEX('Debs IPCA'!$Z:$Z,MATCH(Base!$C481,'Debs IPCA'!$A:$A,0))))))</f>
        <v>2.0465598430974351E-2</v>
      </c>
      <c r="Z481" s="43">
        <v>252</v>
      </c>
      <c r="AA481" s="43" t="s">
        <v>30</v>
      </c>
      <c r="AB481" s="43" t="s">
        <v>32</v>
      </c>
      <c r="AC481">
        <f t="shared" si="130"/>
        <v>0</v>
      </c>
      <c r="AD481" s="43" t="s">
        <v>31</v>
      </c>
      <c r="AE481">
        <f t="shared" si="131"/>
        <v>1</v>
      </c>
      <c r="AF481" s="34" t="str" cm="1">
        <f t="array" ref="AF481">INDEX(Ratings!$B$2:$M$40,_xlfn.XMATCH(Base!F481,Ratings!$A$2:$A$40),_xlfn.XMATCH(YEAR(Base!K481),Ratings!$B$1:$M$1))</f>
        <v>BB</v>
      </c>
      <c r="AG481">
        <f t="shared" si="139"/>
        <v>0</v>
      </c>
      <c r="AH481">
        <f>IFERROR(IFERROR(IFERROR(INDEX('EMBI+'!$B:$B,MATCH(Base!$K481,'EMBI+'!$A:$A,0)),INDEX('EMBI+'!$B:$B,MATCH(Base!$K481+1,'EMBI+'!$A:$A,0))),INDEX('EMBI+'!$B:$B,MATCH(Base!$K481+2,'EMBI+'!$A:$A,0))),INDEX('EMBI+'!$B:$B,MATCH(Base!$K481+3,'EMBI+'!$A:$A,0)))/100</f>
        <v>2.15</v>
      </c>
      <c r="AL481" s="43"/>
      <c r="AM481" s="28"/>
      <c r="AN481" s="28"/>
    </row>
    <row r="482" spans="1:40" x14ac:dyDescent="0.35">
      <c r="A482">
        <f t="shared" si="140"/>
        <v>480</v>
      </c>
      <c r="B482">
        <f>IF(G482="Bonds",COUNTIF($G$3:G482,"Bonds"),0)</f>
        <v>0</v>
      </c>
      <c r="C482" t="str">
        <f t="shared" si="136"/>
        <v>Simpar4180543631</v>
      </c>
      <c r="D482">
        <f t="shared" si="137"/>
        <v>34</v>
      </c>
      <c r="E482" s="43" t="s">
        <v>565</v>
      </c>
      <c r="F482" s="43" t="s">
        <v>566</v>
      </c>
      <c r="G482" s="43" t="s">
        <v>25</v>
      </c>
      <c r="H482">
        <f t="shared" si="127"/>
        <v>0</v>
      </c>
      <c r="I482" s="43" t="s">
        <v>572</v>
      </c>
      <c r="J482" s="34">
        <f t="shared" si="138"/>
        <v>6</v>
      </c>
      <c r="K482" s="28">
        <v>41805</v>
      </c>
      <c r="L482" s="28">
        <v>43631</v>
      </c>
      <c r="M482" s="60">
        <f t="shared" si="128"/>
        <v>5.0027397260273974</v>
      </c>
      <c r="N482" s="4">
        <f t="shared" si="129"/>
        <v>1</v>
      </c>
      <c r="O482" s="43" t="s">
        <v>44</v>
      </c>
      <c r="P482" t="str">
        <f t="shared" si="132"/>
        <v>0</v>
      </c>
      <c r="Q482" s="44">
        <v>165175</v>
      </c>
      <c r="R482" s="43">
        <v>1000</v>
      </c>
      <c r="S482" s="34" t="str">
        <f>IF($V482="USD",INDEX('Dólar Spot'!$B:$B,MATCH(Base!$K482,'Dólar Spot'!$A:$A,0)),"")</f>
        <v/>
      </c>
      <c r="T482" s="4">
        <f t="shared" si="142"/>
        <v>165175000</v>
      </c>
      <c r="U482" s="8">
        <f t="shared" si="133"/>
        <v>1.6517500000000001</v>
      </c>
      <c r="V482" s="43" t="s">
        <v>41</v>
      </c>
      <c r="W482" s="45">
        <v>116</v>
      </c>
      <c r="X482" s="46"/>
      <c r="Y482" s="9">
        <f>IF(AND(V482="DI",$W482=100),$X482/100,
IF(AND(V482="DI",$W482&lt;&gt;100,$X482=""),INDEX('Debs %CDI'!$Q:$Q,MATCH(Base!$C482,'Debs %CDI'!$A:$A,0)),
IF($V482="USD",INDEX(Bonds!$AF:$AF,MATCH(Base!$C482,Bonds!$B:$B,0)),
IF($V482="IPCA",INDEX('Debs IPCA'!$Z:$Z,MATCH(Base!$C482,'Debs IPCA'!$A:$A,0))))))</f>
        <v>1.8882530055031443E-2</v>
      </c>
      <c r="Z482" s="43">
        <v>252</v>
      </c>
      <c r="AA482" s="43" t="s">
        <v>30</v>
      </c>
      <c r="AB482" s="43" t="s">
        <v>32</v>
      </c>
      <c r="AC482">
        <f t="shared" si="130"/>
        <v>0</v>
      </c>
      <c r="AD482" s="43" t="s">
        <v>32</v>
      </c>
      <c r="AE482">
        <f t="shared" si="131"/>
        <v>0</v>
      </c>
      <c r="AF482" s="34" t="str" cm="1">
        <f t="array" ref="AF482">INDEX(Ratings!$B$2:$M$40,_xlfn.XMATCH(Base!F482,Ratings!$A$2:$A$40),_xlfn.XMATCH(YEAR(Base!K482),Ratings!$B$1:$M$1))</f>
        <v>BB</v>
      </c>
      <c r="AG482">
        <f t="shared" si="139"/>
        <v>0</v>
      </c>
      <c r="AH482">
        <f>IFERROR(IFERROR(IFERROR(INDEX('EMBI+'!$B:$B,MATCH(Base!$K482,'EMBI+'!$A:$A,0)),INDEX('EMBI+'!$B:$B,MATCH(Base!$K482+1,'EMBI+'!$A:$A,0))),INDEX('EMBI+'!$B:$B,MATCH(Base!$K482+2,'EMBI+'!$A:$A,0))),INDEX('EMBI+'!$B:$B,MATCH(Base!$K482+3,'EMBI+'!$A:$A,0)))/100</f>
        <v>2.08</v>
      </c>
      <c r="AL482" s="43"/>
      <c r="AM482" s="28"/>
      <c r="AN482" s="28"/>
    </row>
    <row r="483" spans="1:40" x14ac:dyDescent="0.35">
      <c r="A483">
        <f t="shared" si="140"/>
        <v>481</v>
      </c>
      <c r="B483">
        <f>IF(G483="Bonds",COUNTIF($G$3:G483,"Bonds"),0)</f>
        <v>0</v>
      </c>
      <c r="C483" t="str">
        <f t="shared" si="136"/>
        <v>Simpar4198843814</v>
      </c>
      <c r="D483">
        <f t="shared" si="137"/>
        <v>34</v>
      </c>
      <c r="E483" s="43" t="s">
        <v>565</v>
      </c>
      <c r="F483" s="43" t="s">
        <v>566</v>
      </c>
      <c r="G483" s="43" t="s">
        <v>25</v>
      </c>
      <c r="H483">
        <f t="shared" si="127"/>
        <v>0</v>
      </c>
      <c r="I483" s="43" t="s">
        <v>573</v>
      </c>
      <c r="J483" s="34">
        <f t="shared" si="138"/>
        <v>7</v>
      </c>
      <c r="K483" s="28">
        <v>41988</v>
      </c>
      <c r="L483" s="28">
        <v>43814</v>
      </c>
      <c r="M483" s="60">
        <f t="shared" si="128"/>
        <v>5.0027397260273974</v>
      </c>
      <c r="N483" s="4">
        <f t="shared" si="129"/>
        <v>1</v>
      </c>
      <c r="O483" s="43" t="s">
        <v>44</v>
      </c>
      <c r="P483" t="str">
        <f t="shared" si="132"/>
        <v>0</v>
      </c>
      <c r="Q483" s="44">
        <v>10000</v>
      </c>
      <c r="R483" s="43">
        <v>10000</v>
      </c>
      <c r="S483" s="34" t="str">
        <f>IF($V483="USD",INDEX('Dólar Spot'!$B:$B,MATCH(Base!$K483,'Dólar Spot'!$A:$A,0)),"")</f>
        <v/>
      </c>
      <c r="T483" s="4">
        <f t="shared" si="142"/>
        <v>100000000</v>
      </c>
      <c r="U483" s="8">
        <f t="shared" si="133"/>
        <v>1</v>
      </c>
      <c r="V483" s="43" t="s">
        <v>41</v>
      </c>
      <c r="W483" s="45">
        <v>116</v>
      </c>
      <c r="X483" s="46"/>
      <c r="Y483" s="9">
        <f>IF(AND(V483="DI",$W483=100),$X483/100,
IF(AND(V483="DI",$W483&lt;&gt;100,$X483=""),INDEX('Debs %CDI'!$Q:$Q,MATCH(Base!$C483,'Debs %CDI'!$A:$A,0)),
IF($V483="USD",INDEX(Bonds!$AF:$AF,MATCH(Base!$C483,Bonds!$B:$B,0)),
IF($V483="IPCA",INDEX('Debs IPCA'!$Z:$Z,MATCH(Base!$C483,'Debs IPCA'!$A:$A,0))))))</f>
        <v>2.0154403245554658E-2</v>
      </c>
      <c r="Z483" s="43">
        <v>252</v>
      </c>
      <c r="AA483" s="43" t="s">
        <v>30</v>
      </c>
      <c r="AB483" s="43" t="s">
        <v>32</v>
      </c>
      <c r="AC483">
        <f t="shared" si="130"/>
        <v>0</v>
      </c>
      <c r="AD483" s="43" t="s">
        <v>31</v>
      </c>
      <c r="AE483">
        <f t="shared" si="131"/>
        <v>1</v>
      </c>
      <c r="AF483" s="34" t="str" cm="1">
        <f t="array" ref="AF483">INDEX(Ratings!$B$2:$M$40,_xlfn.XMATCH(Base!F483,Ratings!$A$2:$A$40),_xlfn.XMATCH(YEAR(Base!K483),Ratings!$B$1:$M$1))</f>
        <v>BB</v>
      </c>
      <c r="AG483">
        <f t="shared" si="139"/>
        <v>0</v>
      </c>
      <c r="AH483">
        <f>IFERROR(IFERROR(IFERROR(INDEX('EMBI+'!$B:$B,MATCH(Base!$K483,'EMBI+'!$A:$A,0)),INDEX('EMBI+'!$B:$B,MATCH(Base!$K483+1,'EMBI+'!$A:$A,0))),INDEX('EMBI+'!$B:$B,MATCH(Base!$K483+2,'EMBI+'!$A:$A,0))),INDEX('EMBI+'!$B:$B,MATCH(Base!$K483+3,'EMBI+'!$A:$A,0)))/100</f>
        <v>3.12</v>
      </c>
      <c r="AL483" s="43"/>
      <c r="AM483" s="28"/>
      <c r="AN483" s="28"/>
    </row>
    <row r="484" spans="1:40" x14ac:dyDescent="0.35">
      <c r="A484">
        <f t="shared" si="140"/>
        <v>482</v>
      </c>
      <c r="B484">
        <f>IF(G484="Bonds",COUNTIF($G$3:G484,"Bonds"),0)</f>
        <v>0</v>
      </c>
      <c r="C484" t="str">
        <f t="shared" si="136"/>
        <v>Simpar4147044027</v>
      </c>
      <c r="D484">
        <f t="shared" si="137"/>
        <v>34</v>
      </c>
      <c r="E484" s="43" t="s">
        <v>565</v>
      </c>
      <c r="F484" s="43" t="s">
        <v>566</v>
      </c>
      <c r="G484" s="43" t="s">
        <v>25</v>
      </c>
      <c r="H484">
        <f t="shared" si="127"/>
        <v>0</v>
      </c>
      <c r="I484" s="43" t="s">
        <v>574</v>
      </c>
      <c r="J484" s="34">
        <f t="shared" si="138"/>
        <v>8</v>
      </c>
      <c r="K484" s="28">
        <v>41470</v>
      </c>
      <c r="L484" s="28">
        <v>44027</v>
      </c>
      <c r="M484" s="60">
        <f t="shared" si="128"/>
        <v>7.0054794520547947</v>
      </c>
      <c r="N484" s="4">
        <f t="shared" si="129"/>
        <v>1</v>
      </c>
      <c r="O484" s="43" t="s">
        <v>44</v>
      </c>
      <c r="P484" t="str">
        <f t="shared" si="132"/>
        <v>0</v>
      </c>
      <c r="Q484" s="44">
        <v>62472</v>
      </c>
      <c r="R484" s="43">
        <v>1000</v>
      </c>
      <c r="S484" s="34" t="str">
        <f>IF($V484="USD",INDEX('Dólar Spot'!$B:$B,MATCH(Base!$K484,'Dólar Spot'!$A:$A,0)),"")</f>
        <v/>
      </c>
      <c r="T484" s="4">
        <f t="shared" si="142"/>
        <v>62472000</v>
      </c>
      <c r="U484" s="8">
        <f t="shared" si="133"/>
        <v>0.62472000000000005</v>
      </c>
      <c r="V484" s="43" t="s">
        <v>41</v>
      </c>
      <c r="W484" s="45">
        <v>100</v>
      </c>
      <c r="X484" s="46">
        <v>2.2000000000000002</v>
      </c>
      <c r="Y484" s="9">
        <f>IF(AND(V484="DI",$W484=100),$X484/100,
IF(AND(V484="DI",$W484&lt;&gt;100,$X484=""),INDEX('Debs %CDI'!$Q:$Q,MATCH(Base!$C484,'Debs %CDI'!$A:$A,0)),
IF($V484="USD",INDEX(Bonds!$AF:$AF,MATCH(Base!$C484,Bonds!$B:$B,0)),
IF($V484="IPCA",INDEX('Debs IPCA'!$Z:$Z,MATCH(Base!$C484,'Debs IPCA'!$A:$A,0))))))</f>
        <v>2.2000000000000002E-2</v>
      </c>
      <c r="Z484" s="43">
        <v>252</v>
      </c>
      <c r="AA484" s="43" t="s">
        <v>30</v>
      </c>
      <c r="AB484" s="43" t="s">
        <v>32</v>
      </c>
      <c r="AC484">
        <f t="shared" si="130"/>
        <v>0</v>
      </c>
      <c r="AD484" s="43" t="s">
        <v>32</v>
      </c>
      <c r="AE484">
        <f t="shared" si="131"/>
        <v>0</v>
      </c>
      <c r="AF484" s="34" t="str" cm="1">
        <f t="array" ref="AF484">INDEX(Ratings!$B$2:$M$40,_xlfn.XMATCH(Base!F484,Ratings!$A$2:$A$40),_xlfn.XMATCH(YEAR(Base!K484),Ratings!$B$1:$M$1))</f>
        <v>BB</v>
      </c>
      <c r="AG484">
        <f t="shared" si="139"/>
        <v>0</v>
      </c>
      <c r="AH484">
        <f>IFERROR(IFERROR(IFERROR(INDEX('EMBI+'!$B:$B,MATCH(Base!$K484,'EMBI+'!$A:$A,0)),INDEX('EMBI+'!$B:$B,MATCH(Base!$K484+1,'EMBI+'!$A:$A,0))),INDEX('EMBI+'!$B:$B,MATCH(Base!$K484+2,'EMBI+'!$A:$A,0))),INDEX('EMBI+'!$B:$B,MATCH(Base!$K484+3,'EMBI+'!$A:$A,0)))/100</f>
        <v>2.2400000000000002</v>
      </c>
      <c r="AL484" s="43"/>
      <c r="AM484" s="28"/>
      <c r="AN484" s="28"/>
    </row>
    <row r="485" spans="1:40" x14ac:dyDescent="0.35">
      <c r="A485">
        <f t="shared" si="140"/>
        <v>483</v>
      </c>
      <c r="B485">
        <f>IF(G485="Bonds",COUNTIF($G$3:G485,"Bonds"),0)</f>
        <v>0</v>
      </c>
      <c r="C485" t="str">
        <f t="shared" si="136"/>
        <v>Simpar4180544362</v>
      </c>
      <c r="D485">
        <f t="shared" si="137"/>
        <v>34</v>
      </c>
      <c r="E485" s="43" t="s">
        <v>565</v>
      </c>
      <c r="F485" s="43" t="s">
        <v>566</v>
      </c>
      <c r="G485" s="43" t="s">
        <v>25</v>
      </c>
      <c r="H485">
        <f t="shared" si="127"/>
        <v>0</v>
      </c>
      <c r="I485" s="43" t="s">
        <v>575</v>
      </c>
      <c r="J485" s="34">
        <f t="shared" si="138"/>
        <v>9</v>
      </c>
      <c r="K485" s="28">
        <v>41805</v>
      </c>
      <c r="L485" s="28">
        <v>44362</v>
      </c>
      <c r="M485" s="60">
        <f t="shared" si="128"/>
        <v>7.0054794520547947</v>
      </c>
      <c r="N485" s="4">
        <f t="shared" si="129"/>
        <v>1</v>
      </c>
      <c r="O485" s="43" t="s">
        <v>44</v>
      </c>
      <c r="P485" t="str">
        <f t="shared" si="132"/>
        <v>0</v>
      </c>
      <c r="Q485" s="44">
        <v>71751</v>
      </c>
      <c r="R485" s="43">
        <v>1000</v>
      </c>
      <c r="S485" s="34" t="str">
        <f>IF($V485="USD",INDEX('Dólar Spot'!$B:$B,MATCH(Base!$K485,'Dólar Spot'!$A:$A,0)),"")</f>
        <v/>
      </c>
      <c r="T485" s="4">
        <f t="shared" si="142"/>
        <v>71751000</v>
      </c>
      <c r="U485" s="8">
        <f t="shared" si="133"/>
        <v>0.71750999999999998</v>
      </c>
      <c r="V485" s="43" t="s">
        <v>28</v>
      </c>
      <c r="W485" s="45" t="s">
        <v>29</v>
      </c>
      <c r="X485" s="46">
        <v>8</v>
      </c>
      <c r="Y485" s="9">
        <f>IF(AND(V485="DI",$W485=100),$X485/100,
IF(AND(V485="DI",$W485&lt;&gt;100,$X485=""),INDEX('Debs %CDI'!$Q:$Q,MATCH(Base!$C485,'Debs %CDI'!$A:$A,0)),
IF($V485="USD",INDEX(Bonds!$AF:$AF,MATCH(Base!$C485,Bonds!$B:$B,0)),
IF($V485="IPCA",INDEX('Debs IPCA'!$Z:$Z,MATCH(Base!$C485,'Debs IPCA'!$A:$A,0))))))</f>
        <v>1.9798020773846181E-2</v>
      </c>
      <c r="Z485" s="43">
        <v>252</v>
      </c>
      <c r="AA485" s="43" t="s">
        <v>30</v>
      </c>
      <c r="AB485" s="43" t="s">
        <v>32</v>
      </c>
      <c r="AC485">
        <f t="shared" si="130"/>
        <v>0</v>
      </c>
      <c r="AD485" s="43" t="s">
        <v>32</v>
      </c>
      <c r="AE485">
        <f t="shared" si="131"/>
        <v>0</v>
      </c>
      <c r="AF485" s="34" t="str" cm="1">
        <f t="array" ref="AF485">INDEX(Ratings!$B$2:$M$40,_xlfn.XMATCH(Base!F485,Ratings!$A$2:$A$40),_xlfn.XMATCH(YEAR(Base!K485),Ratings!$B$1:$M$1))</f>
        <v>BB</v>
      </c>
      <c r="AG485">
        <f t="shared" si="139"/>
        <v>0</v>
      </c>
      <c r="AH485">
        <f>IFERROR(IFERROR(IFERROR(INDEX('EMBI+'!$B:$B,MATCH(Base!$K485,'EMBI+'!$A:$A,0)),INDEX('EMBI+'!$B:$B,MATCH(Base!$K485+1,'EMBI+'!$A:$A,0))),INDEX('EMBI+'!$B:$B,MATCH(Base!$K485+2,'EMBI+'!$A:$A,0))),INDEX('EMBI+'!$B:$B,MATCH(Base!$K485+3,'EMBI+'!$A:$A,0)))/100</f>
        <v>2.08</v>
      </c>
      <c r="AL485" s="43"/>
      <c r="AM485" s="28"/>
      <c r="AN485" s="28"/>
    </row>
    <row r="486" spans="1:40" x14ac:dyDescent="0.35">
      <c r="A486">
        <f t="shared" si="140"/>
        <v>484</v>
      </c>
      <c r="B486">
        <f>IF(G486="Bonds",COUNTIF($G$3:G486,"Bonds"),0)</f>
        <v>0</v>
      </c>
      <c r="C486" t="str">
        <f t="shared" si="136"/>
        <v>Simpar4198844545</v>
      </c>
      <c r="D486">
        <f t="shared" si="137"/>
        <v>34</v>
      </c>
      <c r="E486" s="43" t="s">
        <v>565</v>
      </c>
      <c r="F486" s="43" t="s">
        <v>566</v>
      </c>
      <c r="G486" s="43" t="s">
        <v>25</v>
      </c>
      <c r="H486">
        <f t="shared" si="127"/>
        <v>0</v>
      </c>
      <c r="I486" s="43" t="s">
        <v>576</v>
      </c>
      <c r="J486" s="34">
        <f t="shared" si="138"/>
        <v>10</v>
      </c>
      <c r="K486" s="28">
        <v>41988</v>
      </c>
      <c r="L486" s="28">
        <v>44545</v>
      </c>
      <c r="M486" s="60">
        <f t="shared" si="128"/>
        <v>7.0054794520547947</v>
      </c>
      <c r="N486" s="4">
        <f t="shared" si="129"/>
        <v>1</v>
      </c>
      <c r="O486" s="43" t="s">
        <v>44</v>
      </c>
      <c r="P486" t="str">
        <f t="shared" si="132"/>
        <v>0</v>
      </c>
      <c r="Q486" s="44">
        <v>15000</v>
      </c>
      <c r="R486" s="43">
        <v>10000</v>
      </c>
      <c r="S486" s="34" t="str">
        <f>IF($V486="USD",INDEX('Dólar Spot'!$B:$B,MATCH(Base!$K486,'Dólar Spot'!$A:$A,0)),"")</f>
        <v/>
      </c>
      <c r="T486" s="4">
        <f t="shared" si="142"/>
        <v>150000000</v>
      </c>
      <c r="U486" s="8">
        <f t="shared" si="133"/>
        <v>1.5</v>
      </c>
      <c r="V486" s="43" t="s">
        <v>41</v>
      </c>
      <c r="W486" s="45">
        <v>118.5</v>
      </c>
      <c r="X486" s="46"/>
      <c r="Y486" s="9">
        <f>IF(AND(V486="DI",$W486=100),$X486/100,
IF(AND(V486="DI",$W486&lt;&gt;100,$X486=""),INDEX('Debs %CDI'!$Q:$Q,MATCH(Base!$C486,'Debs %CDI'!$A:$A,0)),
IF($V486="USD",INDEX(Bonds!$AF:$AF,MATCH(Base!$C486,Bonds!$B:$B,0)),
IF($V486="IPCA",INDEX('Debs IPCA'!$Z:$Z,MATCH(Base!$C486,'Debs IPCA'!$A:$A,0))))))</f>
        <v>2.3068193821138241E-2</v>
      </c>
      <c r="Z486" s="43">
        <v>252</v>
      </c>
      <c r="AA486" s="43" t="s">
        <v>30</v>
      </c>
      <c r="AB486" s="43" t="s">
        <v>32</v>
      </c>
      <c r="AC486">
        <f t="shared" si="130"/>
        <v>0</v>
      </c>
      <c r="AD486" s="43" t="s">
        <v>31</v>
      </c>
      <c r="AE486">
        <f t="shared" si="131"/>
        <v>1</v>
      </c>
      <c r="AF486" s="34" t="str" cm="1">
        <f t="array" ref="AF486">INDEX(Ratings!$B$2:$M$40,_xlfn.XMATCH(Base!F486,Ratings!$A$2:$A$40),_xlfn.XMATCH(YEAR(Base!K486),Ratings!$B$1:$M$1))</f>
        <v>BB</v>
      </c>
      <c r="AG486">
        <f t="shared" si="139"/>
        <v>0</v>
      </c>
      <c r="AH486">
        <f>IFERROR(IFERROR(IFERROR(INDEX('EMBI+'!$B:$B,MATCH(Base!$K486,'EMBI+'!$A:$A,0)),INDEX('EMBI+'!$B:$B,MATCH(Base!$K486+1,'EMBI+'!$A:$A,0))),INDEX('EMBI+'!$B:$B,MATCH(Base!$K486+2,'EMBI+'!$A:$A,0))),INDEX('EMBI+'!$B:$B,MATCH(Base!$K486+3,'EMBI+'!$A:$A,0)))/100</f>
        <v>3.12</v>
      </c>
      <c r="AL486" s="43"/>
      <c r="AM486" s="28"/>
      <c r="AN486" s="28"/>
    </row>
    <row r="487" spans="1:40" x14ac:dyDescent="0.35">
      <c r="A487">
        <f t="shared" si="140"/>
        <v>485</v>
      </c>
      <c r="B487">
        <f>IF(G487="Bonds",COUNTIF($G$3:G487,"Bonds"),0)</f>
        <v>0</v>
      </c>
      <c r="C487" t="str">
        <f t="shared" si="136"/>
        <v>Simpar4147044027</v>
      </c>
      <c r="D487">
        <f t="shared" si="137"/>
        <v>34</v>
      </c>
      <c r="E487" s="43" t="s">
        <v>565</v>
      </c>
      <c r="F487" s="43" t="s">
        <v>566</v>
      </c>
      <c r="G487" s="43" t="s">
        <v>25</v>
      </c>
      <c r="H487">
        <f t="shared" ref="H487:H556" si="143">IF(G487="Bonds",1,0)</f>
        <v>0</v>
      </c>
      <c r="I487" s="43" t="s">
        <v>577</v>
      </c>
      <c r="J487" s="34">
        <f t="shared" si="138"/>
        <v>11</v>
      </c>
      <c r="K487" s="28">
        <v>41470</v>
      </c>
      <c r="L487" s="28">
        <v>44027</v>
      </c>
      <c r="M487" s="60">
        <f t="shared" ref="M487:M556" si="144">(L487-K487)/365</f>
        <v>7.0054794520547947</v>
      </c>
      <c r="N487" s="4">
        <f t="shared" ref="N487:N556" si="145">IF(M487&gt;5,1,0)</f>
        <v>1</v>
      </c>
      <c r="O487" s="43" t="s">
        <v>44</v>
      </c>
      <c r="P487" t="str">
        <f t="shared" si="132"/>
        <v>0</v>
      </c>
      <c r="Q487" s="44">
        <v>185099</v>
      </c>
      <c r="R487" s="43">
        <v>1000</v>
      </c>
      <c r="S487" s="34" t="str">
        <f>IF($V487="USD",INDEX('Dólar Spot'!$B:$B,MATCH(Base!$K487,'Dólar Spot'!$A:$A,0)),"")</f>
        <v/>
      </c>
      <c r="T487" s="4">
        <f t="shared" si="142"/>
        <v>185099000</v>
      </c>
      <c r="U487" s="8">
        <f t="shared" si="133"/>
        <v>1.8509899999999999</v>
      </c>
      <c r="V487" s="43" t="s">
        <v>28</v>
      </c>
      <c r="W487" s="45" t="s">
        <v>29</v>
      </c>
      <c r="X487" s="46">
        <v>7.5</v>
      </c>
      <c r="Y487" s="9">
        <f>IF(AND(V487="DI",$W487=100),$X487/100,
IF(AND(V487="DI",$W487&lt;&gt;100,$X487=""),INDEX('Debs %CDI'!$Q:$Q,MATCH(Base!$C487,'Debs %CDI'!$A:$A,0)),
IF($V487="USD",INDEX(Bonds!$AF:$AF,MATCH(Base!$C487,Bonds!$B:$B,0)),
IF($V487="IPCA",INDEX('Debs IPCA'!$Z:$Z,MATCH(Base!$C487,'Debs IPCA'!$A:$A,0))))))</f>
        <v>2.2765255468301326E-2</v>
      </c>
      <c r="Z487" s="43">
        <v>252</v>
      </c>
      <c r="AA487" s="43" t="s">
        <v>30</v>
      </c>
      <c r="AB487" s="43" t="s">
        <v>32</v>
      </c>
      <c r="AC487">
        <f t="shared" ref="AC487:AC556" si="146">IF(AB487="S",1,0)</f>
        <v>0</v>
      </c>
      <c r="AD487" s="43" t="s">
        <v>32</v>
      </c>
      <c r="AE487">
        <f t="shared" ref="AE487:AE556" si="147">IF(OR(AD487="N",AD487="AT MATURITY"),0,1)</f>
        <v>0</v>
      </c>
      <c r="AF487" s="34" t="str" cm="1">
        <f t="array" ref="AF487">INDEX(Ratings!$B$2:$M$40,_xlfn.XMATCH(Base!F487,Ratings!$A$2:$A$40),_xlfn.XMATCH(YEAR(Base!K487),Ratings!$B$1:$M$1))</f>
        <v>BB</v>
      </c>
      <c r="AG487">
        <f t="shared" si="139"/>
        <v>0</v>
      </c>
      <c r="AH487">
        <f>IFERROR(IFERROR(IFERROR(INDEX('EMBI+'!$B:$B,MATCH(Base!$K487,'EMBI+'!$A:$A,0)),INDEX('EMBI+'!$B:$B,MATCH(Base!$K487+1,'EMBI+'!$A:$A,0))),INDEX('EMBI+'!$B:$B,MATCH(Base!$K487+2,'EMBI+'!$A:$A,0))),INDEX('EMBI+'!$B:$B,MATCH(Base!$K487+3,'EMBI+'!$A:$A,0)))/100</f>
        <v>2.2400000000000002</v>
      </c>
      <c r="AL487" s="43"/>
      <c r="AM487" s="28"/>
      <c r="AN487" s="28"/>
    </row>
    <row r="488" spans="1:40" x14ac:dyDescent="0.35">
      <c r="A488">
        <f t="shared" si="140"/>
        <v>486</v>
      </c>
      <c r="B488">
        <f>IF(G488="Bonds",COUNTIF($G$3:G488,"Bonds"),0)</f>
        <v>0</v>
      </c>
      <c r="C488" t="str">
        <f t="shared" si="136"/>
        <v>Simpar4180544362</v>
      </c>
      <c r="D488">
        <f t="shared" si="137"/>
        <v>34</v>
      </c>
      <c r="E488" s="43" t="s">
        <v>565</v>
      </c>
      <c r="F488" s="43" t="s">
        <v>566</v>
      </c>
      <c r="G488" s="43" t="s">
        <v>25</v>
      </c>
      <c r="H488">
        <f t="shared" si="143"/>
        <v>0</v>
      </c>
      <c r="I488" s="43" t="s">
        <v>578</v>
      </c>
      <c r="J488" s="34">
        <f t="shared" si="138"/>
        <v>12</v>
      </c>
      <c r="K488" s="28">
        <v>41805</v>
      </c>
      <c r="L488" s="28">
        <v>44362</v>
      </c>
      <c r="M488" s="60">
        <f t="shared" si="144"/>
        <v>7.0054794520547947</v>
      </c>
      <c r="N488" s="4">
        <f t="shared" si="145"/>
        <v>1</v>
      </c>
      <c r="O488" s="43" t="s">
        <v>44</v>
      </c>
      <c r="P488" t="str">
        <f t="shared" ref="P488:P557" si="148">IF(OR(O488="Real",O488="Flutuante",O488="SR SECURED"),"1","0")</f>
        <v>0</v>
      </c>
      <c r="Q488" s="44">
        <v>163074</v>
      </c>
      <c r="R488" s="43">
        <v>1000</v>
      </c>
      <c r="S488" s="34" t="str">
        <f>IF($V488="USD",INDEX('Dólar Spot'!$B:$B,MATCH(Base!$K488,'Dólar Spot'!$A:$A,0)),"")</f>
        <v/>
      </c>
      <c r="T488" s="4">
        <f t="shared" si="142"/>
        <v>163074000</v>
      </c>
      <c r="U488" s="8">
        <f t="shared" ref="U488:U557" si="149">IF(V488="USD",T488*S488/100000000,Q488*R488/100000000)</f>
        <v>1.6307400000000001</v>
      </c>
      <c r="V488" s="43" t="s">
        <v>41</v>
      </c>
      <c r="W488" s="45">
        <v>118.5</v>
      </c>
      <c r="X488" s="46"/>
      <c r="Y488" s="9">
        <f>IF(AND(V488="DI",$W488=100),$X488/100,
IF(AND(V488="DI",$W488&lt;&gt;100,$X488=""),INDEX('Debs %CDI'!$Q:$Q,MATCH(Base!$C488,'Debs %CDI'!$A:$A,0)),
IF($V488="USD",INDEX(Bonds!$AF:$AF,MATCH(Base!$C488,Bonds!$B:$B,0)),
IF($V488="IPCA",INDEX('Debs IPCA'!$Z:$Z,MATCH(Base!$C488,'Debs IPCA'!$A:$A,0))))))</f>
        <v>2.2092331408492878E-2</v>
      </c>
      <c r="Z488" s="43">
        <v>252</v>
      </c>
      <c r="AA488" s="43" t="s">
        <v>30</v>
      </c>
      <c r="AB488" s="43" t="s">
        <v>32</v>
      </c>
      <c r="AC488">
        <f t="shared" si="146"/>
        <v>0</v>
      </c>
      <c r="AD488" s="43" t="s">
        <v>32</v>
      </c>
      <c r="AE488">
        <f t="shared" si="147"/>
        <v>0</v>
      </c>
      <c r="AF488" s="34" t="str" cm="1">
        <f t="array" ref="AF488">INDEX(Ratings!$B$2:$M$40,_xlfn.XMATCH(Base!F488,Ratings!$A$2:$A$40),_xlfn.XMATCH(YEAR(Base!K488),Ratings!$B$1:$M$1))</f>
        <v>BB</v>
      </c>
      <c r="AG488">
        <f t="shared" si="139"/>
        <v>0</v>
      </c>
      <c r="AH488">
        <f>IFERROR(IFERROR(IFERROR(INDEX('EMBI+'!$B:$B,MATCH(Base!$K488,'EMBI+'!$A:$A,0)),INDEX('EMBI+'!$B:$B,MATCH(Base!$K488+1,'EMBI+'!$A:$A,0))),INDEX('EMBI+'!$B:$B,MATCH(Base!$K488+2,'EMBI+'!$A:$A,0))),INDEX('EMBI+'!$B:$B,MATCH(Base!$K488+3,'EMBI+'!$A:$A,0)))/100</f>
        <v>2.08</v>
      </c>
      <c r="AL488" s="43"/>
      <c r="AM488" s="28"/>
      <c r="AN488" s="28"/>
    </row>
    <row r="489" spans="1:40" x14ac:dyDescent="0.35">
      <c r="A489">
        <f t="shared" si="140"/>
        <v>487</v>
      </c>
      <c r="B489">
        <f>IF(G489="Bonds",COUNTIF($G$3:G489,"Bonds"),0)</f>
        <v>0</v>
      </c>
      <c r="C489" t="str">
        <f t="shared" si="136"/>
        <v>Simpar4290647016</v>
      </c>
      <c r="D489">
        <f t="shared" si="137"/>
        <v>34</v>
      </c>
      <c r="E489" s="43" t="s">
        <v>565</v>
      </c>
      <c r="F489" s="43" t="s">
        <v>566</v>
      </c>
      <c r="G489" s="43" t="s">
        <v>25</v>
      </c>
      <c r="H489">
        <f t="shared" si="143"/>
        <v>0</v>
      </c>
      <c r="I489" s="43" t="s">
        <v>579</v>
      </c>
      <c r="J489" s="34">
        <f t="shared" si="138"/>
        <v>13</v>
      </c>
      <c r="K489" s="28">
        <v>42906</v>
      </c>
      <c r="L489" s="28">
        <v>47016</v>
      </c>
      <c r="M489" s="60">
        <f t="shared" si="144"/>
        <v>11.260273972602739</v>
      </c>
      <c r="N489" s="4">
        <f t="shared" si="145"/>
        <v>1</v>
      </c>
      <c r="O489" s="43" t="s">
        <v>58</v>
      </c>
      <c r="P489" t="str">
        <f t="shared" si="148"/>
        <v>1</v>
      </c>
      <c r="Q489" s="44">
        <v>400000</v>
      </c>
      <c r="R489" s="43">
        <v>1000</v>
      </c>
      <c r="S489" s="34" t="str">
        <f>IF($V489="USD",INDEX('Dólar Spot'!$B:$B,MATCH(Base!$K489,'Dólar Spot'!$A:$A,0)),"")</f>
        <v/>
      </c>
      <c r="T489" s="4">
        <f t="shared" si="142"/>
        <v>400000000</v>
      </c>
      <c r="U489" s="8">
        <f t="shared" si="149"/>
        <v>4</v>
      </c>
      <c r="V489" s="43" t="s">
        <v>41</v>
      </c>
      <c r="W489" s="45">
        <v>100</v>
      </c>
      <c r="X489" s="46">
        <v>2.7</v>
      </c>
      <c r="Y489" s="9">
        <f>IF(AND(V489="DI",$W489=100),$X489/100,
IF(AND(V489="DI",$W489&lt;&gt;100,$X489=""),INDEX('Debs %CDI'!$Q:$Q,MATCH(Base!$C489,'Debs %CDI'!$A:$A,0)),
IF($V489="USD",INDEX(Bonds!$AF:$AF,MATCH(Base!$C489,Bonds!$B:$B,0)),
IF($V489="IPCA",INDEX('Debs IPCA'!$Z:$Z,MATCH(Base!$C489,'Debs IPCA'!$A:$A,0))))))</f>
        <v>2.7000000000000003E-2</v>
      </c>
      <c r="Z489" s="43">
        <v>252</v>
      </c>
      <c r="AA489" s="43" t="s">
        <v>30</v>
      </c>
      <c r="AB489" s="43" t="s">
        <v>32</v>
      </c>
      <c r="AC489">
        <f t="shared" si="146"/>
        <v>0</v>
      </c>
      <c r="AD489" s="43" t="s">
        <v>31</v>
      </c>
      <c r="AE489">
        <f t="shared" si="147"/>
        <v>1</v>
      </c>
      <c r="AF489" s="34" t="str" cm="1">
        <f t="array" ref="AF489">INDEX(Ratings!$B$2:$M$40,_xlfn.XMATCH(Base!F489,Ratings!$A$2:$A$40),_xlfn.XMATCH(YEAR(Base!K489),Ratings!$B$1:$M$1))</f>
        <v>BB</v>
      </c>
      <c r="AG489">
        <f t="shared" si="139"/>
        <v>0</v>
      </c>
      <c r="AH489">
        <f>IFERROR(IFERROR(IFERROR(INDEX('EMBI+'!$B:$B,MATCH(Base!$K489,'EMBI+'!$A:$A,0)),INDEX('EMBI+'!$B:$B,MATCH(Base!$K489+1,'EMBI+'!$A:$A,0))),INDEX('EMBI+'!$B:$B,MATCH(Base!$K489+2,'EMBI+'!$A:$A,0))),INDEX('EMBI+'!$B:$B,MATCH(Base!$K489+3,'EMBI+'!$A:$A,0)))/100</f>
        <v>2.99</v>
      </c>
      <c r="AL489" s="43"/>
      <c r="AM489" s="28"/>
      <c r="AN489" s="28"/>
    </row>
    <row r="490" spans="1:40" x14ac:dyDescent="0.35">
      <c r="A490">
        <f t="shared" si="140"/>
        <v>488</v>
      </c>
      <c r="B490">
        <f>IF(G490="Bonds",COUNTIF($G$3:G490,"Bonds"),0)</f>
        <v>0</v>
      </c>
      <c r="C490" t="str">
        <f t="shared" si="136"/>
        <v>Simpar4345447016</v>
      </c>
      <c r="D490">
        <f t="shared" si="137"/>
        <v>34</v>
      </c>
      <c r="E490" s="43" t="s">
        <v>565</v>
      </c>
      <c r="F490" s="43" t="s">
        <v>566</v>
      </c>
      <c r="G490" s="43" t="s">
        <v>25</v>
      </c>
      <c r="H490">
        <f t="shared" si="143"/>
        <v>0</v>
      </c>
      <c r="I490" s="43" t="s">
        <v>580</v>
      </c>
      <c r="J490" s="34">
        <f t="shared" si="138"/>
        <v>14</v>
      </c>
      <c r="K490" s="28">
        <v>43454</v>
      </c>
      <c r="L490" s="28">
        <v>47016</v>
      </c>
      <c r="M490" s="60">
        <f t="shared" si="144"/>
        <v>9.7589041095890412</v>
      </c>
      <c r="N490" s="4">
        <f t="shared" si="145"/>
        <v>1</v>
      </c>
      <c r="O490" s="43" t="s">
        <v>58</v>
      </c>
      <c r="P490" t="str">
        <f t="shared" si="148"/>
        <v>1</v>
      </c>
      <c r="Q490" s="44">
        <v>60000</v>
      </c>
      <c r="R490" s="43">
        <v>10000</v>
      </c>
      <c r="S490" s="34" t="str">
        <f>IF($V490="USD",INDEX('Dólar Spot'!$B:$B,MATCH(Base!$K490,'Dólar Spot'!$A:$A,0)),"")</f>
        <v/>
      </c>
      <c r="T490" s="4">
        <f t="shared" si="142"/>
        <v>600000000</v>
      </c>
      <c r="U490" s="8">
        <f t="shared" si="149"/>
        <v>6</v>
      </c>
      <c r="V490" s="43" t="s">
        <v>41</v>
      </c>
      <c r="W490" s="45">
        <v>100</v>
      </c>
      <c r="X490" s="46">
        <v>2.7</v>
      </c>
      <c r="Y490" s="9">
        <f>IF(AND(V490="DI",$W490=100),$X490/100,
IF(AND(V490="DI",$W490&lt;&gt;100,$X490=""),INDEX('Debs %CDI'!$Q:$Q,MATCH(Base!$C490,'Debs %CDI'!$A:$A,0)),
IF($V490="USD",INDEX(Bonds!$AF:$AF,MATCH(Base!$C490,Bonds!$B:$B,0)),
IF($V490="IPCA",INDEX('Debs IPCA'!$Z:$Z,MATCH(Base!$C490,'Debs IPCA'!$A:$A,0))))))</f>
        <v>2.7000000000000003E-2</v>
      </c>
      <c r="Z490" s="43">
        <v>252</v>
      </c>
      <c r="AA490" s="43" t="s">
        <v>30</v>
      </c>
      <c r="AB490" s="43" t="s">
        <v>32</v>
      </c>
      <c r="AC490">
        <f t="shared" si="146"/>
        <v>0</v>
      </c>
      <c r="AD490" s="43" t="s">
        <v>31</v>
      </c>
      <c r="AE490">
        <f t="shared" si="147"/>
        <v>1</v>
      </c>
      <c r="AF490" s="34" t="str" cm="1">
        <f t="array" ref="AF490">INDEX(Ratings!$B$2:$M$40,_xlfn.XMATCH(Base!F490,Ratings!$A$2:$A$40),_xlfn.XMATCH(YEAR(Base!K490),Ratings!$B$1:$M$1))</f>
        <v>BB</v>
      </c>
      <c r="AG490">
        <f t="shared" si="139"/>
        <v>0</v>
      </c>
      <c r="AH490">
        <f>IFERROR(IFERROR(IFERROR(INDEX('EMBI+'!$B:$B,MATCH(Base!$K490,'EMBI+'!$A:$A,0)),INDEX('EMBI+'!$B:$B,MATCH(Base!$K490+1,'EMBI+'!$A:$A,0))),INDEX('EMBI+'!$B:$B,MATCH(Base!$K490+2,'EMBI+'!$A:$A,0))),INDEX('EMBI+'!$B:$B,MATCH(Base!$K490+3,'EMBI+'!$A:$A,0)))/100</f>
        <v>2.68</v>
      </c>
      <c r="AL490" s="43"/>
      <c r="AM490" s="28"/>
      <c r="AN490" s="28"/>
    </row>
    <row r="491" spans="1:40" x14ac:dyDescent="0.35">
      <c r="A491">
        <f t="shared" si="140"/>
        <v>489</v>
      </c>
      <c r="B491">
        <f>IF(G491="Bonds",COUNTIF($G$3:G491,"Bonds"),0)</f>
        <v>0</v>
      </c>
      <c r="C491" t="str">
        <f t="shared" si="136"/>
        <v>Simpar4360545432</v>
      </c>
      <c r="D491">
        <f t="shared" si="137"/>
        <v>34</v>
      </c>
      <c r="E491" s="43" t="s">
        <v>565</v>
      </c>
      <c r="F491" s="43" t="s">
        <v>566</v>
      </c>
      <c r="G491" s="43" t="s">
        <v>25</v>
      </c>
      <c r="H491">
        <f t="shared" si="143"/>
        <v>0</v>
      </c>
      <c r="I491" s="43" t="s">
        <v>581</v>
      </c>
      <c r="J491" s="34">
        <f t="shared" si="138"/>
        <v>15</v>
      </c>
      <c r="K491" s="28">
        <v>43605</v>
      </c>
      <c r="L491" s="28">
        <v>45432</v>
      </c>
      <c r="M491" s="60">
        <f t="shared" si="144"/>
        <v>5.0054794520547947</v>
      </c>
      <c r="N491" s="4">
        <f t="shared" si="145"/>
        <v>1</v>
      </c>
      <c r="O491" s="43" t="s">
        <v>44</v>
      </c>
      <c r="P491" t="str">
        <f t="shared" si="148"/>
        <v>0</v>
      </c>
      <c r="Q491" s="44">
        <v>344940</v>
      </c>
      <c r="R491" s="43">
        <v>1000</v>
      </c>
      <c r="S491" s="34" t="str">
        <f>IF($V491="USD",INDEX('Dólar Spot'!$B:$B,MATCH(Base!$K491,'Dólar Spot'!$A:$A,0)),"")</f>
        <v/>
      </c>
      <c r="T491" s="4">
        <f t="shared" si="142"/>
        <v>344940000</v>
      </c>
      <c r="U491" s="8">
        <f t="shared" si="149"/>
        <v>3.4493999999999998</v>
      </c>
      <c r="V491" s="43" t="s">
        <v>41</v>
      </c>
      <c r="W491" s="45">
        <v>100</v>
      </c>
      <c r="X491" s="46">
        <v>1.9</v>
      </c>
      <c r="Y491" s="9">
        <f>IF(AND(V491="DI",$W491=100),$X491/100,
IF(AND(V491="DI",$W491&lt;&gt;100,$X491=""),INDEX('Debs %CDI'!$Q:$Q,MATCH(Base!$C491,'Debs %CDI'!$A:$A,0)),
IF($V491="USD",INDEX(Bonds!$AF:$AF,MATCH(Base!$C491,Bonds!$B:$B,0)),
IF($V491="IPCA",INDEX('Debs IPCA'!$Z:$Z,MATCH(Base!$C491,'Debs IPCA'!$A:$A,0))))))</f>
        <v>1.9E-2</v>
      </c>
      <c r="Z491" s="43">
        <v>252</v>
      </c>
      <c r="AA491" s="43" t="s">
        <v>30</v>
      </c>
      <c r="AB491" s="43" t="s">
        <v>32</v>
      </c>
      <c r="AC491">
        <f t="shared" si="146"/>
        <v>0</v>
      </c>
      <c r="AD491" s="43" t="s">
        <v>31</v>
      </c>
      <c r="AE491">
        <f t="shared" si="147"/>
        <v>1</v>
      </c>
      <c r="AF491" s="34" t="str" cm="1">
        <f t="array" ref="AF491">INDEX(Ratings!$B$2:$M$40,_xlfn.XMATCH(Base!F491,Ratings!$A$2:$A$40),_xlfn.XMATCH(YEAR(Base!K491),Ratings!$B$1:$M$1))</f>
        <v>BB</v>
      </c>
      <c r="AG491">
        <f t="shared" si="139"/>
        <v>0</v>
      </c>
      <c r="AH491">
        <f>IFERROR(IFERROR(IFERROR(INDEX('EMBI+'!$B:$B,MATCH(Base!$K491,'EMBI+'!$A:$A,0)),INDEX('EMBI+'!$B:$B,MATCH(Base!$K491+1,'EMBI+'!$A:$A,0))),INDEX('EMBI+'!$B:$B,MATCH(Base!$K491+2,'EMBI+'!$A:$A,0))),INDEX('EMBI+'!$B:$B,MATCH(Base!$K491+3,'EMBI+'!$A:$A,0)))/100</f>
        <v>2.6</v>
      </c>
      <c r="AL491" s="43"/>
      <c r="AM491" s="28"/>
      <c r="AN491" s="28"/>
    </row>
    <row r="492" spans="1:40" x14ac:dyDescent="0.35">
      <c r="A492">
        <f t="shared" si="140"/>
        <v>490</v>
      </c>
      <c r="B492">
        <f>IF(G492="Bonds",COUNTIF($G$3:G492,"Bonds"),0)</f>
        <v>0</v>
      </c>
      <c r="C492" t="str">
        <f t="shared" si="136"/>
        <v>Simpar4378945250</v>
      </c>
      <c r="D492">
        <f t="shared" si="137"/>
        <v>34</v>
      </c>
      <c r="E492" s="43" t="s">
        <v>565</v>
      </c>
      <c r="F492" s="43" t="s">
        <v>566</v>
      </c>
      <c r="G492" s="43" t="s">
        <v>25</v>
      </c>
      <c r="H492">
        <f t="shared" si="143"/>
        <v>0</v>
      </c>
      <c r="I492" s="43" t="s">
        <v>582</v>
      </c>
      <c r="J492" s="34">
        <f t="shared" si="138"/>
        <v>16</v>
      </c>
      <c r="K492" s="28">
        <v>43789</v>
      </c>
      <c r="L492" s="28">
        <v>45250</v>
      </c>
      <c r="M492" s="60">
        <f t="shared" si="144"/>
        <v>4.0027397260273974</v>
      </c>
      <c r="N492" s="4">
        <f t="shared" si="145"/>
        <v>0</v>
      </c>
      <c r="O492" s="43" t="s">
        <v>44</v>
      </c>
      <c r="P492" t="str">
        <f t="shared" si="148"/>
        <v>0</v>
      </c>
      <c r="Q492" s="44">
        <v>200000</v>
      </c>
      <c r="R492" s="43">
        <v>1000</v>
      </c>
      <c r="S492" s="34" t="str">
        <f>IF($V492="USD",INDEX('Dólar Spot'!$B:$B,MATCH(Base!$K492,'Dólar Spot'!$A:$A,0)),"")</f>
        <v/>
      </c>
      <c r="T492" s="4">
        <f t="shared" si="142"/>
        <v>200000000</v>
      </c>
      <c r="U492" s="8">
        <f t="shared" si="149"/>
        <v>2</v>
      </c>
      <c r="V492" s="43" t="s">
        <v>41</v>
      </c>
      <c r="W492" s="45">
        <v>115.2</v>
      </c>
      <c r="X492" s="46"/>
      <c r="Y492" s="9">
        <f>IF(AND(V492="DI",$W492=100),$X492/100,
IF(AND(V492="DI",$W492&lt;&gt;100,$X492=""),INDEX('Debs %CDI'!$Q:$Q,MATCH(Base!$C492,'Debs %CDI'!$A:$A,0)),
IF($V492="USD",INDEX(Bonds!$AF:$AF,MATCH(Base!$C492,Bonds!$B:$B,0)),
IF($V492="IPCA",INDEX('Debs IPCA'!$Z:$Z,MATCH(Base!$C492,'Debs IPCA'!$A:$A,0))))))</f>
        <v>9.4818592281103488E-3</v>
      </c>
      <c r="Z492" s="43">
        <v>252</v>
      </c>
      <c r="AA492" s="43" t="s">
        <v>30</v>
      </c>
      <c r="AB492" s="43" t="s">
        <v>32</v>
      </c>
      <c r="AC492">
        <f t="shared" si="146"/>
        <v>0</v>
      </c>
      <c r="AD492" s="43" t="s">
        <v>31</v>
      </c>
      <c r="AE492">
        <f t="shared" si="147"/>
        <v>1</v>
      </c>
      <c r="AF492" s="34" t="str" cm="1">
        <f t="array" ref="AF492">INDEX(Ratings!$B$2:$M$40,_xlfn.XMATCH(Base!F492,Ratings!$A$2:$A$40),_xlfn.XMATCH(YEAR(Base!K492),Ratings!$B$1:$M$1))</f>
        <v>BB</v>
      </c>
      <c r="AG492">
        <f t="shared" si="139"/>
        <v>0</v>
      </c>
      <c r="AH492">
        <f>IFERROR(IFERROR(IFERROR(INDEX('EMBI+'!$B:$B,MATCH(Base!$K492,'EMBI+'!$A:$A,0)),INDEX('EMBI+'!$B:$B,MATCH(Base!$K492+1,'EMBI+'!$A:$A,0))),INDEX('EMBI+'!$B:$B,MATCH(Base!$K492+2,'EMBI+'!$A:$A,0))),INDEX('EMBI+'!$B:$B,MATCH(Base!$K492+3,'EMBI+'!$A:$A,0)))/100</f>
        <v>2.4900000000000002</v>
      </c>
      <c r="AL492" s="43"/>
      <c r="AM492" s="28"/>
      <c r="AN492" s="28"/>
    </row>
    <row r="493" spans="1:40" x14ac:dyDescent="0.35">
      <c r="A493">
        <f t="shared" si="140"/>
        <v>491</v>
      </c>
      <c r="B493">
        <f>IF(G493="Bonds",COUNTIF($G$3:G493,"Bonds"),0)</f>
        <v>0</v>
      </c>
      <c r="C493" t="str">
        <f t="shared" si="136"/>
        <v>Simpar4445447863</v>
      </c>
      <c r="D493">
        <f t="shared" si="137"/>
        <v>34</v>
      </c>
      <c r="E493" s="43" t="s">
        <v>565</v>
      </c>
      <c r="F493" s="43" t="s">
        <v>566</v>
      </c>
      <c r="G493" s="43" t="s">
        <v>25</v>
      </c>
      <c r="H493">
        <f t="shared" si="143"/>
        <v>0</v>
      </c>
      <c r="I493" s="43" t="s">
        <v>583</v>
      </c>
      <c r="J493" s="34">
        <f t="shared" si="138"/>
        <v>17</v>
      </c>
      <c r="K493" s="28">
        <v>44454</v>
      </c>
      <c r="L493" s="28">
        <v>47863</v>
      </c>
      <c r="M493" s="60">
        <f t="shared" si="144"/>
        <v>9.3397260273972602</v>
      </c>
      <c r="N493" s="4">
        <f t="shared" si="145"/>
        <v>1</v>
      </c>
      <c r="O493" s="43" t="s">
        <v>44</v>
      </c>
      <c r="P493" t="str">
        <f t="shared" si="148"/>
        <v>0</v>
      </c>
      <c r="Q493" s="44">
        <v>1245000</v>
      </c>
      <c r="R493" s="43">
        <v>1000</v>
      </c>
      <c r="S493" s="34" t="str">
        <f>IF($V493="USD",INDEX('Dólar Spot'!$B:$B,MATCH(Base!$K493,'Dólar Spot'!$A:$A,0)),"")</f>
        <v/>
      </c>
      <c r="T493" s="4">
        <f t="shared" si="142"/>
        <v>1245000000</v>
      </c>
      <c r="U493" s="8">
        <f t="shared" si="149"/>
        <v>12.45</v>
      </c>
      <c r="V493" s="43" t="s">
        <v>41</v>
      </c>
      <c r="W493" s="45">
        <v>100</v>
      </c>
      <c r="X493" s="46">
        <v>3.5</v>
      </c>
      <c r="Y493" s="9">
        <f>IF(AND(V493="DI",$W493=100),$X493/100,
IF(AND(V493="DI",$W493&lt;&gt;100,$X493=""),INDEX('Debs %CDI'!$Q:$Q,MATCH(Base!$C493,'Debs %CDI'!$A:$A,0)),
IF($V493="USD",INDEX(Bonds!$AF:$AF,MATCH(Base!$C493,Bonds!$B:$B,0)),
IF($V493="IPCA",INDEX('Debs IPCA'!$Z:$Z,MATCH(Base!$C493,'Debs IPCA'!$A:$A,0))))))</f>
        <v>3.5000000000000003E-2</v>
      </c>
      <c r="Z493" s="43">
        <v>252</v>
      </c>
      <c r="AA493" s="43" t="s">
        <v>30</v>
      </c>
      <c r="AB493" s="43" t="s">
        <v>32</v>
      </c>
      <c r="AC493">
        <f t="shared" si="146"/>
        <v>0</v>
      </c>
      <c r="AD493" s="43" t="s">
        <v>31</v>
      </c>
      <c r="AE493">
        <f t="shared" si="147"/>
        <v>1</v>
      </c>
      <c r="AF493" s="34" t="str" cm="1">
        <f t="array" ref="AF493">INDEX(Ratings!$B$2:$M$40,_xlfn.XMATCH(Base!F493,Ratings!$A$2:$A$40),_xlfn.XMATCH(YEAR(Base!K493),Ratings!$B$1:$M$1))</f>
        <v>BB-</v>
      </c>
      <c r="AG493">
        <f t="shared" si="139"/>
        <v>0</v>
      </c>
      <c r="AH493">
        <f>IFERROR(IFERROR(IFERROR(INDEX('EMBI+'!$B:$B,MATCH(Base!$K493,'EMBI+'!$A:$A,0)),INDEX('EMBI+'!$B:$B,MATCH(Base!$K493+1,'EMBI+'!$A:$A,0))),INDEX('EMBI+'!$B:$B,MATCH(Base!$K493+2,'EMBI+'!$A:$A,0))),INDEX('EMBI+'!$B:$B,MATCH(Base!$K493+3,'EMBI+'!$A:$A,0)))/100</f>
        <v>3.14</v>
      </c>
      <c r="AL493" s="43"/>
      <c r="AM493" s="28"/>
      <c r="AN493" s="28"/>
    </row>
    <row r="494" spans="1:40" x14ac:dyDescent="0.35">
      <c r="A494">
        <f t="shared" si="140"/>
        <v>492</v>
      </c>
      <c r="B494">
        <f>IF(G494="Bonds",COUNTIF($G$3:G494,"Bonds"),0)</f>
        <v>0</v>
      </c>
      <c r="C494" t="str">
        <f t="shared" si="136"/>
        <v>Simpar4360546162</v>
      </c>
      <c r="D494">
        <f t="shared" si="137"/>
        <v>34</v>
      </c>
      <c r="E494" s="43" t="s">
        <v>565</v>
      </c>
      <c r="F494" s="43" t="s">
        <v>566</v>
      </c>
      <c r="G494" s="43" t="s">
        <v>25</v>
      </c>
      <c r="H494">
        <f t="shared" si="143"/>
        <v>0</v>
      </c>
      <c r="I494" s="43" t="s">
        <v>584</v>
      </c>
      <c r="J494" s="34">
        <f t="shared" si="138"/>
        <v>18</v>
      </c>
      <c r="K494" s="28">
        <v>43605</v>
      </c>
      <c r="L494" s="28">
        <v>46162</v>
      </c>
      <c r="M494" s="60">
        <f t="shared" si="144"/>
        <v>7.0054794520547947</v>
      </c>
      <c r="N494" s="4">
        <f t="shared" si="145"/>
        <v>1</v>
      </c>
      <c r="O494" s="43" t="s">
        <v>44</v>
      </c>
      <c r="P494" t="str">
        <f t="shared" si="148"/>
        <v>0</v>
      </c>
      <c r="Q494" s="44">
        <v>105060</v>
      </c>
      <c r="R494" s="43">
        <v>1000</v>
      </c>
      <c r="S494" s="34" t="str">
        <f>IF($V494="USD",INDEX('Dólar Spot'!$B:$B,MATCH(Base!$K494,'Dólar Spot'!$A:$A,0)),"")</f>
        <v/>
      </c>
      <c r="T494" s="4">
        <f t="shared" si="142"/>
        <v>105060000</v>
      </c>
      <c r="U494" s="8">
        <f t="shared" si="149"/>
        <v>1.0506</v>
      </c>
      <c r="V494" s="43" t="s">
        <v>41</v>
      </c>
      <c r="W494" s="45">
        <v>100</v>
      </c>
      <c r="X494" s="46">
        <v>2.2000000000000002</v>
      </c>
      <c r="Y494" s="9">
        <f>IF(AND(V494="DI",$W494=100),$X494/100,
IF(AND(V494="DI",$W494&lt;&gt;100,$X494=""),INDEX('Debs %CDI'!$Q:$Q,MATCH(Base!$C494,'Debs %CDI'!$A:$A,0)),
IF($V494="USD",INDEX(Bonds!$AF:$AF,MATCH(Base!$C494,Bonds!$B:$B,0)),
IF($V494="IPCA",INDEX('Debs IPCA'!$Z:$Z,MATCH(Base!$C494,'Debs IPCA'!$A:$A,0))))))</f>
        <v>2.2000000000000002E-2</v>
      </c>
      <c r="Z494" s="43">
        <v>252</v>
      </c>
      <c r="AA494" s="43" t="s">
        <v>30</v>
      </c>
      <c r="AB494" s="43" t="s">
        <v>32</v>
      </c>
      <c r="AC494">
        <f t="shared" si="146"/>
        <v>0</v>
      </c>
      <c r="AD494" s="43" t="s">
        <v>31</v>
      </c>
      <c r="AE494">
        <f t="shared" si="147"/>
        <v>1</v>
      </c>
      <c r="AF494" s="34" t="str" cm="1">
        <f t="array" ref="AF494">INDEX(Ratings!$B$2:$M$40,_xlfn.XMATCH(Base!F494,Ratings!$A$2:$A$40),_xlfn.XMATCH(YEAR(Base!K494),Ratings!$B$1:$M$1))</f>
        <v>BB</v>
      </c>
      <c r="AG494">
        <f t="shared" si="139"/>
        <v>0</v>
      </c>
      <c r="AH494">
        <f>IFERROR(IFERROR(IFERROR(INDEX('EMBI+'!$B:$B,MATCH(Base!$K494,'EMBI+'!$A:$A,0)),INDEX('EMBI+'!$B:$B,MATCH(Base!$K494+1,'EMBI+'!$A:$A,0))),INDEX('EMBI+'!$B:$B,MATCH(Base!$K494+2,'EMBI+'!$A:$A,0))),INDEX('EMBI+'!$B:$B,MATCH(Base!$K494+3,'EMBI+'!$A:$A,0)))/100</f>
        <v>2.6</v>
      </c>
      <c r="AL494" s="43"/>
      <c r="AM494" s="28"/>
      <c r="AN494" s="28"/>
    </row>
    <row r="495" spans="1:40" x14ac:dyDescent="0.35">
      <c r="A495">
        <f t="shared" si="140"/>
        <v>493</v>
      </c>
      <c r="B495">
        <f>IF(G495="Bonds",COUNTIF($G$3:G495,"Bonds"),0)</f>
        <v>0</v>
      </c>
      <c r="C495" t="str">
        <f t="shared" si="136"/>
        <v>Simpar4445448106</v>
      </c>
      <c r="D495">
        <f t="shared" si="137"/>
        <v>34</v>
      </c>
      <c r="E495" s="43" t="s">
        <v>565</v>
      </c>
      <c r="F495" s="43" t="s">
        <v>566</v>
      </c>
      <c r="G495" s="43" t="s">
        <v>25</v>
      </c>
      <c r="H495">
        <f t="shared" si="143"/>
        <v>0</v>
      </c>
      <c r="I495" s="43" t="s">
        <v>585</v>
      </c>
      <c r="J495" s="34">
        <f t="shared" si="138"/>
        <v>19</v>
      </c>
      <c r="K495" s="28">
        <v>44454</v>
      </c>
      <c r="L495" s="28">
        <v>48106</v>
      </c>
      <c r="M495" s="60">
        <f t="shared" si="144"/>
        <v>10.005479452054795</v>
      </c>
      <c r="N495" s="4">
        <f t="shared" si="145"/>
        <v>1</v>
      </c>
      <c r="O495" s="43" t="s">
        <v>44</v>
      </c>
      <c r="P495" t="str">
        <f t="shared" si="148"/>
        <v>0</v>
      </c>
      <c r="Q495" s="44">
        <v>255000</v>
      </c>
      <c r="R495" s="43">
        <v>1000</v>
      </c>
      <c r="S495" s="34" t="str">
        <f>IF($V495="USD",INDEX('Dólar Spot'!$B:$B,MATCH(Base!$K495,'Dólar Spot'!$A:$A,0)),"")</f>
        <v/>
      </c>
      <c r="T495" s="4">
        <f t="shared" si="142"/>
        <v>255000000</v>
      </c>
      <c r="U495" s="8">
        <f t="shared" si="149"/>
        <v>2.5499999999999998</v>
      </c>
      <c r="V495" s="43" t="s">
        <v>28</v>
      </c>
      <c r="W495" s="45" t="s">
        <v>29</v>
      </c>
      <c r="X495" s="46">
        <v>7.9676999999999998</v>
      </c>
      <c r="Y495" s="9">
        <f>IF(AND(V495="DI",$W495=100),$X495/100,
IF(AND(V495="DI",$W495&lt;&gt;100,$X495=""),INDEX('Debs %CDI'!$Q:$Q,MATCH(Base!$C495,'Debs %CDI'!$A:$A,0)),
IF($V495="USD",INDEX(Bonds!$AF:$AF,MATCH(Base!$C495,Bonds!$B:$B,0)),
IF($V495="IPCA",INDEX('Debs IPCA'!$Z:$Z,MATCH(Base!$C495,'Debs IPCA'!$A:$A,0))))))</f>
        <v>3.4315254502407466E-2</v>
      </c>
      <c r="Z495" s="43">
        <v>252</v>
      </c>
      <c r="AA495" s="43" t="s">
        <v>30</v>
      </c>
      <c r="AB495" s="43" t="s">
        <v>32</v>
      </c>
      <c r="AC495">
        <f t="shared" si="146"/>
        <v>0</v>
      </c>
      <c r="AD495" s="43" t="s">
        <v>31</v>
      </c>
      <c r="AE495">
        <f t="shared" si="147"/>
        <v>1</v>
      </c>
      <c r="AF495" s="34" t="str" cm="1">
        <f t="array" ref="AF495">INDEX(Ratings!$B$2:$M$40,_xlfn.XMATCH(Base!F495,Ratings!$A$2:$A$40),_xlfn.XMATCH(YEAR(Base!K495),Ratings!$B$1:$M$1))</f>
        <v>BB-</v>
      </c>
      <c r="AG495">
        <f t="shared" si="139"/>
        <v>0</v>
      </c>
      <c r="AH495">
        <f>IFERROR(IFERROR(IFERROR(INDEX('EMBI+'!$B:$B,MATCH(Base!$K495,'EMBI+'!$A:$A,0)),INDEX('EMBI+'!$B:$B,MATCH(Base!$K495+1,'EMBI+'!$A:$A,0))),INDEX('EMBI+'!$B:$B,MATCH(Base!$K495+2,'EMBI+'!$A:$A,0))),INDEX('EMBI+'!$B:$B,MATCH(Base!$K495+3,'EMBI+'!$A:$A,0)))/100</f>
        <v>3.14</v>
      </c>
      <c r="AL495" s="43"/>
      <c r="AM495" s="28"/>
      <c r="AN495" s="28"/>
    </row>
    <row r="496" spans="1:40" x14ac:dyDescent="0.35">
      <c r="A496">
        <f t="shared" si="140"/>
        <v>494</v>
      </c>
      <c r="B496">
        <f>IF(G496="Bonds",COUNTIF($G$3:G496,"Bonds"),0)</f>
        <v>136</v>
      </c>
      <c r="C496" t="str">
        <f t="shared" si="136"/>
        <v>Simpar4421626/01/2031</v>
      </c>
      <c r="D496">
        <f t="shared" si="137"/>
        <v>34</v>
      </c>
      <c r="E496" s="43" t="s">
        <v>588</v>
      </c>
      <c r="F496" s="43" t="s">
        <v>566</v>
      </c>
      <c r="G496" s="43" t="s">
        <v>34</v>
      </c>
      <c r="H496">
        <f t="shared" si="143"/>
        <v>1</v>
      </c>
      <c r="I496" s="43"/>
      <c r="J496" s="34">
        <f t="shared" si="138"/>
        <v>20</v>
      </c>
      <c r="K496" s="28">
        <v>44216</v>
      </c>
      <c r="L496" s="28" t="s">
        <v>589</v>
      </c>
      <c r="M496" s="60">
        <f t="shared" si="144"/>
        <v>10.021917808219179</v>
      </c>
      <c r="N496" s="4">
        <f t="shared" si="145"/>
        <v>1</v>
      </c>
      <c r="O496" s="43" t="s">
        <v>36</v>
      </c>
      <c r="P496" t="str">
        <f t="shared" si="148"/>
        <v>0</v>
      </c>
      <c r="Q496" s="43"/>
      <c r="R496" s="43"/>
      <c r="S496" s="34">
        <f>IF($V496="USD",INDEX('Dólar Spot'!$B:$B,MATCH(Base!$K496,'Dólar Spot'!$A:$A,0)),"")</f>
        <v>5.3026999999999997</v>
      </c>
      <c r="T496" s="44">
        <v>625000000</v>
      </c>
      <c r="U496" s="8">
        <f t="shared" si="149"/>
        <v>33.141874999999999</v>
      </c>
      <c r="V496" s="43" t="s">
        <v>651</v>
      </c>
      <c r="W496" s="45" t="s">
        <v>29</v>
      </c>
      <c r="X496" s="53">
        <v>5.2</v>
      </c>
      <c r="Y496" s="9">
        <f>IF(AND(V496="DI",$W496=100),$X496/100,
IF(AND(V496="DI",$W496&lt;&gt;100,$X496=""),INDEX('Debs %CDI'!$Q:$Q,MATCH(Base!$C496,'Debs %CDI'!$A:$A,0)),
IF($V496="USD",INDEX(Bonds!$AF:$AF,MATCH(Base!$C496,Bonds!$B:$B,0)),
IF($V496="IPCA",INDEX('Debs IPCA'!$Z:$Z,MATCH(Base!$C496,'Debs IPCA'!$A:$A,0))))))</f>
        <v>3.6943968404894223E-2</v>
      </c>
      <c r="Z496" s="43">
        <v>360</v>
      </c>
      <c r="AA496" s="43" t="s">
        <v>37</v>
      </c>
      <c r="AB496" s="43" t="s">
        <v>32</v>
      </c>
      <c r="AC496">
        <f t="shared" si="146"/>
        <v>0</v>
      </c>
      <c r="AD496" s="43" t="s">
        <v>31</v>
      </c>
      <c r="AE496">
        <f t="shared" si="147"/>
        <v>1</v>
      </c>
      <c r="AF496" s="34" t="str" cm="1">
        <f t="array" ref="AF496">INDEX(Ratings!$B$2:$M$40,_xlfn.XMATCH(Base!F496,Ratings!$A$2:$A$40),_xlfn.XMATCH(YEAR(Base!K496),Ratings!$B$1:$M$1))</f>
        <v>BB-</v>
      </c>
      <c r="AG496">
        <f t="shared" si="139"/>
        <v>0</v>
      </c>
      <c r="AH496">
        <f>IFERROR(IFERROR(IFERROR(INDEX('EMBI+'!$B:$B,MATCH(Base!$K496,'EMBI+'!$A:$A,0)),INDEX('EMBI+'!$B:$B,MATCH(Base!$K496+1,'EMBI+'!$A:$A,0))),INDEX('EMBI+'!$B:$B,MATCH(Base!$K496+2,'EMBI+'!$A:$A,0))),INDEX('EMBI+'!$B:$B,MATCH(Base!$K496+3,'EMBI+'!$A:$A,0)))/100</f>
        <v>2.83</v>
      </c>
      <c r="AL496" s="43"/>
      <c r="AM496" s="28"/>
      <c r="AN496" s="28"/>
    </row>
    <row r="497" spans="1:40" x14ac:dyDescent="0.35">
      <c r="A497">
        <f t="shared" si="140"/>
        <v>495</v>
      </c>
      <c r="B497">
        <f>IF(G497="Bonds",COUNTIF($G$3:G497,"Bonds"),0)</f>
        <v>137</v>
      </c>
      <c r="C497" t="str">
        <f t="shared" si="136"/>
        <v>Simpar4294226/07/2024</v>
      </c>
      <c r="D497">
        <f t="shared" si="137"/>
        <v>34</v>
      </c>
      <c r="E497" s="43" t="s">
        <v>588</v>
      </c>
      <c r="F497" s="43" t="s">
        <v>566</v>
      </c>
      <c r="G497" s="43" t="s">
        <v>34</v>
      </c>
      <c r="H497">
        <f t="shared" si="143"/>
        <v>1</v>
      </c>
      <c r="I497" s="43"/>
      <c r="J497" s="34">
        <f t="shared" si="138"/>
        <v>21</v>
      </c>
      <c r="K497" s="28">
        <v>42942</v>
      </c>
      <c r="L497" s="28" t="s">
        <v>590</v>
      </c>
      <c r="M497" s="60">
        <f t="shared" si="144"/>
        <v>7.0054794520547947</v>
      </c>
      <c r="N497" s="4">
        <f t="shared" si="145"/>
        <v>1</v>
      </c>
      <c r="O497" s="43" t="s">
        <v>36</v>
      </c>
      <c r="P497" t="str">
        <f t="shared" si="148"/>
        <v>0</v>
      </c>
      <c r="Q497" s="43"/>
      <c r="R497" s="43"/>
      <c r="S497" s="34">
        <f>IF($V497="USD",INDEX('Dólar Spot'!$B:$B,MATCH(Base!$K497,'Dólar Spot'!$A:$A,0)),"")</f>
        <v>3.1650999999999998</v>
      </c>
      <c r="T497" s="44">
        <v>325000000</v>
      </c>
      <c r="U497" s="8">
        <f t="shared" si="149"/>
        <v>10.286574999999999</v>
      </c>
      <c r="V497" s="43" t="s">
        <v>651</v>
      </c>
      <c r="W497" s="45" t="s">
        <v>29</v>
      </c>
      <c r="X497" s="53">
        <v>7.75</v>
      </c>
      <c r="Y497" s="9">
        <f>IF(AND(V497="DI",$W497=100),$X497/100,
IF(AND(V497="DI",$W497&lt;&gt;100,$X497=""),INDEX('Debs %CDI'!$Q:$Q,MATCH(Base!$C497,'Debs %CDI'!$A:$A,0)),
IF($V497="USD",INDEX(Bonds!$AF:$AF,MATCH(Base!$C497,Bonds!$B:$B,0)),
IF($V497="IPCA",INDEX('Debs IPCA'!$Z:$Z,MATCH(Base!$C497,'Debs IPCA'!$A:$A,0))))))</f>
        <v>3.5294796357836722E-2</v>
      </c>
      <c r="Z497" s="43">
        <v>360</v>
      </c>
      <c r="AA497" s="43" t="s">
        <v>37</v>
      </c>
      <c r="AB497" s="43" t="s">
        <v>32</v>
      </c>
      <c r="AC497">
        <f t="shared" si="146"/>
        <v>0</v>
      </c>
      <c r="AD497" s="43" t="s">
        <v>31</v>
      </c>
      <c r="AE497">
        <f t="shared" si="147"/>
        <v>1</v>
      </c>
      <c r="AF497" s="34" t="str" cm="1">
        <f t="array" ref="AF497">INDEX(Ratings!$B$2:$M$40,_xlfn.XMATCH(Base!F497,Ratings!$A$2:$A$40),_xlfn.XMATCH(YEAR(Base!K497),Ratings!$B$1:$M$1))</f>
        <v>BB</v>
      </c>
      <c r="AG497">
        <f t="shared" si="139"/>
        <v>0</v>
      </c>
      <c r="AH497">
        <f>IFERROR(IFERROR(IFERROR(INDEX('EMBI+'!$B:$B,MATCH(Base!$K497,'EMBI+'!$A:$A,0)),INDEX('EMBI+'!$B:$B,MATCH(Base!$K497+1,'EMBI+'!$A:$A,0))),INDEX('EMBI+'!$B:$B,MATCH(Base!$K497+2,'EMBI+'!$A:$A,0))),INDEX('EMBI+'!$B:$B,MATCH(Base!$K497+3,'EMBI+'!$A:$A,0)))/100</f>
        <v>2.69</v>
      </c>
      <c r="AL497" s="43"/>
      <c r="AM497" s="28"/>
      <c r="AN497" s="28"/>
    </row>
    <row r="498" spans="1:40" x14ac:dyDescent="0.35">
      <c r="A498">
        <f t="shared" si="140"/>
        <v>496</v>
      </c>
      <c r="B498">
        <f>IF(G498="Bonds",COUNTIF($G$3:G498,"Bonds"),0)</f>
        <v>138</v>
      </c>
      <c r="C498" t="str">
        <f t="shared" si="136"/>
        <v>Simpar4311626/07/2024</v>
      </c>
      <c r="D498">
        <f t="shared" si="137"/>
        <v>34</v>
      </c>
      <c r="E498" s="43" t="s">
        <v>588</v>
      </c>
      <c r="F498" s="43" t="s">
        <v>566</v>
      </c>
      <c r="G498" s="43" t="s">
        <v>34</v>
      </c>
      <c r="H498">
        <f t="shared" si="143"/>
        <v>1</v>
      </c>
      <c r="I498" s="43"/>
      <c r="J498" s="34">
        <f t="shared" si="138"/>
        <v>22</v>
      </c>
      <c r="K498" s="28">
        <v>43116</v>
      </c>
      <c r="L498" s="28" t="s">
        <v>590</v>
      </c>
      <c r="M498" s="60">
        <f t="shared" si="144"/>
        <v>6.5287671232876709</v>
      </c>
      <c r="N498" s="4">
        <f t="shared" si="145"/>
        <v>1</v>
      </c>
      <c r="O498" s="43" t="s">
        <v>36</v>
      </c>
      <c r="P498" t="str">
        <f t="shared" si="148"/>
        <v>0</v>
      </c>
      <c r="Q498" s="43"/>
      <c r="R498" s="43"/>
      <c r="S498" s="34">
        <f>IF($V498="USD",INDEX('Dólar Spot'!$B:$B,MATCH(Base!$K498,'Dólar Spot'!$A:$A,0)),"")</f>
        <v>3.2212999999999998</v>
      </c>
      <c r="T498" s="44">
        <v>325000000</v>
      </c>
      <c r="U498" s="8">
        <f t="shared" si="149"/>
        <v>10.469225</v>
      </c>
      <c r="V498" s="43" t="s">
        <v>651</v>
      </c>
      <c r="W498" s="45" t="s">
        <v>29</v>
      </c>
      <c r="X498" s="53">
        <v>7.75</v>
      </c>
      <c r="Y498" s="9">
        <f>IF(AND(V498="DI",$W498=100),$X498/100,
IF(AND(V498="DI",$W498&lt;&gt;100,$X498=""),INDEX('Debs %CDI'!$Q:$Q,MATCH(Base!$C498,'Debs %CDI'!$A:$A,0)),
IF($V498="USD",INDEX(Bonds!$AF:$AF,MATCH(Base!$C498,Bonds!$B:$B,0)),
IF($V498="IPCA",INDEX('Debs IPCA'!$Z:$Z,MATCH(Base!$C498,'Debs IPCA'!$A:$A,0))))))</f>
        <v>4.2921095395236586E-2</v>
      </c>
      <c r="Z498" s="43">
        <v>360</v>
      </c>
      <c r="AA498" s="43" t="s">
        <v>37</v>
      </c>
      <c r="AB498" s="43" t="s">
        <v>32</v>
      </c>
      <c r="AC498">
        <f t="shared" si="146"/>
        <v>0</v>
      </c>
      <c r="AD498" s="43" t="s">
        <v>31</v>
      </c>
      <c r="AE498">
        <f t="shared" si="147"/>
        <v>1</v>
      </c>
      <c r="AF498" s="34" t="str" cm="1">
        <f t="array" ref="AF498">INDEX(Ratings!$B$2:$M$40,_xlfn.XMATCH(Base!F498,Ratings!$A$2:$A$40),_xlfn.XMATCH(YEAR(Base!K498),Ratings!$B$1:$M$1))</f>
        <v>BB</v>
      </c>
      <c r="AG498">
        <f t="shared" si="139"/>
        <v>0</v>
      </c>
      <c r="AH498">
        <f>IFERROR(IFERROR(IFERROR(INDEX('EMBI+'!$B:$B,MATCH(Base!$K498,'EMBI+'!$A:$A,0)),INDEX('EMBI+'!$B:$B,MATCH(Base!$K498+1,'EMBI+'!$A:$A,0))),INDEX('EMBI+'!$B:$B,MATCH(Base!$K498+2,'EMBI+'!$A:$A,0))),INDEX('EMBI+'!$B:$B,MATCH(Base!$K498+3,'EMBI+'!$A:$A,0)))/100</f>
        <v>2.2599999999999998</v>
      </c>
      <c r="AL498" s="43"/>
      <c r="AM498" s="28"/>
      <c r="AN498" s="28"/>
    </row>
    <row r="499" spans="1:40" x14ac:dyDescent="0.35">
      <c r="A499">
        <f t="shared" si="140"/>
        <v>497</v>
      </c>
      <c r="B499">
        <f>IF(G499="Bonds",COUNTIF($G$3:G499,"Bonds"),0)</f>
        <v>0</v>
      </c>
      <c r="C499" t="str">
        <f t="shared" si="136"/>
        <v>Suzano4328046202</v>
      </c>
      <c r="D499">
        <f t="shared" si="137"/>
        <v>35</v>
      </c>
      <c r="E499" s="43" t="s">
        <v>591</v>
      </c>
      <c r="F499" s="43" t="s">
        <v>592</v>
      </c>
      <c r="G499" s="43" t="s">
        <v>25</v>
      </c>
      <c r="H499">
        <f t="shared" si="143"/>
        <v>0</v>
      </c>
      <c r="I499" s="43" t="s">
        <v>593</v>
      </c>
      <c r="J499" s="34">
        <f t="shared" si="138"/>
        <v>1</v>
      </c>
      <c r="K499" s="28">
        <v>43280</v>
      </c>
      <c r="L499" s="28">
        <v>46202</v>
      </c>
      <c r="M499" s="60">
        <f t="shared" si="144"/>
        <v>8.0054794520547947</v>
      </c>
      <c r="N499" s="4">
        <f t="shared" si="145"/>
        <v>1</v>
      </c>
      <c r="O499" s="43" t="s">
        <v>44</v>
      </c>
      <c r="P499" t="str">
        <f t="shared" si="148"/>
        <v>0</v>
      </c>
      <c r="Q499" s="44">
        <v>4681100</v>
      </c>
      <c r="R499" s="43">
        <v>1000</v>
      </c>
      <c r="S499" s="34" t="str">
        <f>IF($V499="USD",INDEX('Dólar Spot'!$B:$B,MATCH(Base!$K499,'Dólar Spot'!$A:$A,0)),"")</f>
        <v/>
      </c>
      <c r="T499" s="4">
        <f>Q499*R499</f>
        <v>4681100000</v>
      </c>
      <c r="U499" s="8">
        <f t="shared" si="149"/>
        <v>46.811</v>
      </c>
      <c r="V499" s="43" t="s">
        <v>41</v>
      </c>
      <c r="W499" s="45">
        <v>112.5</v>
      </c>
      <c r="X499" s="46"/>
      <c r="Y499" s="9">
        <f>IF(AND(V499="DI",$W499=100),$X499/100,
IF(AND(V499="DI",$W499&lt;&gt;100,$X499=""),INDEX('Debs %CDI'!$Q:$Q,MATCH(Base!$C499,'Debs %CDI'!$A:$A,0)),
IF($V499="USD",INDEX(Bonds!$AF:$AF,MATCH(Base!$C499,Bonds!$B:$B,0)),
IF($V499="IPCA",INDEX('Debs IPCA'!$Z:$Z,MATCH(Base!$C499,'Debs IPCA'!$A:$A,0))))))</f>
        <v>1.4775311220029147E-2</v>
      </c>
      <c r="Z499" s="43">
        <v>252</v>
      </c>
      <c r="AA499" s="43" t="s">
        <v>30</v>
      </c>
      <c r="AB499" s="43" t="s">
        <v>32</v>
      </c>
      <c r="AC499">
        <f t="shared" si="146"/>
        <v>0</v>
      </c>
      <c r="AD499" s="43" t="s">
        <v>31</v>
      </c>
      <c r="AE499">
        <f t="shared" si="147"/>
        <v>1</v>
      </c>
      <c r="AF499" s="34" t="str" cm="1">
        <f t="array" ref="AF499">INDEX(Ratings!$B$2:$M$40,_xlfn.XMATCH(Base!F499,Ratings!$A$2:$A$40),_xlfn.XMATCH(YEAR(Base!K499),Ratings!$B$1:$M$1))</f>
        <v>BBB-</v>
      </c>
      <c r="AG499">
        <f t="shared" si="139"/>
        <v>1</v>
      </c>
      <c r="AH499">
        <f>IFERROR(IFERROR(IFERROR(INDEX('EMBI+'!$B:$B,MATCH(Base!$K499,'EMBI+'!$A:$A,0)),INDEX('EMBI+'!$B:$B,MATCH(Base!$K499+1,'EMBI+'!$A:$A,0))),INDEX('EMBI+'!$B:$B,MATCH(Base!$K499+2,'EMBI+'!$A:$A,0))),INDEX('EMBI+'!$B:$B,MATCH(Base!$K499+3,'EMBI+'!$A:$A,0)))/100</f>
        <v>3.32</v>
      </c>
      <c r="AL499" s="43"/>
      <c r="AM499" s="28"/>
      <c r="AN499" s="28"/>
    </row>
    <row r="500" spans="1:40" x14ac:dyDescent="0.35">
      <c r="A500">
        <f t="shared" si="140"/>
        <v>498</v>
      </c>
      <c r="B500">
        <f>IF(G500="Bonds",COUNTIF($G$3:G500,"Bonds"),0)</f>
        <v>0</v>
      </c>
      <c r="C500" t="str">
        <f t="shared" ref="C500:C557" si="150">F500&amp;K500&amp;L500</f>
        <v>Suzano4347243832</v>
      </c>
      <c r="D500">
        <f t="shared" ref="D500:D557" si="151">IF(F500&lt;&gt;F499,D499+1,D499)</f>
        <v>35</v>
      </c>
      <c r="E500" s="43" t="s">
        <v>591</v>
      </c>
      <c r="F500" s="43" t="s">
        <v>592</v>
      </c>
      <c r="G500" s="43" t="s">
        <v>25</v>
      </c>
      <c r="H500">
        <f t="shared" si="143"/>
        <v>0</v>
      </c>
      <c r="I500" s="43" t="s">
        <v>594</v>
      </c>
      <c r="J500" s="34">
        <f t="shared" ref="J500:J557" si="152">IF(F500=F499,J499+1,1)</f>
        <v>2</v>
      </c>
      <c r="K500" s="28">
        <v>43472</v>
      </c>
      <c r="L500" s="28">
        <v>43832</v>
      </c>
      <c r="M500" s="60">
        <f t="shared" si="144"/>
        <v>0.98630136986301364</v>
      </c>
      <c r="N500" s="4">
        <f t="shared" si="145"/>
        <v>0</v>
      </c>
      <c r="O500" s="43" t="s">
        <v>44</v>
      </c>
      <c r="P500" t="str">
        <f t="shared" si="148"/>
        <v>0</v>
      </c>
      <c r="Q500" s="44">
        <v>400000</v>
      </c>
      <c r="R500" s="43">
        <v>10000</v>
      </c>
      <c r="S500" s="34" t="str">
        <f>IF($V500="USD",INDEX('Dólar Spot'!$B:$B,MATCH(Base!$K500,'Dólar Spot'!$A:$A,0)),"")</f>
        <v/>
      </c>
      <c r="T500" s="4">
        <f>Q500*R500</f>
        <v>4000000000</v>
      </c>
      <c r="U500" s="8">
        <f t="shared" si="149"/>
        <v>40</v>
      </c>
      <c r="V500" s="43" t="s">
        <v>41</v>
      </c>
      <c r="W500" s="45">
        <v>103</v>
      </c>
      <c r="X500" s="46"/>
      <c r="Y500" s="9">
        <f>IF(AND(V500="DI",$W500=100),$X500/100,
IF(AND(V500="DI",$W500&lt;&gt;100,$X500=""),INDEX('Debs %CDI'!$Q:$Q,MATCH(Base!$C500,'Debs %CDI'!$A:$A,0)),
IF($V500="USD",INDEX(Bonds!$AF:$AF,MATCH(Base!$C500,Bonds!$B:$B,0)),
IF($V500="IPCA",INDEX('Debs IPCA'!$Z:$Z,MATCH(Base!$C500,'Debs IPCA'!$A:$A,0))))))</f>
        <v>1.9761106845022744E-3</v>
      </c>
      <c r="Z500" s="43">
        <v>252</v>
      </c>
      <c r="AA500" s="43" t="s">
        <v>30</v>
      </c>
      <c r="AB500" s="43" t="s">
        <v>32</v>
      </c>
      <c r="AC500">
        <f t="shared" si="146"/>
        <v>0</v>
      </c>
      <c r="AD500" s="43" t="s">
        <v>31</v>
      </c>
      <c r="AE500">
        <f t="shared" si="147"/>
        <v>1</v>
      </c>
      <c r="AF500" s="34" t="str" cm="1">
        <f t="array" ref="AF500">INDEX(Ratings!$B$2:$M$40,_xlfn.XMATCH(Base!F500,Ratings!$A$2:$A$40),_xlfn.XMATCH(YEAR(Base!K500),Ratings!$B$1:$M$1))</f>
        <v>BBB-</v>
      </c>
      <c r="AG500">
        <f t="shared" si="139"/>
        <v>1</v>
      </c>
      <c r="AH500">
        <f>IFERROR(IFERROR(IFERROR(INDEX('EMBI+'!$B:$B,MATCH(Base!$K500,'EMBI+'!$A:$A,0)),INDEX('EMBI+'!$B:$B,MATCH(Base!$K500+1,'EMBI+'!$A:$A,0))),INDEX('EMBI+'!$B:$B,MATCH(Base!$K500+2,'EMBI+'!$A:$A,0))),INDEX('EMBI+'!$B:$B,MATCH(Base!$K500+3,'EMBI+'!$A:$A,0)))/100</f>
        <v>2.56</v>
      </c>
      <c r="AL500" s="43"/>
      <c r="AM500" s="28"/>
      <c r="AN500" s="28"/>
    </row>
    <row r="501" spans="1:40" x14ac:dyDescent="0.35">
      <c r="A501">
        <f t="shared" si="140"/>
        <v>499</v>
      </c>
      <c r="B501">
        <f>IF(G501="Bonds",COUNTIF($G$3:G501,"Bonds"),0)</f>
        <v>0</v>
      </c>
      <c r="C501" t="str">
        <f t="shared" si="150"/>
        <v>Suzano4372347011</v>
      </c>
      <c r="D501">
        <f t="shared" si="151"/>
        <v>35</v>
      </c>
      <c r="E501" s="43" t="s">
        <v>591</v>
      </c>
      <c r="F501" s="43" t="s">
        <v>592</v>
      </c>
      <c r="G501" s="43" t="s">
        <v>25</v>
      </c>
      <c r="H501">
        <f t="shared" si="143"/>
        <v>0</v>
      </c>
      <c r="I501" s="43" t="s">
        <v>595</v>
      </c>
      <c r="J501" s="34">
        <f t="shared" si="152"/>
        <v>3</v>
      </c>
      <c r="K501" s="28">
        <v>43723</v>
      </c>
      <c r="L501" s="28">
        <v>47011</v>
      </c>
      <c r="M501" s="60">
        <f t="shared" si="144"/>
        <v>9.0082191780821912</v>
      </c>
      <c r="N501" s="4">
        <f t="shared" si="145"/>
        <v>1</v>
      </c>
      <c r="O501" s="43" t="s">
        <v>44</v>
      </c>
      <c r="P501" t="str">
        <f t="shared" si="148"/>
        <v>0</v>
      </c>
      <c r="Q501" s="44">
        <v>75000</v>
      </c>
      <c r="R501" s="43">
        <v>10000</v>
      </c>
      <c r="S501" s="34" t="str">
        <f>IF($V501="USD",INDEX('Dólar Spot'!$B:$B,MATCH(Base!$K501,'Dólar Spot'!$A:$A,0)),"")</f>
        <v/>
      </c>
      <c r="T501" s="4">
        <f>Q501*R501</f>
        <v>750000000</v>
      </c>
      <c r="U501" s="8">
        <f t="shared" si="149"/>
        <v>7.5</v>
      </c>
      <c r="V501" s="43" t="s">
        <v>41</v>
      </c>
      <c r="W501" s="45">
        <v>100</v>
      </c>
      <c r="X501" s="46">
        <v>1.2</v>
      </c>
      <c r="Y501" s="9">
        <f>IF(AND(V501="DI",$W501=100),$X501/100,
IF(AND(V501="DI",$W501&lt;&gt;100,$X501=""),INDEX('Debs %CDI'!$Q:$Q,MATCH(Base!$C501,'Debs %CDI'!$A:$A,0)),
IF($V501="USD",INDEX(Bonds!$AF:$AF,MATCH(Base!$C501,Bonds!$B:$B,0)),
IF($V501="IPCA",INDEX('Debs IPCA'!$Z:$Z,MATCH(Base!$C501,'Debs IPCA'!$A:$A,0))))))</f>
        <v>1.2E-2</v>
      </c>
      <c r="Z501" s="43">
        <v>252</v>
      </c>
      <c r="AA501" s="43" t="s">
        <v>30</v>
      </c>
      <c r="AB501" s="43" t="s">
        <v>32</v>
      </c>
      <c r="AC501">
        <f t="shared" si="146"/>
        <v>0</v>
      </c>
      <c r="AD501" s="43" t="s">
        <v>31</v>
      </c>
      <c r="AE501">
        <f t="shared" si="147"/>
        <v>1</v>
      </c>
      <c r="AF501" s="34" t="str" cm="1">
        <f t="array" ref="AF501">INDEX(Ratings!$B$2:$M$40,_xlfn.XMATCH(Base!F501,Ratings!$A$2:$A$40),_xlfn.XMATCH(YEAR(Base!K501),Ratings!$B$1:$M$1))</f>
        <v>BBB-</v>
      </c>
      <c r="AG501">
        <f t="shared" si="139"/>
        <v>1</v>
      </c>
      <c r="AH501">
        <f>IFERROR(IFERROR(IFERROR(INDEX('EMBI+'!$B:$B,MATCH(Base!$K501,'EMBI+'!$A:$A,0)),INDEX('EMBI+'!$B:$B,MATCH(Base!$K501+1,'EMBI+'!$A:$A,0))),INDEX('EMBI+'!$B:$B,MATCH(Base!$K501+2,'EMBI+'!$A:$A,0))),INDEX('EMBI+'!$B:$B,MATCH(Base!$K501+3,'EMBI+'!$A:$A,0)))/100</f>
        <v>2.2400000000000002</v>
      </c>
      <c r="AL501" s="43"/>
      <c r="AM501" s="28"/>
      <c r="AN501" s="28"/>
    </row>
    <row r="502" spans="1:40" x14ac:dyDescent="0.35">
      <c r="A502">
        <f t="shared" si="140"/>
        <v>500</v>
      </c>
      <c r="B502">
        <f>IF(G502="Bonds",COUNTIF($G$3:G502,"Bonds"),0)</f>
        <v>139</v>
      </c>
      <c r="C502" t="str">
        <f t="shared" si="150"/>
        <v>Suzano4281016/03/2047</v>
      </c>
      <c r="D502">
        <f t="shared" si="151"/>
        <v>35</v>
      </c>
      <c r="E502" s="43" t="s">
        <v>596</v>
      </c>
      <c r="F502" s="43" t="s">
        <v>592</v>
      </c>
      <c r="G502" s="43" t="s">
        <v>34</v>
      </c>
      <c r="H502">
        <f t="shared" si="143"/>
        <v>1</v>
      </c>
      <c r="I502" s="43"/>
      <c r="J502" s="34">
        <f t="shared" si="152"/>
        <v>4</v>
      </c>
      <c r="K502" s="28">
        <v>42810</v>
      </c>
      <c r="L502" s="28" t="s">
        <v>597</v>
      </c>
      <c r="M502" s="60">
        <f t="shared" si="144"/>
        <v>30.019178082191782</v>
      </c>
      <c r="N502" s="4">
        <f t="shared" si="145"/>
        <v>1</v>
      </c>
      <c r="O502" s="43" t="s">
        <v>36</v>
      </c>
      <c r="P502" t="str">
        <f t="shared" si="148"/>
        <v>0</v>
      </c>
      <c r="Q502" s="44"/>
      <c r="R502" s="43"/>
      <c r="S502" s="34">
        <f>IF($V502="USD",INDEX('Dólar Spot'!$B:$B,MATCH(Base!$K502,'Dólar Spot'!$A:$A,0)),"")</f>
        <v>3.1074000000000002</v>
      </c>
      <c r="T502" s="44">
        <v>300000000</v>
      </c>
      <c r="U502" s="8">
        <f t="shared" si="149"/>
        <v>9.3222000000000005</v>
      </c>
      <c r="V502" s="43" t="s">
        <v>651</v>
      </c>
      <c r="W502" s="45" t="s">
        <v>29</v>
      </c>
      <c r="X502" s="46">
        <v>7</v>
      </c>
      <c r="Y502" s="9">
        <f>IF(AND(V502="DI",$W502=100),$X502/100,
IF(AND(V502="DI",$W502&lt;&gt;100,$X502=""),INDEX('Debs %CDI'!$Q:$Q,MATCH(Base!$C502,'Debs %CDI'!$A:$A,0)),
IF($V502="USD",INDEX(Bonds!$AF:$AF,MATCH(Base!$C502,Bonds!$B:$B,0)),
IF($V502="IPCA",INDEX('Debs IPCA'!$Z:$Z,MATCH(Base!$C502,'Debs IPCA'!$A:$A,0))))))</f>
        <v>3.1304109926429291E-2</v>
      </c>
      <c r="Z502" s="43">
        <v>360</v>
      </c>
      <c r="AA502" s="43" t="s">
        <v>37</v>
      </c>
      <c r="AB502" s="43" t="s">
        <v>32</v>
      </c>
      <c r="AC502">
        <f t="shared" si="146"/>
        <v>0</v>
      </c>
      <c r="AD502" s="43" t="s">
        <v>31</v>
      </c>
      <c r="AE502">
        <f t="shared" si="147"/>
        <v>1</v>
      </c>
      <c r="AF502" s="34" t="str" cm="1">
        <f t="array" ref="AF502">INDEX(Ratings!$B$2:$M$40,_xlfn.XMATCH(Base!F502,Ratings!$A$2:$A$40),_xlfn.XMATCH(YEAR(Base!K502),Ratings!$B$1:$M$1))</f>
        <v>BB+</v>
      </c>
      <c r="AG502">
        <f t="shared" si="139"/>
        <v>0</v>
      </c>
      <c r="AH502">
        <f>IFERROR(IFERROR(IFERROR(INDEX('EMBI+'!$B:$B,MATCH(Base!$K502,'EMBI+'!$A:$A,0)),INDEX('EMBI+'!$B:$B,MATCH(Base!$K502+1,'EMBI+'!$A:$A,0))),INDEX('EMBI+'!$B:$B,MATCH(Base!$K502+2,'EMBI+'!$A:$A,0))),INDEX('EMBI+'!$B:$B,MATCH(Base!$K502+3,'EMBI+'!$A:$A,0)))/100</f>
        <v>2.74</v>
      </c>
      <c r="AL502" s="43"/>
      <c r="AM502" s="28"/>
      <c r="AN502" s="28"/>
    </row>
    <row r="503" spans="1:40" x14ac:dyDescent="0.35">
      <c r="A503">
        <f t="shared" si="140"/>
        <v>501</v>
      </c>
      <c r="B503">
        <f>IF(G503="Bonds",COUNTIF($G$3:G503,"Bonds"),0)</f>
        <v>140</v>
      </c>
      <c r="C503" t="str">
        <f t="shared" si="150"/>
        <v>Suzano4369115/01/2029</v>
      </c>
      <c r="D503">
        <f t="shared" si="151"/>
        <v>35</v>
      </c>
      <c r="E503" s="43" t="s">
        <v>596</v>
      </c>
      <c r="F503" s="43" t="s">
        <v>592</v>
      </c>
      <c r="G503" s="43" t="s">
        <v>34</v>
      </c>
      <c r="H503">
        <f t="shared" si="143"/>
        <v>1</v>
      </c>
      <c r="I503" s="43"/>
      <c r="J503" s="34">
        <f t="shared" si="152"/>
        <v>5</v>
      </c>
      <c r="K503" s="28">
        <v>43691</v>
      </c>
      <c r="L503" s="28" t="s">
        <v>598</v>
      </c>
      <c r="M503" s="60">
        <f t="shared" si="144"/>
        <v>9.4301369863013704</v>
      </c>
      <c r="N503" s="4">
        <f t="shared" si="145"/>
        <v>1</v>
      </c>
      <c r="O503" s="43" t="s">
        <v>36</v>
      </c>
      <c r="P503" t="str">
        <f t="shared" si="148"/>
        <v>0</v>
      </c>
      <c r="Q503" s="44"/>
      <c r="R503" s="43"/>
      <c r="S503" s="34">
        <f>IF($V503="USD",INDEX('Dólar Spot'!$B:$B,MATCH(Base!$K503,'Dólar Spot'!$A:$A,0)),"")</f>
        <v>4.0068000000000001</v>
      </c>
      <c r="T503" s="44">
        <v>750000000</v>
      </c>
      <c r="U503" s="8">
        <f t="shared" si="149"/>
        <v>30.050999999999998</v>
      </c>
      <c r="V503" s="43" t="s">
        <v>651</v>
      </c>
      <c r="W503" s="45" t="s">
        <v>29</v>
      </c>
      <c r="X503" s="46">
        <v>6</v>
      </c>
      <c r="Y503" s="9">
        <f>IF(AND(V503="DI",$W503=100),$X503/100,
IF(AND(V503="DI",$W503&lt;&gt;100,$X503=""),INDEX('Debs %CDI'!$Q:$Q,MATCH(Base!$C503,'Debs %CDI'!$A:$A,0)),
IF($V503="USD",INDEX(Bonds!$AF:$AF,MATCH(Base!$C503,Bonds!$B:$B,0)),
IF($V503="IPCA",INDEX('Debs IPCA'!$Z:$Z,MATCH(Base!$C503,'Debs IPCA'!$A:$A,0))))))</f>
        <v>3.6085786666145925E-2</v>
      </c>
      <c r="Z503" s="43">
        <v>360</v>
      </c>
      <c r="AA503" s="43" t="s">
        <v>37</v>
      </c>
      <c r="AB503" s="43" t="s">
        <v>32</v>
      </c>
      <c r="AC503">
        <f t="shared" si="146"/>
        <v>0</v>
      </c>
      <c r="AD503" s="43" t="s">
        <v>31</v>
      </c>
      <c r="AE503">
        <f t="shared" si="147"/>
        <v>1</v>
      </c>
      <c r="AF503" s="34" t="str" cm="1">
        <f t="array" ref="AF503">INDEX(Ratings!$B$2:$M$40,_xlfn.XMATCH(Base!F503,Ratings!$A$2:$A$40),_xlfn.XMATCH(YEAR(Base!K503),Ratings!$B$1:$M$1))</f>
        <v>BBB-</v>
      </c>
      <c r="AG503">
        <f t="shared" si="139"/>
        <v>1</v>
      </c>
      <c r="AH503">
        <f>IFERROR(IFERROR(IFERROR(INDEX('EMBI+'!$B:$B,MATCH(Base!$K503,'EMBI+'!$A:$A,0)),INDEX('EMBI+'!$B:$B,MATCH(Base!$K503+1,'EMBI+'!$A:$A,0))),INDEX('EMBI+'!$B:$B,MATCH(Base!$K503+2,'EMBI+'!$A:$A,0))),INDEX('EMBI+'!$B:$B,MATCH(Base!$K503+3,'EMBI+'!$A:$A,0)))/100</f>
        <v>2.44</v>
      </c>
      <c r="AL503" s="43"/>
      <c r="AM503" s="28"/>
      <c r="AN503" s="28"/>
    </row>
    <row r="504" spans="1:40" x14ac:dyDescent="0.35">
      <c r="A504">
        <f t="shared" si="140"/>
        <v>502</v>
      </c>
      <c r="B504">
        <f>IF(G504="Bonds",COUNTIF($G$3:G504,"Bonds"),0)</f>
        <v>141</v>
      </c>
      <c r="C504" t="str">
        <f t="shared" si="150"/>
        <v>Suzano4437815/01/2032</v>
      </c>
      <c r="D504">
        <f t="shared" si="151"/>
        <v>35</v>
      </c>
      <c r="E504" s="43" t="s">
        <v>596</v>
      </c>
      <c r="F504" s="43" t="s">
        <v>592</v>
      </c>
      <c r="G504" s="43" t="s">
        <v>34</v>
      </c>
      <c r="H504">
        <f t="shared" si="143"/>
        <v>1</v>
      </c>
      <c r="I504" s="43"/>
      <c r="J504" s="34">
        <f t="shared" si="152"/>
        <v>6</v>
      </c>
      <c r="K504" s="28">
        <v>44378</v>
      </c>
      <c r="L504" s="28" t="s">
        <v>599</v>
      </c>
      <c r="M504" s="60">
        <f t="shared" si="144"/>
        <v>10.547945205479452</v>
      </c>
      <c r="N504" s="4">
        <f t="shared" si="145"/>
        <v>1</v>
      </c>
      <c r="O504" s="43" t="s">
        <v>36</v>
      </c>
      <c r="P504" t="str">
        <f t="shared" si="148"/>
        <v>0</v>
      </c>
      <c r="Q504" s="44"/>
      <c r="R504" s="43"/>
      <c r="S504" s="34">
        <f>IF($V504="USD",INDEX('Dólar Spot'!$B:$B,MATCH(Base!$K504,'Dólar Spot'!$A:$A,0)),"")</f>
        <v>5.0049000000000001</v>
      </c>
      <c r="T504" s="44">
        <v>1000000000</v>
      </c>
      <c r="U504" s="8">
        <f t="shared" si="149"/>
        <v>50.048999999999999</v>
      </c>
      <c r="V504" s="43" t="s">
        <v>651</v>
      </c>
      <c r="W504" s="45" t="s">
        <v>29</v>
      </c>
      <c r="X504" s="46">
        <v>3.125</v>
      </c>
      <c r="Y504" s="9">
        <f>IF(AND(V504="DI",$W504=100),$X504/100,
IF(AND(V504="DI",$W504&lt;&gt;100,$X504=""),INDEX('Debs %CDI'!$Q:$Q,MATCH(Base!$C504,'Debs %CDI'!$A:$A,0)),
IF($V504="USD",INDEX(Bonds!$AF:$AF,MATCH(Base!$C504,Bonds!$B:$B,0)),
IF($V504="IPCA",INDEX('Debs IPCA'!$Z:$Z,MATCH(Base!$C504,'Debs IPCA'!$A:$A,0))))))</f>
        <v>1.2449799526929706E-2</v>
      </c>
      <c r="Z504" s="43">
        <v>360</v>
      </c>
      <c r="AA504" s="43" t="s">
        <v>37</v>
      </c>
      <c r="AB504" s="43" t="s">
        <v>32</v>
      </c>
      <c r="AC504">
        <f t="shared" si="146"/>
        <v>0</v>
      </c>
      <c r="AD504" s="43" t="s">
        <v>31</v>
      </c>
      <c r="AE504">
        <f t="shared" si="147"/>
        <v>1</v>
      </c>
      <c r="AF504" s="34" t="str" cm="1">
        <f t="array" ref="AF504">INDEX(Ratings!$B$2:$M$40,_xlfn.XMATCH(Base!F504,Ratings!$A$2:$A$40),_xlfn.XMATCH(YEAR(Base!K504),Ratings!$B$1:$M$1))</f>
        <v>BBB-</v>
      </c>
      <c r="AG504">
        <f t="shared" si="139"/>
        <v>1</v>
      </c>
      <c r="AH504">
        <f>IFERROR(IFERROR(IFERROR(INDEX('EMBI+'!$B:$B,MATCH(Base!$K504,'EMBI+'!$A:$A,0)),INDEX('EMBI+'!$B:$B,MATCH(Base!$K504+1,'EMBI+'!$A:$A,0))),INDEX('EMBI+'!$B:$B,MATCH(Base!$K504+2,'EMBI+'!$A:$A,0))),INDEX('EMBI+'!$B:$B,MATCH(Base!$K504+3,'EMBI+'!$A:$A,0)))/100</f>
        <v>2.76</v>
      </c>
      <c r="AL504" s="43"/>
      <c r="AM504" s="28"/>
      <c r="AN504" s="28"/>
    </row>
    <row r="505" spans="1:40" x14ac:dyDescent="0.35">
      <c r="A505">
        <f t="shared" si="140"/>
        <v>503</v>
      </c>
      <c r="B505">
        <f>IF(G505="Bonds",COUNTIF($G$3:G505,"Bonds"),0)</f>
        <v>142</v>
      </c>
      <c r="C505" t="str">
        <f t="shared" si="150"/>
        <v>Suzano4408815/01/2031</v>
      </c>
      <c r="D505">
        <f t="shared" si="151"/>
        <v>35</v>
      </c>
      <c r="E505" s="43" t="s">
        <v>596</v>
      </c>
      <c r="F505" s="43" t="s">
        <v>592</v>
      </c>
      <c r="G505" s="43" t="s">
        <v>34</v>
      </c>
      <c r="H505">
        <f t="shared" si="143"/>
        <v>1</v>
      </c>
      <c r="I505" s="43"/>
      <c r="J505" s="34">
        <f t="shared" si="152"/>
        <v>7</v>
      </c>
      <c r="K505" s="28">
        <v>44088</v>
      </c>
      <c r="L505" s="28" t="s">
        <v>600</v>
      </c>
      <c r="M505" s="60">
        <f t="shared" si="144"/>
        <v>10.342465753424657</v>
      </c>
      <c r="N505" s="4">
        <f t="shared" si="145"/>
        <v>1</v>
      </c>
      <c r="O505" s="43" t="s">
        <v>36</v>
      </c>
      <c r="P505" t="str">
        <f t="shared" si="148"/>
        <v>0</v>
      </c>
      <c r="Q505" s="44"/>
      <c r="R505" s="43"/>
      <c r="S505" s="34">
        <f>IF($V505="USD",INDEX('Dólar Spot'!$B:$B,MATCH(Base!$K505,'Dólar Spot'!$A:$A,0)),"")</f>
        <v>5.2977999999999996</v>
      </c>
      <c r="T505" s="44">
        <v>750000000</v>
      </c>
      <c r="U505" s="8">
        <f t="shared" si="149"/>
        <v>39.733499999999992</v>
      </c>
      <c r="V505" s="43" t="s">
        <v>651</v>
      </c>
      <c r="W505" s="45" t="s">
        <v>29</v>
      </c>
      <c r="X505" s="46">
        <v>3.75</v>
      </c>
      <c r="Y505" s="9">
        <f>IF(AND(V505="DI",$W505=100),$X505/100,
IF(AND(V505="DI",$W505&lt;&gt;100,$X505=""),INDEX('Debs %CDI'!$Q:$Q,MATCH(Base!$C505,'Debs %CDI'!$A:$A,0)),
IF($V505="USD",INDEX(Bonds!$AF:$AF,MATCH(Base!$C505,Bonds!$B:$B,0)),
IF($V505="IPCA",INDEX('Debs IPCA'!$Z:$Z,MATCH(Base!$C505,'Debs IPCA'!$A:$A,0))))))</f>
        <v>1.958697356956085E-2</v>
      </c>
      <c r="Z505" s="43">
        <v>360</v>
      </c>
      <c r="AA505" s="43" t="s">
        <v>37</v>
      </c>
      <c r="AB505" s="43" t="s">
        <v>32</v>
      </c>
      <c r="AC505">
        <f t="shared" si="146"/>
        <v>0</v>
      </c>
      <c r="AD505" s="43" t="s">
        <v>31</v>
      </c>
      <c r="AE505">
        <f t="shared" si="147"/>
        <v>1</v>
      </c>
      <c r="AF505" s="34" t="str" cm="1">
        <f t="array" ref="AF505">INDEX(Ratings!$B$2:$M$40,_xlfn.XMATCH(Base!F505,Ratings!$A$2:$A$40),_xlfn.XMATCH(YEAR(Base!K505),Ratings!$B$1:$M$1))</f>
        <v>BBB-</v>
      </c>
      <c r="AG505">
        <f t="shared" si="139"/>
        <v>1</v>
      </c>
      <c r="AH505">
        <f>IFERROR(IFERROR(IFERROR(INDEX('EMBI+'!$B:$B,MATCH(Base!$K505,'EMBI+'!$A:$A,0)),INDEX('EMBI+'!$B:$B,MATCH(Base!$K505+1,'EMBI+'!$A:$A,0))),INDEX('EMBI+'!$B:$B,MATCH(Base!$K505+2,'EMBI+'!$A:$A,0))),INDEX('EMBI+'!$B:$B,MATCH(Base!$K505+3,'EMBI+'!$A:$A,0)))/100</f>
        <v>3.1</v>
      </c>
      <c r="AL505" s="43"/>
      <c r="AM505" s="28"/>
      <c r="AN505" s="28"/>
    </row>
    <row r="506" spans="1:40" x14ac:dyDescent="0.35">
      <c r="A506">
        <f t="shared" si="140"/>
        <v>504</v>
      </c>
      <c r="B506">
        <f>IF(G506="Bonds",COUNTIF($G$3:G506,"Bonds"),0)</f>
        <v>143</v>
      </c>
      <c r="C506" t="str">
        <f t="shared" si="150"/>
        <v>Suzano4445215/09/2028</v>
      </c>
      <c r="D506">
        <f t="shared" si="151"/>
        <v>35</v>
      </c>
      <c r="E506" s="43" t="s">
        <v>596</v>
      </c>
      <c r="F506" s="43" t="s">
        <v>592</v>
      </c>
      <c r="G506" s="43" t="s">
        <v>34</v>
      </c>
      <c r="H506">
        <f t="shared" si="143"/>
        <v>1</v>
      </c>
      <c r="I506" s="43"/>
      <c r="J506" s="34">
        <f t="shared" si="152"/>
        <v>8</v>
      </c>
      <c r="K506" s="28">
        <v>44452</v>
      </c>
      <c r="L506" s="28" t="s">
        <v>601</v>
      </c>
      <c r="M506" s="60">
        <f t="shared" si="144"/>
        <v>7.0109589041095894</v>
      </c>
      <c r="N506" s="4">
        <f t="shared" si="145"/>
        <v>1</v>
      </c>
      <c r="O506" s="43" t="s">
        <v>36</v>
      </c>
      <c r="P506" t="str">
        <f t="shared" si="148"/>
        <v>0</v>
      </c>
      <c r="Q506" s="44"/>
      <c r="R506" s="43"/>
      <c r="S506" s="34">
        <f>IF($V506="USD",INDEX('Dólar Spot'!$B:$B,MATCH(Base!$K506,'Dólar Spot'!$A:$A,0)),"")</f>
        <v>5.2183999999999999</v>
      </c>
      <c r="T506" s="44">
        <v>500000000</v>
      </c>
      <c r="U506" s="8">
        <f t="shared" si="149"/>
        <v>26.091999999999999</v>
      </c>
      <c r="V506" s="43" t="s">
        <v>651</v>
      </c>
      <c r="W506" s="45" t="s">
        <v>29</v>
      </c>
      <c r="X506" s="46">
        <v>2.5</v>
      </c>
      <c r="Y506" s="9">
        <f>IF(AND(V506="DI",$W506=100),$X506/100,
IF(AND(V506="DI",$W506&lt;&gt;100,$X506=""),INDEX('Debs %CDI'!$Q:$Q,MATCH(Base!$C506,'Debs %CDI'!$A:$A,0)),
IF($V506="USD",INDEX(Bonds!$AF:$AF,MATCH(Base!$C506,Bonds!$B:$B,0)),
IF($V506="IPCA",INDEX('Debs IPCA'!$Z:$Z,MATCH(Base!$C506,'Debs IPCA'!$A:$A,0))))))</f>
        <v>7.7868652583821252E-3</v>
      </c>
      <c r="Z506" s="43">
        <v>360</v>
      </c>
      <c r="AA506" s="43" t="s">
        <v>37</v>
      </c>
      <c r="AB506" s="43" t="s">
        <v>32</v>
      </c>
      <c r="AC506">
        <f t="shared" si="146"/>
        <v>0</v>
      </c>
      <c r="AD506" s="43" t="s">
        <v>31</v>
      </c>
      <c r="AE506">
        <f t="shared" si="147"/>
        <v>1</v>
      </c>
      <c r="AF506" s="34" t="str" cm="1">
        <f t="array" ref="AF506">INDEX(Ratings!$B$2:$M$40,_xlfn.XMATCH(Base!F506,Ratings!$A$2:$A$40),_xlfn.XMATCH(YEAR(Base!K506),Ratings!$B$1:$M$1))</f>
        <v>BBB-</v>
      </c>
      <c r="AG506">
        <f t="shared" si="139"/>
        <v>1</v>
      </c>
      <c r="AH506">
        <f>IFERROR(IFERROR(IFERROR(INDEX('EMBI+'!$B:$B,MATCH(Base!$K506,'EMBI+'!$A:$A,0)),INDEX('EMBI+'!$B:$B,MATCH(Base!$K506+1,'EMBI+'!$A:$A,0))),INDEX('EMBI+'!$B:$B,MATCH(Base!$K506+2,'EMBI+'!$A:$A,0))),INDEX('EMBI+'!$B:$B,MATCH(Base!$K506+3,'EMBI+'!$A:$A,0)))/100</f>
        <v>3.14</v>
      </c>
      <c r="AL506" s="43"/>
      <c r="AM506" s="28"/>
      <c r="AN506" s="28"/>
    </row>
    <row r="507" spans="1:40" x14ac:dyDescent="0.35">
      <c r="A507">
        <f t="shared" si="140"/>
        <v>505</v>
      </c>
      <c r="B507">
        <f>IF(G507="Bonds",COUNTIF($G$3:G507,"Bonds"),0)</f>
        <v>144</v>
      </c>
      <c r="C507" t="str">
        <f t="shared" si="150"/>
        <v>Suzano4256514/07/2026</v>
      </c>
      <c r="D507">
        <f t="shared" si="151"/>
        <v>35</v>
      </c>
      <c r="E507" s="43" t="s">
        <v>596</v>
      </c>
      <c r="F507" s="43" t="s">
        <v>592</v>
      </c>
      <c r="G507" s="43" t="s">
        <v>34</v>
      </c>
      <c r="H507">
        <f t="shared" si="143"/>
        <v>1</v>
      </c>
      <c r="I507" s="43"/>
      <c r="J507" s="34">
        <f t="shared" si="152"/>
        <v>9</v>
      </c>
      <c r="K507" s="28">
        <v>42565</v>
      </c>
      <c r="L507" s="28" t="s">
        <v>602</v>
      </c>
      <c r="M507" s="60">
        <f t="shared" si="144"/>
        <v>10.005479452054795</v>
      </c>
      <c r="N507" s="4">
        <f t="shared" si="145"/>
        <v>1</v>
      </c>
      <c r="O507" s="43" t="s">
        <v>36</v>
      </c>
      <c r="P507" t="str">
        <f t="shared" si="148"/>
        <v>0</v>
      </c>
      <c r="Q507" s="44"/>
      <c r="R507" s="43"/>
      <c r="S507" s="34">
        <f>IF($V507="USD",INDEX('Dólar Spot'!$B:$B,MATCH(Base!$K507,'Dólar Spot'!$A:$A,0)),"")</f>
        <v>3.2305000000000001</v>
      </c>
      <c r="T507" s="44">
        <v>500000000</v>
      </c>
      <c r="U507" s="8">
        <f t="shared" si="149"/>
        <v>16.1525</v>
      </c>
      <c r="V507" s="43" t="s">
        <v>651</v>
      </c>
      <c r="W507" s="45" t="s">
        <v>29</v>
      </c>
      <c r="X507" s="46">
        <v>5.75</v>
      </c>
      <c r="Y507" s="9">
        <f>IF(AND(V507="DI",$W507=100),$X507/100,
IF(AND(V507="DI",$W507&lt;&gt;100,$X507=""),INDEX('Debs %CDI'!$Q:$Q,MATCH(Base!$C507,'Debs %CDI'!$A:$A,0)),
IF($V507="USD",INDEX(Bonds!$AF:$AF,MATCH(Base!$C507,Bonds!$B:$B,0)),
IF($V507="IPCA",INDEX('Debs IPCA'!$Z:$Z,MATCH(Base!$C507,'Debs IPCA'!$A:$A,0))))))</f>
        <v>6.5381578677621288E-3</v>
      </c>
      <c r="Z507" s="43">
        <v>360</v>
      </c>
      <c r="AA507" s="43" t="s">
        <v>37</v>
      </c>
      <c r="AB507" s="43" t="s">
        <v>32</v>
      </c>
      <c r="AC507">
        <f t="shared" si="146"/>
        <v>0</v>
      </c>
      <c r="AD507" s="43" t="s">
        <v>32</v>
      </c>
      <c r="AE507">
        <f t="shared" si="147"/>
        <v>0</v>
      </c>
      <c r="AF507" s="34" t="str" cm="1">
        <f t="array" ref="AF507">INDEX(Ratings!$B$2:$M$40,_xlfn.XMATCH(Base!F507,Ratings!$A$2:$A$40),_xlfn.XMATCH(YEAR(Base!K507),Ratings!$B$1:$M$1))</f>
        <v>BB+</v>
      </c>
      <c r="AG507">
        <f t="shared" si="139"/>
        <v>0</v>
      </c>
      <c r="AH507">
        <f>IFERROR(IFERROR(IFERROR(INDEX('EMBI+'!$B:$B,MATCH(Base!$K507,'EMBI+'!$A:$A,0)),INDEX('EMBI+'!$B:$B,MATCH(Base!$K507+1,'EMBI+'!$A:$A,0))),INDEX('EMBI+'!$B:$B,MATCH(Base!$K507+2,'EMBI+'!$A:$A,0))),INDEX('EMBI+'!$B:$B,MATCH(Base!$K507+3,'EMBI+'!$A:$A,0)))/100</f>
        <v>3.31</v>
      </c>
      <c r="AL507" s="43"/>
      <c r="AM507" s="28"/>
      <c r="AN507" s="28"/>
    </row>
    <row r="508" spans="1:40" x14ac:dyDescent="0.35">
      <c r="A508">
        <f t="shared" si="140"/>
        <v>506</v>
      </c>
      <c r="B508">
        <f>IF(G508="Bonds",COUNTIF($G$3:G508,"Bonds"),0)</f>
        <v>145</v>
      </c>
      <c r="C508" t="str">
        <f t="shared" si="150"/>
        <v>Suzano4336315/01/2029</v>
      </c>
      <c r="D508">
        <f t="shared" si="151"/>
        <v>35</v>
      </c>
      <c r="E508" s="43" t="s">
        <v>596</v>
      </c>
      <c r="F508" s="43" t="s">
        <v>592</v>
      </c>
      <c r="G508" s="43" t="s">
        <v>34</v>
      </c>
      <c r="H508">
        <f t="shared" si="143"/>
        <v>1</v>
      </c>
      <c r="I508" s="43"/>
      <c r="J508" s="34">
        <f t="shared" si="152"/>
        <v>10</v>
      </c>
      <c r="K508" s="28">
        <v>43363</v>
      </c>
      <c r="L508" s="28" t="s">
        <v>598</v>
      </c>
      <c r="M508" s="60">
        <f t="shared" si="144"/>
        <v>10.328767123287671</v>
      </c>
      <c r="N508" s="4">
        <f t="shared" si="145"/>
        <v>1</v>
      </c>
      <c r="O508" s="43" t="s">
        <v>36</v>
      </c>
      <c r="P508" t="str">
        <f t="shared" si="148"/>
        <v>0</v>
      </c>
      <c r="Q508" s="44"/>
      <c r="R508" s="43"/>
      <c r="S508" s="34">
        <f>IF($V508="USD",INDEX('Dólar Spot'!$B:$B,MATCH(Base!$K508,'Dólar Spot'!$A:$A,0)),"")</f>
        <v>4.0991</v>
      </c>
      <c r="T508" s="44">
        <v>1000000000</v>
      </c>
      <c r="U508" s="8">
        <f t="shared" si="149"/>
        <v>40.991</v>
      </c>
      <c r="V508" s="43" t="s">
        <v>651</v>
      </c>
      <c r="W508" s="45" t="s">
        <v>29</v>
      </c>
      <c r="X508" s="46">
        <v>6</v>
      </c>
      <c r="Y508" s="9">
        <f>IF(AND(V508="DI",$W508=100),$X508/100,
IF(AND(V508="DI",$W508&lt;&gt;100,$X508=""),INDEX('Debs %CDI'!$Q:$Q,MATCH(Base!$C508,'Debs %CDI'!$A:$A,0)),
IF($V508="USD",INDEX(Bonds!$AF:$AF,MATCH(Base!$C508,Bonds!$B:$B,0)),
IF($V508="IPCA",INDEX('Debs IPCA'!$Z:$Z,MATCH(Base!$C508,'Debs IPCA'!$A:$A,0))))))</f>
        <v>1.3286814777627276E-2</v>
      </c>
      <c r="Z508" s="43">
        <v>360</v>
      </c>
      <c r="AA508" s="43" t="s">
        <v>37</v>
      </c>
      <c r="AB508" s="43" t="s">
        <v>32</v>
      </c>
      <c r="AC508">
        <f t="shared" si="146"/>
        <v>0</v>
      </c>
      <c r="AD508" s="43" t="s">
        <v>31</v>
      </c>
      <c r="AE508">
        <f t="shared" si="147"/>
        <v>1</v>
      </c>
      <c r="AF508" s="34" t="str" cm="1">
        <f t="array" ref="AF508">INDEX(Ratings!$B$2:$M$40,_xlfn.XMATCH(Base!F508,Ratings!$A$2:$A$40),_xlfn.XMATCH(YEAR(Base!K508),Ratings!$B$1:$M$1))</f>
        <v>BBB-</v>
      </c>
      <c r="AG508">
        <f t="shared" si="139"/>
        <v>1</v>
      </c>
      <c r="AH508">
        <f>IFERROR(IFERROR(IFERROR(INDEX('EMBI+'!$B:$B,MATCH(Base!$K508,'EMBI+'!$A:$A,0)),INDEX('EMBI+'!$B:$B,MATCH(Base!$K508+1,'EMBI+'!$A:$A,0))),INDEX('EMBI+'!$B:$B,MATCH(Base!$K508+2,'EMBI+'!$A:$A,0))),INDEX('EMBI+'!$B:$B,MATCH(Base!$K508+3,'EMBI+'!$A:$A,0)))/100</f>
        <v>3.09</v>
      </c>
      <c r="AL508" s="43"/>
      <c r="AM508" s="28"/>
      <c r="AN508" s="28"/>
    </row>
    <row r="509" spans="1:40" x14ac:dyDescent="0.35">
      <c r="A509">
        <f t="shared" si="140"/>
        <v>507</v>
      </c>
      <c r="B509">
        <f>IF(G509="Bonds",COUNTIF($G$3:G509,"Bonds"),0)</f>
        <v>146</v>
      </c>
      <c r="C509" t="str">
        <f t="shared" si="150"/>
        <v>Suzano4361415/01/2030</v>
      </c>
      <c r="D509">
        <f t="shared" si="151"/>
        <v>35</v>
      </c>
      <c r="E509" s="43" t="s">
        <v>596</v>
      </c>
      <c r="F509" s="43" t="s">
        <v>592</v>
      </c>
      <c r="G509" s="43" t="s">
        <v>34</v>
      </c>
      <c r="H509">
        <f t="shared" si="143"/>
        <v>1</v>
      </c>
      <c r="I509" s="43"/>
      <c r="J509" s="34">
        <f t="shared" si="152"/>
        <v>11</v>
      </c>
      <c r="K509" s="28">
        <v>43614</v>
      </c>
      <c r="L509" s="28" t="s">
        <v>482</v>
      </c>
      <c r="M509" s="60">
        <f t="shared" si="144"/>
        <v>10.641095890410959</v>
      </c>
      <c r="N509" s="4">
        <f t="shared" si="145"/>
        <v>1</v>
      </c>
      <c r="O509" s="43" t="s">
        <v>36</v>
      </c>
      <c r="P509" t="str">
        <f t="shared" si="148"/>
        <v>0</v>
      </c>
      <c r="Q509" s="44"/>
      <c r="R509" s="43"/>
      <c r="S509" s="34">
        <f>IF($V509="USD",INDEX('Dólar Spot'!$B:$B,MATCH(Base!$K509,'Dólar Spot'!$A:$A,0)),"")</f>
        <v>3.9958999999999998</v>
      </c>
      <c r="T509" s="44">
        <v>1000000000</v>
      </c>
      <c r="U509" s="8">
        <f t="shared" si="149"/>
        <v>39.959000000000003</v>
      </c>
      <c r="V509" s="43" t="s">
        <v>651</v>
      </c>
      <c r="W509" s="45" t="s">
        <v>29</v>
      </c>
      <c r="X509" s="46">
        <v>5</v>
      </c>
      <c r="Y509" s="9">
        <f>IF(AND(V509="DI",$W509=100),$X509/100,
IF(AND(V509="DI",$W509&lt;&gt;100,$X509=""),INDEX('Debs %CDI'!$Q:$Q,MATCH(Base!$C509,'Debs %CDI'!$A:$A,0)),
IF($V509="USD",INDEX(Bonds!$AF:$AF,MATCH(Base!$C509,Bonds!$B:$B,0)),
IF($V509="IPCA",INDEX('Debs IPCA'!$Z:$Z,MATCH(Base!$C509,'Debs IPCA'!$A:$A,0))))))</f>
        <v>1.7126975598439342E-2</v>
      </c>
      <c r="Z509" s="43">
        <v>360</v>
      </c>
      <c r="AA509" s="43" t="s">
        <v>37</v>
      </c>
      <c r="AB509" s="43" t="s">
        <v>32</v>
      </c>
      <c r="AC509">
        <f t="shared" si="146"/>
        <v>0</v>
      </c>
      <c r="AD509" s="43" t="s">
        <v>31</v>
      </c>
      <c r="AE509">
        <f t="shared" si="147"/>
        <v>1</v>
      </c>
      <c r="AF509" s="34" t="str" cm="1">
        <f t="array" ref="AF509">INDEX(Ratings!$B$2:$M$40,_xlfn.XMATCH(Base!F509,Ratings!$A$2:$A$40),_xlfn.XMATCH(YEAR(Base!K509),Ratings!$B$1:$M$1))</f>
        <v>BBB-</v>
      </c>
      <c r="AG509">
        <f t="shared" si="139"/>
        <v>1</v>
      </c>
      <c r="AH509">
        <f>IFERROR(IFERROR(IFERROR(INDEX('EMBI+'!$B:$B,MATCH(Base!$K509,'EMBI+'!$A:$A,0)),INDEX('EMBI+'!$B:$B,MATCH(Base!$K509+1,'EMBI+'!$A:$A,0))),INDEX('EMBI+'!$B:$B,MATCH(Base!$K509+2,'EMBI+'!$A:$A,0))),INDEX('EMBI+'!$B:$B,MATCH(Base!$K509+3,'EMBI+'!$A:$A,0)))/100</f>
        <v>2.69</v>
      </c>
      <c r="AL509" s="43"/>
      <c r="AM509" s="28"/>
      <c r="AN509" s="28"/>
    </row>
    <row r="510" spans="1:40" x14ac:dyDescent="0.35">
      <c r="A510">
        <f t="shared" si="140"/>
        <v>508</v>
      </c>
      <c r="B510">
        <f>IF(G510="Bonds",COUNTIF($G$3:G510,"Bonds"),0)</f>
        <v>147</v>
      </c>
      <c r="C510" t="str">
        <f t="shared" si="150"/>
        <v>Suzano4361416/03/2047</v>
      </c>
      <c r="D510">
        <f t="shared" si="151"/>
        <v>35</v>
      </c>
      <c r="E510" s="43" t="s">
        <v>596</v>
      </c>
      <c r="F510" s="43" t="s">
        <v>592</v>
      </c>
      <c r="G510" s="43" t="s">
        <v>34</v>
      </c>
      <c r="H510">
        <f t="shared" si="143"/>
        <v>1</v>
      </c>
      <c r="I510" s="43"/>
      <c r="J510" s="34">
        <f t="shared" si="152"/>
        <v>12</v>
      </c>
      <c r="K510" s="28">
        <v>43614</v>
      </c>
      <c r="L510" s="28" t="s">
        <v>597</v>
      </c>
      <c r="M510" s="60">
        <f t="shared" si="144"/>
        <v>27.816438356164383</v>
      </c>
      <c r="N510" s="4">
        <f t="shared" si="145"/>
        <v>1</v>
      </c>
      <c r="O510" s="43" t="s">
        <v>36</v>
      </c>
      <c r="P510" t="str">
        <f t="shared" si="148"/>
        <v>0</v>
      </c>
      <c r="Q510" s="44"/>
      <c r="R510" s="43"/>
      <c r="S510" s="34">
        <f>IF($V510="USD",INDEX('Dólar Spot'!$B:$B,MATCH(Base!$K510,'Dólar Spot'!$A:$A,0)),"")</f>
        <v>3.9958999999999998</v>
      </c>
      <c r="T510" s="44">
        <v>250000000</v>
      </c>
      <c r="U510" s="8">
        <f t="shared" si="149"/>
        <v>9.9897500000000008</v>
      </c>
      <c r="V510" s="43" t="s">
        <v>651</v>
      </c>
      <c r="W510" s="45" t="s">
        <v>29</v>
      </c>
      <c r="X510" s="46">
        <v>7</v>
      </c>
      <c r="Y510" s="9">
        <f>IF(AND(V510="DI",$W510=100),$X510/100,
IF(AND(V510="DI",$W510&lt;&gt;100,$X510=""),INDEX('Debs %CDI'!$Q:$Q,MATCH(Base!$C510,'Debs %CDI'!$A:$A,0)),
IF($V510="USD",INDEX(Bonds!$AF:$AF,MATCH(Base!$C510,Bonds!$B:$B,0)),
IF($V510="IPCA",INDEX('Debs IPCA'!$Z:$Z,MATCH(Base!$C510,'Debs IPCA'!$A:$A,0))))))</f>
        <v>4.2369839199843939E-2</v>
      </c>
      <c r="Z510" s="43">
        <v>360</v>
      </c>
      <c r="AA510" s="43" t="s">
        <v>37</v>
      </c>
      <c r="AB510" s="43" t="s">
        <v>32</v>
      </c>
      <c r="AC510">
        <f t="shared" si="146"/>
        <v>0</v>
      </c>
      <c r="AD510" s="43" t="s">
        <v>31</v>
      </c>
      <c r="AE510">
        <f t="shared" si="147"/>
        <v>1</v>
      </c>
      <c r="AF510" s="34" t="str" cm="1">
        <f t="array" ref="AF510">INDEX(Ratings!$B$2:$M$40,_xlfn.XMATCH(Base!F510,Ratings!$A$2:$A$40),_xlfn.XMATCH(YEAR(Base!K510),Ratings!$B$1:$M$1))</f>
        <v>BBB-</v>
      </c>
      <c r="AG510">
        <f t="shared" si="139"/>
        <v>1</v>
      </c>
      <c r="AH510">
        <f>IFERROR(IFERROR(IFERROR(INDEX('EMBI+'!$B:$B,MATCH(Base!$K510,'EMBI+'!$A:$A,0)),INDEX('EMBI+'!$B:$B,MATCH(Base!$K510+1,'EMBI+'!$A:$A,0))),INDEX('EMBI+'!$B:$B,MATCH(Base!$K510+2,'EMBI+'!$A:$A,0))),INDEX('EMBI+'!$B:$B,MATCH(Base!$K510+3,'EMBI+'!$A:$A,0)))/100</f>
        <v>2.69</v>
      </c>
      <c r="AL510" s="43"/>
      <c r="AM510" s="28"/>
      <c r="AN510" s="28"/>
    </row>
    <row r="511" spans="1:40" x14ac:dyDescent="0.35">
      <c r="A511">
        <f t="shared" si="140"/>
        <v>509</v>
      </c>
      <c r="B511">
        <f>IF(G511="Bonds",COUNTIF($G$3:G511,"Bonds"),0)</f>
        <v>148</v>
      </c>
      <c r="C511" t="str">
        <f t="shared" si="150"/>
        <v>Suzano4299014/07/2026</v>
      </c>
      <c r="D511">
        <f t="shared" si="151"/>
        <v>35</v>
      </c>
      <c r="E511" s="43" t="s">
        <v>596</v>
      </c>
      <c r="F511" s="43" t="s">
        <v>592</v>
      </c>
      <c r="G511" s="43" t="s">
        <v>34</v>
      </c>
      <c r="H511">
        <f t="shared" si="143"/>
        <v>1</v>
      </c>
      <c r="I511" s="43"/>
      <c r="J511" s="34">
        <f t="shared" si="152"/>
        <v>13</v>
      </c>
      <c r="K511" s="28">
        <v>42990</v>
      </c>
      <c r="L511" s="28" t="s">
        <v>602</v>
      </c>
      <c r="M511" s="60">
        <f t="shared" si="144"/>
        <v>8.8410958904109584</v>
      </c>
      <c r="N511" s="4">
        <f t="shared" si="145"/>
        <v>1</v>
      </c>
      <c r="O511" s="43" t="s">
        <v>36</v>
      </c>
      <c r="P511" t="str">
        <f t="shared" si="148"/>
        <v>0</v>
      </c>
      <c r="Q511" s="44"/>
      <c r="R511" s="43"/>
      <c r="S511" s="34">
        <f>IF($V511="USD",INDEX('Dólar Spot'!$B:$B,MATCH(Base!$K511,'Dólar Spot'!$A:$A,0)),"")</f>
        <v>3.1137999999999999</v>
      </c>
      <c r="T511" s="44">
        <v>200000000</v>
      </c>
      <c r="U511" s="8">
        <f t="shared" si="149"/>
        <v>6.2275999999999998</v>
      </c>
      <c r="V511" s="43" t="s">
        <v>651</v>
      </c>
      <c r="W511" s="45" t="s">
        <v>29</v>
      </c>
      <c r="X511" s="46">
        <v>5.75</v>
      </c>
      <c r="Y511" s="9">
        <f>IF(AND(V511="DI",$W511=100),$X511/100,
IF(AND(V511="DI",$W511&lt;&gt;100,$X511=""),INDEX('Debs %CDI'!$Q:$Q,MATCH(Base!$C511,'Debs %CDI'!$A:$A,0)),
IF($V511="USD",INDEX(Bonds!$AF:$AF,MATCH(Base!$C511,Bonds!$B:$B,0)),
IF($V511="IPCA",INDEX('Debs IPCA'!$Z:$Z,MATCH(Base!$C511,'Debs IPCA'!$A:$A,0))))))</f>
        <v>1.6377653273914383E-2</v>
      </c>
      <c r="Z511" s="43">
        <v>360</v>
      </c>
      <c r="AA511" s="43" t="s">
        <v>37</v>
      </c>
      <c r="AB511" s="43" t="s">
        <v>32</v>
      </c>
      <c r="AC511">
        <f t="shared" si="146"/>
        <v>0</v>
      </c>
      <c r="AD511" s="43" t="s">
        <v>32</v>
      </c>
      <c r="AE511">
        <f t="shared" si="147"/>
        <v>0</v>
      </c>
      <c r="AF511" s="34" t="str" cm="1">
        <f t="array" ref="AF511">INDEX(Ratings!$B$2:$M$40,_xlfn.XMATCH(Base!F511,Ratings!$A$2:$A$40),_xlfn.XMATCH(YEAR(Base!K511),Ratings!$B$1:$M$1))</f>
        <v>BB+</v>
      </c>
      <c r="AG511">
        <f t="shared" si="139"/>
        <v>0</v>
      </c>
      <c r="AH511">
        <f>IFERROR(IFERROR(IFERROR(INDEX('EMBI+'!$B:$B,MATCH(Base!$K511,'EMBI+'!$A:$A,0)),INDEX('EMBI+'!$B:$B,MATCH(Base!$K511+1,'EMBI+'!$A:$A,0))),INDEX('EMBI+'!$B:$B,MATCH(Base!$K511+2,'EMBI+'!$A:$A,0))),INDEX('EMBI+'!$B:$B,MATCH(Base!$K511+3,'EMBI+'!$A:$A,0)))/100</f>
        <v>2.6</v>
      </c>
      <c r="AL511" s="43"/>
      <c r="AM511" s="28"/>
      <c r="AN511" s="28"/>
    </row>
    <row r="512" spans="1:40" x14ac:dyDescent="0.35">
      <c r="A512">
        <f t="shared" si="140"/>
        <v>510</v>
      </c>
      <c r="B512">
        <f>IF(G512="Bonds",COUNTIF($G$3:G512,"Bonds"),0)</f>
        <v>149</v>
      </c>
      <c r="C512" t="str">
        <f t="shared" si="150"/>
        <v>Suzano4341316/03/2047</v>
      </c>
      <c r="D512">
        <f t="shared" si="151"/>
        <v>35</v>
      </c>
      <c r="E512" s="43" t="s">
        <v>596</v>
      </c>
      <c r="F512" s="43" t="s">
        <v>592</v>
      </c>
      <c r="G512" s="43" t="s">
        <v>34</v>
      </c>
      <c r="H512">
        <f t="shared" si="143"/>
        <v>1</v>
      </c>
      <c r="I512" s="43"/>
      <c r="J512" s="34">
        <f t="shared" si="152"/>
        <v>14</v>
      </c>
      <c r="K512" s="28">
        <v>43413</v>
      </c>
      <c r="L512" s="28" t="s">
        <v>597</v>
      </c>
      <c r="M512" s="60">
        <f t="shared" si="144"/>
        <v>28.367123287671234</v>
      </c>
      <c r="N512" s="4">
        <f t="shared" si="145"/>
        <v>1</v>
      </c>
      <c r="O512" s="43" t="s">
        <v>36</v>
      </c>
      <c r="P512" t="str">
        <f t="shared" si="148"/>
        <v>0</v>
      </c>
      <c r="Q512" s="44"/>
      <c r="R512" s="43"/>
      <c r="S512" s="34">
        <f>IF($V512="USD",INDEX('Dólar Spot'!$B:$B,MATCH(Base!$K512,'Dólar Spot'!$A:$A,0)),"")</f>
        <v>3.75</v>
      </c>
      <c r="T512" s="44">
        <v>500000000</v>
      </c>
      <c r="U512" s="8">
        <f t="shared" si="149"/>
        <v>18.75</v>
      </c>
      <c r="V512" s="43" t="s">
        <v>651</v>
      </c>
      <c r="W512" s="45" t="s">
        <v>29</v>
      </c>
      <c r="X512" s="46">
        <v>7</v>
      </c>
      <c r="Y512" s="9">
        <f>IF(AND(V512="DI",$W512=100),$X512/100,
IF(AND(V512="DI",$W512&lt;&gt;100,$X512=""),INDEX('Debs %CDI'!$Q:$Q,MATCH(Base!$C512,'Debs %CDI'!$A:$A,0)),
IF($V512="USD",INDEX(Bonds!$AF:$AF,MATCH(Base!$C512,Bonds!$B:$B,0)),
IF($V512="IPCA",INDEX('Debs IPCA'!$Z:$Z,MATCH(Base!$C512,'Debs IPCA'!$A:$A,0))))))</f>
        <v>3.5770224885680824E-2</v>
      </c>
      <c r="Z512" s="43">
        <v>360</v>
      </c>
      <c r="AA512" s="43" t="s">
        <v>37</v>
      </c>
      <c r="AB512" s="43" t="s">
        <v>32</v>
      </c>
      <c r="AC512">
        <f t="shared" si="146"/>
        <v>0</v>
      </c>
      <c r="AD512" s="43" t="s">
        <v>31</v>
      </c>
      <c r="AE512">
        <f t="shared" si="147"/>
        <v>1</v>
      </c>
      <c r="AF512" s="34" t="str" cm="1">
        <f t="array" ref="AF512">INDEX(Ratings!$B$2:$M$40,_xlfn.XMATCH(Base!F512,Ratings!$A$2:$A$40),_xlfn.XMATCH(YEAR(Base!K512),Ratings!$B$1:$M$1))</f>
        <v>BBB-</v>
      </c>
      <c r="AG512">
        <f t="shared" si="139"/>
        <v>1</v>
      </c>
      <c r="AH512">
        <f>IFERROR(IFERROR(IFERROR(INDEX('EMBI+'!$B:$B,MATCH(Base!$K512,'EMBI+'!$A:$A,0)),INDEX('EMBI+'!$B:$B,MATCH(Base!$K512+1,'EMBI+'!$A:$A,0))),INDEX('EMBI+'!$B:$B,MATCH(Base!$K512+2,'EMBI+'!$A:$A,0))),INDEX('EMBI+'!$B:$B,MATCH(Base!$K512+3,'EMBI+'!$A:$A,0)))/100</f>
        <v>2.54</v>
      </c>
      <c r="AL512" s="43"/>
      <c r="AM512" s="28"/>
      <c r="AN512" s="28"/>
    </row>
    <row r="513" spans="1:40" x14ac:dyDescent="0.35">
      <c r="A513">
        <f t="shared" si="140"/>
        <v>511</v>
      </c>
      <c r="B513">
        <f>IF(G513="Bonds",COUNTIF($G$3:G513,"Bonds"),0)</f>
        <v>150</v>
      </c>
      <c r="C513" t="str">
        <f t="shared" si="150"/>
        <v>Suzano4299016/03/2047</v>
      </c>
      <c r="D513">
        <f t="shared" si="151"/>
        <v>35</v>
      </c>
      <c r="E513" s="43" t="s">
        <v>596</v>
      </c>
      <c r="F513" s="43" t="s">
        <v>592</v>
      </c>
      <c r="G513" s="43" t="s">
        <v>34</v>
      </c>
      <c r="H513">
        <f t="shared" si="143"/>
        <v>1</v>
      </c>
      <c r="I513" s="43"/>
      <c r="J513" s="34">
        <f t="shared" si="152"/>
        <v>15</v>
      </c>
      <c r="K513" s="28">
        <v>42990</v>
      </c>
      <c r="L513" s="28" t="s">
        <v>597</v>
      </c>
      <c r="M513" s="60">
        <f t="shared" si="144"/>
        <v>29.526027397260275</v>
      </c>
      <c r="N513" s="4">
        <f t="shared" si="145"/>
        <v>1</v>
      </c>
      <c r="O513" s="43" t="s">
        <v>36</v>
      </c>
      <c r="P513" t="str">
        <f t="shared" si="148"/>
        <v>0</v>
      </c>
      <c r="Q513" s="44"/>
      <c r="R513" s="43"/>
      <c r="S513" s="34">
        <f>IF($V513="USD",INDEX('Dólar Spot'!$B:$B,MATCH(Base!$K513,'Dólar Spot'!$A:$A,0)),"")</f>
        <v>3.1137999999999999</v>
      </c>
      <c r="T513" s="44">
        <v>200000000</v>
      </c>
      <c r="U513" s="8">
        <f t="shared" si="149"/>
        <v>6.2275999999999998</v>
      </c>
      <c r="V513" s="43" t="s">
        <v>651</v>
      </c>
      <c r="W513" s="45" t="s">
        <v>29</v>
      </c>
      <c r="X513" s="46">
        <v>7</v>
      </c>
      <c r="Y513" s="9">
        <f>IF(AND(V513="DI",$W513=100),$X513/100,
IF(AND(V513="DI",$W513&lt;&gt;100,$X513=""),INDEX('Debs %CDI'!$Q:$Q,MATCH(Base!$C513,'Debs %CDI'!$A:$A,0)),
IF($V513="USD",INDEX(Bonds!$AF:$AF,MATCH(Base!$C513,Bonds!$B:$B,0)),
IF($V513="IPCA",INDEX('Debs IPCA'!$Z:$Z,MATCH(Base!$C513,'Debs IPCA'!$A:$A,0))))))</f>
        <v>3.4534885764128553E-2</v>
      </c>
      <c r="Z513" s="43">
        <v>360</v>
      </c>
      <c r="AA513" s="43" t="s">
        <v>37</v>
      </c>
      <c r="AB513" s="43" t="s">
        <v>32</v>
      </c>
      <c r="AC513">
        <f t="shared" si="146"/>
        <v>0</v>
      </c>
      <c r="AD513" s="43" t="s">
        <v>32</v>
      </c>
      <c r="AE513">
        <f t="shared" si="147"/>
        <v>0</v>
      </c>
      <c r="AF513" s="34" t="str" cm="1">
        <f t="array" ref="AF513">INDEX(Ratings!$B$2:$M$40,_xlfn.XMATCH(Base!F513,Ratings!$A$2:$A$40),_xlfn.XMATCH(YEAR(Base!K513),Ratings!$B$1:$M$1))</f>
        <v>BB+</v>
      </c>
      <c r="AG513">
        <f t="shared" si="139"/>
        <v>0</v>
      </c>
      <c r="AH513">
        <f>IFERROR(IFERROR(IFERROR(INDEX('EMBI+'!$B:$B,MATCH(Base!$K513,'EMBI+'!$A:$A,0)),INDEX('EMBI+'!$B:$B,MATCH(Base!$K513+1,'EMBI+'!$A:$A,0))),INDEX('EMBI+'!$B:$B,MATCH(Base!$K513+2,'EMBI+'!$A:$A,0))),INDEX('EMBI+'!$B:$B,MATCH(Base!$K513+3,'EMBI+'!$A:$A,0)))/100</f>
        <v>2.6</v>
      </c>
      <c r="AL513" s="43"/>
      <c r="AM513" s="28"/>
      <c r="AN513" s="28"/>
    </row>
    <row r="514" spans="1:40" x14ac:dyDescent="0.35">
      <c r="A514">
        <f t="shared" si="140"/>
        <v>512</v>
      </c>
      <c r="B514">
        <f>IF(G514="Bonds",COUNTIF($G$3:G514,"Bonds"),0)</f>
        <v>151</v>
      </c>
      <c r="C514" t="str">
        <f t="shared" si="150"/>
        <v>Suzano4336315/01/2029</v>
      </c>
      <c r="D514">
        <f t="shared" si="151"/>
        <v>35</v>
      </c>
      <c r="E514" s="43" t="s">
        <v>596</v>
      </c>
      <c r="F514" s="43" t="s">
        <v>592</v>
      </c>
      <c r="G514" s="43" t="s">
        <v>34</v>
      </c>
      <c r="H514">
        <f t="shared" si="143"/>
        <v>1</v>
      </c>
      <c r="I514" s="43"/>
      <c r="J514" s="34">
        <f t="shared" si="152"/>
        <v>16</v>
      </c>
      <c r="K514" s="28">
        <v>43363</v>
      </c>
      <c r="L514" s="28" t="s">
        <v>598</v>
      </c>
      <c r="M514" s="60">
        <f t="shared" si="144"/>
        <v>10.328767123287671</v>
      </c>
      <c r="N514" s="4">
        <f t="shared" si="145"/>
        <v>1</v>
      </c>
      <c r="O514" s="43" t="s">
        <v>36</v>
      </c>
      <c r="P514" t="str">
        <f t="shared" si="148"/>
        <v>0</v>
      </c>
      <c r="Q514" s="44"/>
      <c r="R514" s="43"/>
      <c r="S514" s="34">
        <f>IF($V514="USD",INDEX('Dólar Spot'!$B:$B,MATCH(Base!$K514,'Dólar Spot'!$A:$A,0)),"")</f>
        <v>4.0991</v>
      </c>
      <c r="T514" s="44">
        <v>1000000000</v>
      </c>
      <c r="U514" s="8">
        <f t="shared" si="149"/>
        <v>40.991</v>
      </c>
      <c r="V514" s="43" t="s">
        <v>651</v>
      </c>
      <c r="W514" s="45" t="s">
        <v>29</v>
      </c>
      <c r="X514" s="46">
        <v>6</v>
      </c>
      <c r="Y514" s="9">
        <f>IF(AND(V514="DI",$W514=100),$X514/100,
IF(AND(V514="DI",$W514&lt;&gt;100,$X514=""),INDEX('Debs %CDI'!$Q:$Q,MATCH(Base!$C514,'Debs %CDI'!$A:$A,0)),
IF($V514="USD",INDEX(Bonds!$AF:$AF,MATCH(Base!$C514,Bonds!$B:$B,0)),
IF($V514="IPCA",INDEX('Debs IPCA'!$Z:$Z,MATCH(Base!$C514,'Debs IPCA'!$A:$A,0))))))</f>
        <v>1.3286814777627276E-2</v>
      </c>
      <c r="Z514" s="43">
        <v>360</v>
      </c>
      <c r="AA514" s="43" t="s">
        <v>37</v>
      </c>
      <c r="AB514" s="43" t="s">
        <v>32</v>
      </c>
      <c r="AC514">
        <f t="shared" si="146"/>
        <v>0</v>
      </c>
      <c r="AD514" s="43" t="s">
        <v>31</v>
      </c>
      <c r="AE514">
        <f t="shared" si="147"/>
        <v>1</v>
      </c>
      <c r="AF514" s="34" t="str" cm="1">
        <f t="array" ref="AF514">INDEX(Ratings!$B$2:$M$40,_xlfn.XMATCH(Base!F514,Ratings!$A$2:$A$40),_xlfn.XMATCH(YEAR(Base!K514),Ratings!$B$1:$M$1))</f>
        <v>BBB-</v>
      </c>
      <c r="AG514">
        <f t="shared" si="139"/>
        <v>1</v>
      </c>
      <c r="AH514">
        <f>IFERROR(IFERROR(IFERROR(INDEX('EMBI+'!$B:$B,MATCH(Base!$K514,'EMBI+'!$A:$A,0)),INDEX('EMBI+'!$B:$B,MATCH(Base!$K514+1,'EMBI+'!$A:$A,0))),INDEX('EMBI+'!$B:$B,MATCH(Base!$K514+2,'EMBI+'!$A:$A,0))),INDEX('EMBI+'!$B:$B,MATCH(Base!$K514+3,'EMBI+'!$A:$A,0)))/100</f>
        <v>3.09</v>
      </c>
      <c r="AL514" s="43"/>
      <c r="AM514" s="28"/>
      <c r="AN514" s="28"/>
    </row>
    <row r="515" spans="1:40" x14ac:dyDescent="0.35">
      <c r="A515">
        <f t="shared" si="140"/>
        <v>513</v>
      </c>
      <c r="B515">
        <f>IF(G515="Bonds",COUNTIF($G$3:G515,"Bonds"),0)</f>
        <v>152</v>
      </c>
      <c r="C515" t="str">
        <f t="shared" si="150"/>
        <v>Suzano4350115/01/2029</v>
      </c>
      <c r="D515">
        <f t="shared" si="151"/>
        <v>35</v>
      </c>
      <c r="E515" s="43" t="s">
        <v>596</v>
      </c>
      <c r="F515" s="43" t="s">
        <v>592</v>
      </c>
      <c r="G515" s="43" t="s">
        <v>34</v>
      </c>
      <c r="H515">
        <f t="shared" si="143"/>
        <v>1</v>
      </c>
      <c r="I515" s="43"/>
      <c r="J515" s="34">
        <f t="shared" si="152"/>
        <v>17</v>
      </c>
      <c r="K515" s="28">
        <v>43501</v>
      </c>
      <c r="L515" s="28" t="s">
        <v>598</v>
      </c>
      <c r="M515" s="60">
        <f t="shared" si="144"/>
        <v>9.9506849315068493</v>
      </c>
      <c r="N515" s="4">
        <f t="shared" si="145"/>
        <v>1</v>
      </c>
      <c r="O515" s="43" t="s">
        <v>36</v>
      </c>
      <c r="P515" t="str">
        <f t="shared" si="148"/>
        <v>0</v>
      </c>
      <c r="Q515" s="44"/>
      <c r="R515" s="43"/>
      <c r="S515" s="34">
        <f>IF($V515="USD",INDEX('Dólar Spot'!$B:$B,MATCH(Base!$K515,'Dólar Spot'!$A:$A,0)),"")</f>
        <v>3.6735000000000002</v>
      </c>
      <c r="T515" s="44">
        <v>750000000</v>
      </c>
      <c r="U515" s="8">
        <f t="shared" si="149"/>
        <v>27.55125</v>
      </c>
      <c r="V515" s="43" t="s">
        <v>651</v>
      </c>
      <c r="W515" s="45" t="s">
        <v>29</v>
      </c>
      <c r="X515" s="46">
        <v>6</v>
      </c>
      <c r="Y515" s="9">
        <f>IF(AND(V515="DI",$W515=100),$X515/100,
IF(AND(V515="DI",$W515&lt;&gt;100,$X515=""),INDEX('Debs %CDI'!$Q:$Q,MATCH(Base!$C515,'Debs %CDI'!$A:$A,0)),
IF($V515="USD",INDEX(Bonds!$AF:$AF,MATCH(Base!$C515,Bonds!$B:$B,0)),
IF($V515="IPCA",INDEX('Debs IPCA'!$Z:$Z,MATCH(Base!$C515,'Debs IPCA'!$A:$A,0))))))</f>
        <v>2.2161454320951623E-2</v>
      </c>
      <c r="Z515" s="43">
        <v>360</v>
      </c>
      <c r="AA515" s="43" t="s">
        <v>37</v>
      </c>
      <c r="AB515" s="43" t="s">
        <v>32</v>
      </c>
      <c r="AC515">
        <f t="shared" si="146"/>
        <v>0</v>
      </c>
      <c r="AD515" s="43" t="s">
        <v>31</v>
      </c>
      <c r="AE515">
        <f t="shared" si="147"/>
        <v>1</v>
      </c>
      <c r="AF515" s="34" t="str" cm="1">
        <f t="array" ref="AF515">INDEX(Ratings!$B$2:$M$40,_xlfn.XMATCH(Base!F515,Ratings!$A$2:$A$40),_xlfn.XMATCH(YEAR(Base!K515),Ratings!$B$1:$M$1))</f>
        <v>BBB-</v>
      </c>
      <c r="AG515">
        <f t="shared" si="139"/>
        <v>1</v>
      </c>
      <c r="AH515">
        <f>IFERROR(IFERROR(IFERROR(INDEX('EMBI+'!$B:$B,MATCH(Base!$K515,'EMBI+'!$A:$A,0)),INDEX('EMBI+'!$B:$B,MATCH(Base!$K515+1,'EMBI+'!$A:$A,0))),INDEX('EMBI+'!$B:$B,MATCH(Base!$K515+2,'EMBI+'!$A:$A,0))),INDEX('EMBI+'!$B:$B,MATCH(Base!$K515+3,'EMBI+'!$A:$A,0)))/100</f>
        <v>2.3199999999999998</v>
      </c>
      <c r="AL515" s="43"/>
      <c r="AM515" s="28"/>
      <c r="AN515" s="28"/>
    </row>
    <row r="516" spans="1:40" x14ac:dyDescent="0.35">
      <c r="A516">
        <f t="shared" si="140"/>
        <v>514</v>
      </c>
      <c r="B516">
        <f>IF(G516="Bonds",COUNTIF($G$3:G516,"Bonds"),0)</f>
        <v>0</v>
      </c>
      <c r="C516" t="str">
        <f t="shared" si="150"/>
        <v>Ultrapar4098442079</v>
      </c>
      <c r="D516">
        <f t="shared" si="151"/>
        <v>36</v>
      </c>
      <c r="E516" s="43" t="s">
        <v>603</v>
      </c>
      <c r="F516" s="43" t="s">
        <v>604</v>
      </c>
      <c r="G516" s="43" t="s">
        <v>25</v>
      </c>
      <c r="H516">
        <f t="shared" si="143"/>
        <v>0</v>
      </c>
      <c r="I516" s="43" t="s">
        <v>605</v>
      </c>
      <c r="J516" s="34">
        <f t="shared" si="152"/>
        <v>1</v>
      </c>
      <c r="K516" s="28">
        <v>40984</v>
      </c>
      <c r="L516" s="28">
        <v>42079</v>
      </c>
      <c r="M516" s="60">
        <f t="shared" si="144"/>
        <v>3</v>
      </c>
      <c r="N516" s="4">
        <f t="shared" si="145"/>
        <v>0</v>
      </c>
      <c r="O516" s="43" t="s">
        <v>44</v>
      </c>
      <c r="P516" t="str">
        <f t="shared" si="148"/>
        <v>0</v>
      </c>
      <c r="Q516" s="44">
        <v>800</v>
      </c>
      <c r="R516" s="43">
        <v>1000000</v>
      </c>
      <c r="S516" s="34" t="str">
        <f>IF($V516="USD",INDEX('Dólar Spot'!$B:$B,MATCH(Base!$K516,'Dólar Spot'!$A:$A,0)),"")</f>
        <v/>
      </c>
      <c r="T516" s="44">
        <f>Q516*R516</f>
        <v>800000000</v>
      </c>
      <c r="U516" s="8">
        <f t="shared" si="149"/>
        <v>8</v>
      </c>
      <c r="V516" s="43" t="s">
        <v>41</v>
      </c>
      <c r="W516" s="45">
        <v>108.25</v>
      </c>
      <c r="X516" s="46"/>
      <c r="Y516" s="9">
        <f>IF(AND(V516="DI",$W516=100),$X516/100,
IF(AND(V516="DI",$W516&lt;&gt;100,$X516=""),INDEX('Debs %CDI'!$Q:$Q,MATCH(Base!$C516,'Debs %CDI'!$A:$A,0)),
IF($V516="USD",INDEX(Bonds!$AF:$AF,MATCH(Base!$C516,Bonds!$B:$B,0)),
IF($V516="IPCA",INDEX('Debs IPCA'!$Z:$Z,MATCH(Base!$C516,'Debs IPCA'!$A:$A,0))))))</f>
        <v>8.52775741801645E-3</v>
      </c>
      <c r="Z516" s="43">
        <v>252</v>
      </c>
      <c r="AA516" s="43" t="s">
        <v>30</v>
      </c>
      <c r="AB516" s="43" t="s">
        <v>32</v>
      </c>
      <c r="AC516">
        <f t="shared" si="146"/>
        <v>0</v>
      </c>
      <c r="AD516" s="43" t="s">
        <v>31</v>
      </c>
      <c r="AE516">
        <f t="shared" si="147"/>
        <v>1</v>
      </c>
      <c r="AF516" s="34" t="str" cm="1">
        <f t="array" ref="AF516">INDEX(Ratings!$B$2:$M$40,_xlfn.XMATCH(Base!F516,Ratings!$A$2:$A$40),_xlfn.XMATCH(YEAR(Base!K516),Ratings!$B$1:$M$1))</f>
        <v>BBB-</v>
      </c>
      <c r="AG516">
        <f t="shared" ref="AG516:AG557" si="153">IF(AND(AF516&lt;&gt;"BBB-",AF516&lt;&gt;"BBB",AF516&lt;&gt;"BBB+"),0,1)</f>
        <v>1</v>
      </c>
      <c r="AH516">
        <f>IFERROR(IFERROR(IFERROR(INDEX('EMBI+'!$B:$B,MATCH(Base!$K516,'EMBI+'!$A:$A,0)),INDEX('EMBI+'!$B:$B,MATCH(Base!$K516+1,'EMBI+'!$A:$A,0))),INDEX('EMBI+'!$B:$B,MATCH(Base!$K516+2,'EMBI+'!$A:$A,0))),INDEX('EMBI+'!$B:$B,MATCH(Base!$K516+3,'EMBI+'!$A:$A,0)))/100</f>
        <v>1.71</v>
      </c>
      <c r="AL516" s="43"/>
      <c r="AM516" s="28"/>
      <c r="AN516" s="28"/>
    </row>
    <row r="517" spans="1:40" x14ac:dyDescent="0.35">
      <c r="A517">
        <f t="shared" si="140"/>
        <v>515</v>
      </c>
      <c r="B517">
        <f>IF(G517="Bonds",COUNTIF($G$3:G517,"Bonds"),0)</f>
        <v>0</v>
      </c>
      <c r="C517" t="str">
        <f t="shared" si="150"/>
        <v>Ultrapar4207943175</v>
      </c>
      <c r="D517">
        <f t="shared" si="151"/>
        <v>36</v>
      </c>
      <c r="E517" s="43" t="s">
        <v>603</v>
      </c>
      <c r="F517" s="43" t="s">
        <v>604</v>
      </c>
      <c r="G517" s="43" t="s">
        <v>25</v>
      </c>
      <c r="H517">
        <f t="shared" si="143"/>
        <v>0</v>
      </c>
      <c r="I517" s="43" t="s">
        <v>606</v>
      </c>
      <c r="J517" s="34">
        <f t="shared" si="152"/>
        <v>2</v>
      </c>
      <c r="K517" s="28">
        <v>42079</v>
      </c>
      <c r="L517" s="28">
        <v>43175</v>
      </c>
      <c r="M517" s="60">
        <f t="shared" si="144"/>
        <v>3.0027397260273974</v>
      </c>
      <c r="N517" s="4">
        <f t="shared" si="145"/>
        <v>0</v>
      </c>
      <c r="O517" s="43" t="s">
        <v>44</v>
      </c>
      <c r="P517" t="str">
        <f t="shared" si="148"/>
        <v>0</v>
      </c>
      <c r="Q517" s="44">
        <v>80000</v>
      </c>
      <c r="R517" s="43">
        <v>10000</v>
      </c>
      <c r="S517" s="34" t="str">
        <f>IF($V517="USD",INDEX('Dólar Spot'!$B:$B,MATCH(Base!$K517,'Dólar Spot'!$A:$A,0)),"")</f>
        <v/>
      </c>
      <c r="T517" s="44">
        <f>Q517*R517</f>
        <v>800000000</v>
      </c>
      <c r="U517" s="8">
        <f t="shared" si="149"/>
        <v>8</v>
      </c>
      <c r="V517" s="43" t="s">
        <v>41</v>
      </c>
      <c r="W517" s="45">
        <v>108.25</v>
      </c>
      <c r="X517" s="46"/>
      <c r="Y517" s="9">
        <f>IF(AND(V517="DI",$W517=100),$X517/100,
IF(AND(V517="DI",$W517&lt;&gt;100,$X517=""),INDEX('Debs %CDI'!$Q:$Q,MATCH(Base!$C517,'Debs %CDI'!$A:$A,0)),
IF($V517="USD",INDEX(Bonds!$AF:$AF,MATCH(Base!$C517,Bonds!$B:$B,0)),
IF($V517="IPCA",INDEX('Debs IPCA'!$Z:$Z,MATCH(Base!$C517,'Debs IPCA'!$A:$A,0))))))</f>
        <v>1.1199780455757058E-2</v>
      </c>
      <c r="Z517" s="43">
        <v>252</v>
      </c>
      <c r="AA517" s="43" t="s">
        <v>30</v>
      </c>
      <c r="AB517" s="43" t="s">
        <v>32</v>
      </c>
      <c r="AC517">
        <f t="shared" si="146"/>
        <v>0</v>
      </c>
      <c r="AD517" s="43" t="s">
        <v>31</v>
      </c>
      <c r="AE517">
        <f t="shared" si="147"/>
        <v>1</v>
      </c>
      <c r="AF517" s="34" t="str" cm="1">
        <f t="array" ref="AF517">INDEX(Ratings!$B$2:$M$40,_xlfn.XMATCH(Base!F517,Ratings!$A$2:$A$40),_xlfn.XMATCH(YEAR(Base!K517),Ratings!$B$1:$M$1))</f>
        <v>BBB</v>
      </c>
      <c r="AG517">
        <f t="shared" si="153"/>
        <v>1</v>
      </c>
      <c r="AH517">
        <f>IFERROR(IFERROR(IFERROR(INDEX('EMBI+'!$B:$B,MATCH(Base!$K517,'EMBI+'!$A:$A,0)),INDEX('EMBI+'!$B:$B,MATCH(Base!$K517+1,'EMBI+'!$A:$A,0))),INDEX('EMBI+'!$B:$B,MATCH(Base!$K517+2,'EMBI+'!$A:$A,0))),INDEX('EMBI+'!$B:$B,MATCH(Base!$K517+3,'EMBI+'!$A:$A,0)))/100</f>
        <v>3.44</v>
      </c>
      <c r="AL517" s="43"/>
      <c r="AM517" s="28"/>
      <c r="AN517" s="28"/>
    </row>
    <row r="518" spans="1:40" x14ac:dyDescent="0.35">
      <c r="A518">
        <f t="shared" si="140"/>
        <v>516</v>
      </c>
      <c r="B518">
        <f>IF(G518="Bonds",COUNTIF($G$3:G518,"Bonds"),0)</f>
        <v>0</v>
      </c>
      <c r="C518" t="str">
        <f t="shared" si="150"/>
        <v>Ultrapar4316444990</v>
      </c>
      <c r="D518">
        <f t="shared" si="151"/>
        <v>36</v>
      </c>
      <c r="E518" s="43" t="s">
        <v>603</v>
      </c>
      <c r="F518" s="43" t="s">
        <v>604</v>
      </c>
      <c r="G518" s="43" t="s">
        <v>25</v>
      </c>
      <c r="H518">
        <f t="shared" si="143"/>
        <v>0</v>
      </c>
      <c r="I518" s="43" t="s">
        <v>607</v>
      </c>
      <c r="J518" s="34">
        <f t="shared" si="152"/>
        <v>3</v>
      </c>
      <c r="K518" s="28">
        <v>43164</v>
      </c>
      <c r="L518" s="28">
        <v>44990</v>
      </c>
      <c r="M518" s="60">
        <f t="shared" si="144"/>
        <v>5.0027397260273974</v>
      </c>
      <c r="N518" s="4">
        <f t="shared" si="145"/>
        <v>1</v>
      </c>
      <c r="O518" s="43" t="s">
        <v>44</v>
      </c>
      <c r="P518" t="str">
        <f t="shared" si="148"/>
        <v>0</v>
      </c>
      <c r="Q518" s="44">
        <v>1725000</v>
      </c>
      <c r="R518" s="43">
        <v>1000</v>
      </c>
      <c r="S518" s="34" t="str">
        <f>IF($V518="USD",INDEX('Dólar Spot'!$B:$B,MATCH(Base!$K518,'Dólar Spot'!$A:$A,0)),"")</f>
        <v/>
      </c>
      <c r="T518" s="44">
        <f>Q518*R518</f>
        <v>1725000000</v>
      </c>
      <c r="U518" s="8">
        <f t="shared" si="149"/>
        <v>17.25</v>
      </c>
      <c r="V518" s="43" t="s">
        <v>41</v>
      </c>
      <c r="W518" s="45">
        <v>105.25</v>
      </c>
      <c r="X518" s="46"/>
      <c r="Y518" s="9">
        <f>IF(AND(V518="DI",$W518=100),$X518/100,
IF(AND(V518="DI",$W518&lt;&gt;100,$X518=""),INDEX('Debs %CDI'!$Q:$Q,MATCH(Base!$C518,'Debs %CDI'!$A:$A,0)),
IF($V518="USD",INDEX(Bonds!$AF:$AF,MATCH(Base!$C518,Bonds!$B:$B,0)),
IF($V518="IPCA",INDEX('Debs IPCA'!$Z:$Z,MATCH(Base!$C518,'Debs IPCA'!$A:$A,0))))))</f>
        <v>4.8186262296113719E-3</v>
      </c>
      <c r="Z518" s="43">
        <v>252</v>
      </c>
      <c r="AA518" s="43" t="s">
        <v>30</v>
      </c>
      <c r="AB518" s="43" t="s">
        <v>32</v>
      </c>
      <c r="AC518">
        <f t="shared" si="146"/>
        <v>0</v>
      </c>
      <c r="AD518" s="43" t="s">
        <v>31</v>
      </c>
      <c r="AE518">
        <f t="shared" si="147"/>
        <v>1</v>
      </c>
      <c r="AF518" s="34" t="str" cm="1">
        <f t="array" ref="AF518">INDEX(Ratings!$B$2:$M$40,_xlfn.XMATCH(Base!F518,Ratings!$A$2:$A$40),_xlfn.XMATCH(YEAR(Base!K518),Ratings!$B$1:$M$1))</f>
        <v>BB+</v>
      </c>
      <c r="AG518">
        <f t="shared" si="153"/>
        <v>0</v>
      </c>
      <c r="AH518">
        <f>IFERROR(IFERROR(IFERROR(INDEX('EMBI+'!$B:$B,MATCH(Base!$K518,'EMBI+'!$A:$A,0)),INDEX('EMBI+'!$B:$B,MATCH(Base!$K518+1,'EMBI+'!$A:$A,0))),INDEX('EMBI+'!$B:$B,MATCH(Base!$K518+2,'EMBI+'!$A:$A,0))),INDEX('EMBI+'!$B:$B,MATCH(Base!$K518+3,'EMBI+'!$A:$A,0)))/100</f>
        <v>2.37</v>
      </c>
      <c r="AL518" s="43"/>
      <c r="AM518" s="28"/>
      <c r="AN518" s="28"/>
    </row>
    <row r="519" spans="1:40" x14ac:dyDescent="0.35">
      <c r="A519">
        <f t="shared" si="140"/>
        <v>517</v>
      </c>
      <c r="B519">
        <f>IF(G519="Bonds",COUNTIF($G$3:G519,"Bonds"),0)</f>
        <v>153</v>
      </c>
      <c r="C519" t="str">
        <f t="shared" si="150"/>
        <v>Ultrapar4362206/06/2029</v>
      </c>
      <c r="D519">
        <f t="shared" si="151"/>
        <v>36</v>
      </c>
      <c r="E519" s="43" t="s">
        <v>608</v>
      </c>
      <c r="F519" s="43" t="s">
        <v>604</v>
      </c>
      <c r="G519" s="43" t="s">
        <v>34</v>
      </c>
      <c r="H519">
        <f t="shared" si="143"/>
        <v>1</v>
      </c>
      <c r="I519" s="43"/>
      <c r="J519" s="34">
        <f t="shared" si="152"/>
        <v>4</v>
      </c>
      <c r="K519" s="28">
        <v>43622</v>
      </c>
      <c r="L519" s="28" t="s">
        <v>609</v>
      </c>
      <c r="M519" s="60">
        <f t="shared" si="144"/>
        <v>10.008219178082191</v>
      </c>
      <c r="N519" s="4">
        <f t="shared" si="145"/>
        <v>1</v>
      </c>
      <c r="O519" s="43" t="s">
        <v>36</v>
      </c>
      <c r="P519" t="str">
        <f t="shared" si="148"/>
        <v>0</v>
      </c>
      <c r="Q519" s="43"/>
      <c r="R519" s="43"/>
      <c r="S519" s="34">
        <f>IF($V519="USD",INDEX('Dólar Spot'!$B:$B,MATCH(Base!$K519,'Dólar Spot'!$A:$A,0)),"")</f>
        <v>3.8719999999999999</v>
      </c>
      <c r="T519" s="44">
        <v>500000000</v>
      </c>
      <c r="U519" s="8">
        <f t="shared" si="149"/>
        <v>19.36</v>
      </c>
      <c r="V519" s="43" t="s">
        <v>651</v>
      </c>
      <c r="W519" s="45" t="s">
        <v>29</v>
      </c>
      <c r="X519" s="53">
        <v>5.25</v>
      </c>
      <c r="Y519" s="9">
        <f>IF(AND(V519="DI",$W519=100),$X519/100,
IF(AND(V519="DI",$W519&lt;&gt;100,$X519=""),INDEX('Debs %CDI'!$Q:$Q,MATCH(Base!$C519,'Debs %CDI'!$A:$A,0)),
IF($V519="USD",INDEX(Bonds!$AF:$AF,MATCH(Base!$C519,Bonds!$B:$B,0)),
IF($V519="IPCA",INDEX('Debs IPCA'!$Z:$Z,MATCH(Base!$C519,'Debs IPCA'!$A:$A,0))))))</f>
        <v>2.0824236100700722E-2</v>
      </c>
      <c r="Z519" s="43">
        <v>360</v>
      </c>
      <c r="AA519" s="43" t="s">
        <v>37</v>
      </c>
      <c r="AB519" s="43" t="s">
        <v>32</v>
      </c>
      <c r="AC519">
        <f t="shared" si="146"/>
        <v>0</v>
      </c>
      <c r="AD519" s="43" t="s">
        <v>32</v>
      </c>
      <c r="AE519">
        <f t="shared" si="147"/>
        <v>0</v>
      </c>
      <c r="AF519" s="34" t="str" cm="1">
        <f t="array" ref="AF519">INDEX(Ratings!$B$2:$M$40,_xlfn.XMATCH(Base!F519,Ratings!$A$2:$A$40),_xlfn.XMATCH(YEAR(Base!K519),Ratings!$B$1:$M$1))</f>
        <v>BB+</v>
      </c>
      <c r="AG519">
        <f t="shared" si="153"/>
        <v>0</v>
      </c>
      <c r="AH519">
        <f>IFERROR(IFERROR(IFERROR(INDEX('EMBI+'!$B:$B,MATCH(Base!$K519,'EMBI+'!$A:$A,0)),INDEX('EMBI+'!$B:$B,MATCH(Base!$K519+1,'EMBI+'!$A:$A,0))),INDEX('EMBI+'!$B:$B,MATCH(Base!$K519+2,'EMBI+'!$A:$A,0))),INDEX('EMBI+'!$B:$B,MATCH(Base!$K519+3,'EMBI+'!$A:$A,0)))/100</f>
        <v>2.5499999999999998</v>
      </c>
      <c r="AL519" s="43"/>
      <c r="AM519" s="28"/>
      <c r="AN519" s="28"/>
    </row>
    <row r="520" spans="1:40" x14ac:dyDescent="0.35">
      <c r="A520">
        <f t="shared" si="140"/>
        <v>518</v>
      </c>
      <c r="B520">
        <f>IF(G520="Bonds",COUNTIF($G$3:G520,"Bonds"),0)</f>
        <v>154</v>
      </c>
      <c r="C520" t="str">
        <f t="shared" si="150"/>
        <v>Ultrapar4264906/10/2026</v>
      </c>
      <c r="D520">
        <f t="shared" si="151"/>
        <v>36</v>
      </c>
      <c r="E520" s="43" t="s">
        <v>608</v>
      </c>
      <c r="F520" s="43" t="s">
        <v>604</v>
      </c>
      <c r="G520" s="43" t="s">
        <v>34</v>
      </c>
      <c r="H520">
        <f t="shared" si="143"/>
        <v>1</v>
      </c>
      <c r="I520" s="43"/>
      <c r="J520" s="34">
        <f t="shared" si="152"/>
        <v>5</v>
      </c>
      <c r="K520" s="28">
        <v>42649</v>
      </c>
      <c r="L520" s="28" t="s">
        <v>610</v>
      </c>
      <c r="M520" s="60">
        <f t="shared" si="144"/>
        <v>10.005479452054795</v>
      </c>
      <c r="N520" s="4">
        <f t="shared" si="145"/>
        <v>1</v>
      </c>
      <c r="O520" s="43" t="s">
        <v>36</v>
      </c>
      <c r="P520" t="str">
        <f t="shared" si="148"/>
        <v>0</v>
      </c>
      <c r="Q520" s="43"/>
      <c r="R520" s="43"/>
      <c r="S520" s="34">
        <f>IF($V520="USD",INDEX('Dólar Spot'!$B:$B,MATCH(Base!$K520,'Dólar Spot'!$A:$A,0)),"")</f>
        <v>3.2303999999999999</v>
      </c>
      <c r="T520" s="44">
        <v>750000000</v>
      </c>
      <c r="U520" s="8">
        <f t="shared" si="149"/>
        <v>24.228000000000002</v>
      </c>
      <c r="V520" s="43" t="s">
        <v>651</v>
      </c>
      <c r="W520" s="45" t="s">
        <v>29</v>
      </c>
      <c r="X520" s="53">
        <v>5.25</v>
      </c>
      <c r="Y520" s="9">
        <f>IF(AND(V520="DI",$W520=100),$X520/100,
IF(AND(V520="DI",$W520&lt;&gt;100,$X520=""),INDEX('Debs %CDI'!$Q:$Q,MATCH(Base!$C520,'Debs %CDI'!$A:$A,0)),
IF($V520="USD",INDEX(Bonds!$AF:$AF,MATCH(Base!$C520,Bonds!$B:$B,0)),
IF($V520="IPCA",INDEX('Debs IPCA'!$Z:$Z,MATCH(Base!$C520,'Debs IPCA'!$A:$A,0))))))</f>
        <v>8.3817677559336889E-3</v>
      </c>
      <c r="Z520" s="43">
        <v>360</v>
      </c>
      <c r="AA520" s="43" t="s">
        <v>37</v>
      </c>
      <c r="AB520" s="43" t="s">
        <v>32</v>
      </c>
      <c r="AC520">
        <f t="shared" si="146"/>
        <v>0</v>
      </c>
      <c r="AD520" s="43" t="s">
        <v>32</v>
      </c>
      <c r="AE520">
        <f t="shared" si="147"/>
        <v>0</v>
      </c>
      <c r="AF520" s="34" t="str" cm="1">
        <f t="array" ref="AF520">INDEX(Ratings!$B$2:$M$40,_xlfn.XMATCH(Base!F520,Ratings!$A$2:$A$40),_xlfn.XMATCH(YEAR(Base!K520),Ratings!$B$1:$M$1))</f>
        <v>BB+</v>
      </c>
      <c r="AG520">
        <f t="shared" si="153"/>
        <v>0</v>
      </c>
      <c r="AH520">
        <f>IFERROR(IFERROR(IFERROR(INDEX('EMBI+'!$B:$B,MATCH(Base!$K520,'EMBI+'!$A:$A,0)),INDEX('EMBI+'!$B:$B,MATCH(Base!$K520+1,'EMBI+'!$A:$A,0))),INDEX('EMBI+'!$B:$B,MATCH(Base!$K520+2,'EMBI+'!$A:$A,0))),INDEX('EMBI+'!$B:$B,MATCH(Base!$K520+3,'EMBI+'!$A:$A,0)))/100</f>
        <v>3.17</v>
      </c>
      <c r="AL520" s="43"/>
      <c r="AM520" s="28"/>
      <c r="AN520" s="28"/>
    </row>
    <row r="521" spans="1:40" x14ac:dyDescent="0.35">
      <c r="A521">
        <f t="shared" ref="A521:A557" si="154">+A520+1</f>
        <v>519</v>
      </c>
      <c r="B521">
        <f>IF(G521="Bonds",COUNTIF($G$3:G521,"Bonds"),0)</f>
        <v>155</v>
      </c>
      <c r="C521" t="str">
        <f t="shared" si="150"/>
        <v>Ultrapar4403206/06/2029</v>
      </c>
      <c r="D521">
        <f t="shared" si="151"/>
        <v>36</v>
      </c>
      <c r="E521" s="43" t="s">
        <v>608</v>
      </c>
      <c r="F521" s="43" t="s">
        <v>604</v>
      </c>
      <c r="G521" s="43" t="s">
        <v>34</v>
      </c>
      <c r="H521">
        <f t="shared" si="143"/>
        <v>1</v>
      </c>
      <c r="I521" s="43"/>
      <c r="J521" s="34">
        <f t="shared" si="152"/>
        <v>6</v>
      </c>
      <c r="K521" s="28">
        <v>44032</v>
      </c>
      <c r="L521" s="28" t="s">
        <v>609</v>
      </c>
      <c r="M521" s="60">
        <f t="shared" si="144"/>
        <v>8.8849315068493144</v>
      </c>
      <c r="N521" s="4">
        <f t="shared" si="145"/>
        <v>1</v>
      </c>
      <c r="O521" s="43" t="s">
        <v>36</v>
      </c>
      <c r="P521" t="str">
        <f t="shared" si="148"/>
        <v>0</v>
      </c>
      <c r="Q521" s="43"/>
      <c r="R521" s="43"/>
      <c r="S521" s="34">
        <f>IF($V521="USD",INDEX('Dólar Spot'!$B:$B,MATCH(Base!$K521,'Dólar Spot'!$A:$A,0)),"")</f>
        <v>5.3628999999999998</v>
      </c>
      <c r="T521" s="44">
        <v>350000000</v>
      </c>
      <c r="U521" s="8">
        <f t="shared" si="149"/>
        <v>18.770150000000001</v>
      </c>
      <c r="V521" s="43" t="s">
        <v>651</v>
      </c>
      <c r="W521" s="45" t="s">
        <v>29</v>
      </c>
      <c r="X521" s="53">
        <v>5.25</v>
      </c>
      <c r="Y521" s="9">
        <f>IF(AND(V521="DI",$W521=100),$X521/100,
IF(AND(V521="DI",$W521&lt;&gt;100,$X521=""),INDEX('Debs %CDI'!$Q:$Q,MATCH(Base!$C521,'Debs %CDI'!$A:$A,0)),
IF($V521="USD",INDEX(Bonds!$AF:$AF,MATCH(Base!$C521,Bonds!$B:$B,0)),
IF($V521="IPCA",INDEX('Debs IPCA'!$Z:$Z,MATCH(Base!$C521,'Debs IPCA'!$A:$A,0))))))</f>
        <v>3.5403578924644963E-2</v>
      </c>
      <c r="Z521" s="43">
        <v>360</v>
      </c>
      <c r="AA521" s="43" t="s">
        <v>37</v>
      </c>
      <c r="AB521" s="43" t="s">
        <v>32</v>
      </c>
      <c r="AC521">
        <f t="shared" si="146"/>
        <v>0</v>
      </c>
      <c r="AD521" s="43" t="s">
        <v>32</v>
      </c>
      <c r="AE521">
        <f t="shared" si="147"/>
        <v>0</v>
      </c>
      <c r="AF521" s="34" t="str" cm="1">
        <f t="array" ref="AF521">INDEX(Ratings!$B$2:$M$40,_xlfn.XMATCH(Base!F521,Ratings!$A$2:$A$40),_xlfn.XMATCH(YEAR(Base!K521),Ratings!$B$1:$M$1))</f>
        <v>BB+</v>
      </c>
      <c r="AG521">
        <f t="shared" si="153"/>
        <v>0</v>
      </c>
      <c r="AH521">
        <f>IFERROR(IFERROR(IFERROR(INDEX('EMBI+'!$B:$B,MATCH(Base!$K521,'EMBI+'!$A:$A,0)),INDEX('EMBI+'!$B:$B,MATCH(Base!$K521+1,'EMBI+'!$A:$A,0))),INDEX('EMBI+'!$B:$B,MATCH(Base!$K521+2,'EMBI+'!$A:$A,0))),INDEX('EMBI+'!$B:$B,MATCH(Base!$K521+3,'EMBI+'!$A:$A,0)))/100</f>
        <v>3.55</v>
      </c>
      <c r="AL521" s="43"/>
      <c r="AM521" s="28"/>
      <c r="AN521" s="28"/>
    </row>
    <row r="522" spans="1:40" x14ac:dyDescent="0.35">
      <c r="A522">
        <f t="shared" si="154"/>
        <v>520</v>
      </c>
      <c r="B522">
        <f>IF(G522="Bonds",COUNTIF($G$3:G522,"Bonds"),0)</f>
        <v>0</v>
      </c>
      <c r="C522" t="str">
        <f t="shared" si="150"/>
        <v>Usiminas4130446006</v>
      </c>
      <c r="D522">
        <f t="shared" si="151"/>
        <v>37</v>
      </c>
      <c r="E522" s="43" t="s">
        <v>611</v>
      </c>
      <c r="F522" s="43" t="s">
        <v>612</v>
      </c>
      <c r="G522" s="43" t="s">
        <v>25</v>
      </c>
      <c r="H522">
        <f t="shared" si="143"/>
        <v>0</v>
      </c>
      <c r="I522" s="43" t="s">
        <v>613</v>
      </c>
      <c r="J522" s="34">
        <f t="shared" si="152"/>
        <v>1</v>
      </c>
      <c r="K522" s="28">
        <v>41304</v>
      </c>
      <c r="L522" s="28">
        <v>46006</v>
      </c>
      <c r="M522" s="60">
        <f t="shared" si="144"/>
        <v>12.882191780821918</v>
      </c>
      <c r="N522" s="4">
        <f t="shared" si="145"/>
        <v>1</v>
      </c>
      <c r="O522" s="43" t="s">
        <v>44</v>
      </c>
      <c r="P522" t="str">
        <f t="shared" si="148"/>
        <v>0</v>
      </c>
      <c r="Q522" s="44">
        <v>100000</v>
      </c>
      <c r="R522" s="43">
        <v>10000</v>
      </c>
      <c r="S522" s="34" t="str">
        <f>IF($V522="USD",INDEX('Dólar Spot'!$B:$B,MATCH(Base!$K522,'Dólar Spot'!$A:$A,0)),"")</f>
        <v/>
      </c>
      <c r="T522" s="4">
        <f>Q522*R522</f>
        <v>1000000000</v>
      </c>
      <c r="U522" s="8">
        <f t="shared" si="149"/>
        <v>10</v>
      </c>
      <c r="V522" s="43" t="s">
        <v>41</v>
      </c>
      <c r="W522" s="45">
        <v>100</v>
      </c>
      <c r="X522" s="46">
        <v>3</v>
      </c>
      <c r="Y522" s="9">
        <f>IF(AND(V522="DI",$W522=100),$X522/100,
IF(AND(V522="DI",$W522&lt;&gt;100,$X522=""),INDEX('Debs %CDI'!$Q:$Q,MATCH(Base!$C522,'Debs %CDI'!$A:$A,0)),
IF($V522="USD",INDEX(Bonds!$AF:$AF,MATCH(Base!$C522,Bonds!$B:$B,0)),
IF($V522="IPCA",INDEX('Debs IPCA'!$Z:$Z,MATCH(Base!$C522,'Debs IPCA'!$A:$A,0))))))</f>
        <v>0.03</v>
      </c>
      <c r="Z522" s="43">
        <v>252</v>
      </c>
      <c r="AA522" s="43" t="s">
        <v>30</v>
      </c>
      <c r="AB522" s="43" t="s">
        <v>32</v>
      </c>
      <c r="AC522">
        <f t="shared" si="146"/>
        <v>0</v>
      </c>
      <c r="AD522" s="43" t="s">
        <v>31</v>
      </c>
      <c r="AE522">
        <f t="shared" si="147"/>
        <v>1</v>
      </c>
      <c r="AF522" s="34" t="str" cm="1">
        <f t="array" ref="AF522">INDEX(Ratings!$B$2:$M$40,_xlfn.XMATCH(Base!F522,Ratings!$A$2:$A$40),_xlfn.XMATCH(YEAR(Base!K522),Ratings!$B$1:$M$1))</f>
        <v>BB+</v>
      </c>
      <c r="AG522">
        <f t="shared" si="153"/>
        <v>0</v>
      </c>
      <c r="AH522">
        <f>IFERROR(IFERROR(IFERROR(INDEX('EMBI+'!$B:$B,MATCH(Base!$K522,'EMBI+'!$A:$A,0)),INDEX('EMBI+'!$B:$B,MATCH(Base!$K522+1,'EMBI+'!$A:$A,0))),INDEX('EMBI+'!$B:$B,MATCH(Base!$K522+2,'EMBI+'!$A:$A,0))),INDEX('EMBI+'!$B:$B,MATCH(Base!$K522+3,'EMBI+'!$A:$A,0)))/100</f>
        <v>1.53</v>
      </c>
      <c r="AL522" s="43"/>
      <c r="AM522" s="28"/>
      <c r="AN522" s="28"/>
    </row>
    <row r="523" spans="1:40" x14ac:dyDescent="0.35">
      <c r="A523">
        <f t="shared" si="154"/>
        <v>521</v>
      </c>
      <c r="B523">
        <f>IF(G523="Bonds",COUNTIF($G$3:G523,"Bonds"),0)</f>
        <v>0</v>
      </c>
      <c r="C523" t="str">
        <f t="shared" si="150"/>
        <v>Usiminas4373845199</v>
      </c>
      <c r="D523">
        <f t="shared" si="151"/>
        <v>37</v>
      </c>
      <c r="E523" s="43" t="s">
        <v>611</v>
      </c>
      <c r="F523" s="43" t="s">
        <v>612</v>
      </c>
      <c r="G523" s="43" t="s">
        <v>25</v>
      </c>
      <c r="H523">
        <f t="shared" si="143"/>
        <v>0</v>
      </c>
      <c r="I523" s="43" t="s">
        <v>614</v>
      </c>
      <c r="J523" s="34">
        <f t="shared" si="152"/>
        <v>2</v>
      </c>
      <c r="K523" s="28">
        <v>43738</v>
      </c>
      <c r="L523" s="28">
        <v>45199</v>
      </c>
      <c r="M523" s="60">
        <f t="shared" si="144"/>
        <v>4.0027397260273974</v>
      </c>
      <c r="N523" s="4">
        <f t="shared" si="145"/>
        <v>0</v>
      </c>
      <c r="O523" s="43" t="s">
        <v>44</v>
      </c>
      <c r="P523" t="str">
        <f t="shared" si="148"/>
        <v>0</v>
      </c>
      <c r="Q523" s="44">
        <v>700000</v>
      </c>
      <c r="R523" s="43">
        <v>1000</v>
      </c>
      <c r="S523" s="34" t="str">
        <f>IF($V523="USD",INDEX('Dólar Spot'!$B:$B,MATCH(Base!$K523,'Dólar Spot'!$A:$A,0)),"")</f>
        <v/>
      </c>
      <c r="T523" s="4">
        <f>Q523*R523</f>
        <v>700000000</v>
      </c>
      <c r="U523" s="8">
        <f t="shared" si="149"/>
        <v>7</v>
      </c>
      <c r="V523" s="43" t="s">
        <v>41</v>
      </c>
      <c r="W523" s="45">
        <v>100</v>
      </c>
      <c r="X523" s="46">
        <v>1.7</v>
      </c>
      <c r="Y523" s="9">
        <f>IF(AND(V523="DI",$W523=100),$X523/100,
IF(AND(V523="DI",$W523&lt;&gt;100,$X523=""),INDEX('Debs %CDI'!$Q:$Q,MATCH(Base!$C523,'Debs %CDI'!$A:$A,0)),
IF($V523="USD",INDEX(Bonds!$AF:$AF,MATCH(Base!$C523,Bonds!$B:$B,0)),
IF($V523="IPCA",INDEX('Debs IPCA'!$Z:$Z,MATCH(Base!$C523,'Debs IPCA'!$A:$A,0))))))</f>
        <v>1.7000000000000001E-2</v>
      </c>
      <c r="Z523" s="43">
        <v>252</v>
      </c>
      <c r="AA523" s="43" t="s">
        <v>30</v>
      </c>
      <c r="AB523" s="43" t="s">
        <v>32</v>
      </c>
      <c r="AC523">
        <f t="shared" si="146"/>
        <v>0</v>
      </c>
      <c r="AD523" s="43" t="s">
        <v>31</v>
      </c>
      <c r="AE523">
        <f t="shared" si="147"/>
        <v>1</v>
      </c>
      <c r="AF523" s="34" t="str" cm="1">
        <f t="array" ref="AF523">INDEX(Ratings!$B$2:$M$40,_xlfn.XMATCH(Base!F523,Ratings!$A$2:$A$40),_xlfn.XMATCH(YEAR(Base!K523),Ratings!$B$1:$M$1))</f>
        <v>BB-</v>
      </c>
      <c r="AG523">
        <f t="shared" si="153"/>
        <v>0</v>
      </c>
      <c r="AH523">
        <f>IFERROR(IFERROR(IFERROR(INDEX('EMBI+'!$B:$B,MATCH(Base!$K523,'EMBI+'!$A:$A,0)),INDEX('EMBI+'!$B:$B,MATCH(Base!$K523+1,'EMBI+'!$A:$A,0))),INDEX('EMBI+'!$B:$B,MATCH(Base!$K523+2,'EMBI+'!$A:$A,0))),INDEX('EMBI+'!$B:$B,MATCH(Base!$K523+3,'EMBI+'!$A:$A,0)))/100</f>
        <v>2.4700000000000002</v>
      </c>
      <c r="AL523" s="43"/>
      <c r="AM523" s="28"/>
      <c r="AN523" s="28"/>
    </row>
    <row r="524" spans="1:40" x14ac:dyDescent="0.35">
      <c r="A524">
        <f t="shared" si="154"/>
        <v>522</v>
      </c>
      <c r="B524">
        <f>IF(G524="Bonds",COUNTIF($G$3:G524,"Bonds"),0)</f>
        <v>0</v>
      </c>
      <c r="C524" t="str">
        <f t="shared" si="150"/>
        <v>Usiminas4373845930</v>
      </c>
      <c r="D524">
        <f t="shared" si="151"/>
        <v>37</v>
      </c>
      <c r="E524" s="43" t="s">
        <v>611</v>
      </c>
      <c r="F524" s="43" t="s">
        <v>612</v>
      </c>
      <c r="G524" s="43" t="s">
        <v>25</v>
      </c>
      <c r="H524">
        <f t="shared" si="143"/>
        <v>0</v>
      </c>
      <c r="I524" s="43" t="s">
        <v>615</v>
      </c>
      <c r="J524" s="34">
        <f t="shared" si="152"/>
        <v>3</v>
      </c>
      <c r="K524" s="28">
        <v>43738</v>
      </c>
      <c r="L524" s="28">
        <v>45930</v>
      </c>
      <c r="M524" s="60">
        <f t="shared" si="144"/>
        <v>6.0054794520547947</v>
      </c>
      <c r="N524" s="4">
        <f t="shared" si="145"/>
        <v>1</v>
      </c>
      <c r="O524" s="43" t="s">
        <v>44</v>
      </c>
      <c r="P524" t="str">
        <f t="shared" si="148"/>
        <v>0</v>
      </c>
      <c r="Q524" s="44">
        <v>1300000</v>
      </c>
      <c r="R524" s="43">
        <v>1000</v>
      </c>
      <c r="S524" s="34" t="str">
        <f>IF($V524="USD",INDEX('Dólar Spot'!$B:$B,MATCH(Base!$K524,'Dólar Spot'!$A:$A,0)),"")</f>
        <v/>
      </c>
      <c r="T524" s="4">
        <f>Q524*R524</f>
        <v>1300000000</v>
      </c>
      <c r="U524" s="8">
        <f t="shared" si="149"/>
        <v>13</v>
      </c>
      <c r="V524" s="43" t="s">
        <v>41</v>
      </c>
      <c r="W524" s="45">
        <v>100</v>
      </c>
      <c r="X524" s="46">
        <v>2.1</v>
      </c>
      <c r="Y524" s="9">
        <f>IF(AND(V524="DI",$W524=100),$X524/100,
IF(AND(V524="DI",$W524&lt;&gt;100,$X524=""),INDEX('Debs %CDI'!$Q:$Q,MATCH(Base!$C524,'Debs %CDI'!$A:$A,0)),
IF($V524="USD",INDEX(Bonds!$AF:$AF,MATCH(Base!$C524,Bonds!$B:$B,0)),
IF($V524="IPCA",INDEX('Debs IPCA'!$Z:$Z,MATCH(Base!$C524,'Debs IPCA'!$A:$A,0))))))</f>
        <v>2.1000000000000001E-2</v>
      </c>
      <c r="Z524" s="43">
        <v>252</v>
      </c>
      <c r="AA524" s="43" t="s">
        <v>30</v>
      </c>
      <c r="AB524" s="43" t="s">
        <v>32</v>
      </c>
      <c r="AC524">
        <f t="shared" si="146"/>
        <v>0</v>
      </c>
      <c r="AD524" s="43" t="s">
        <v>31</v>
      </c>
      <c r="AE524">
        <f t="shared" si="147"/>
        <v>1</v>
      </c>
      <c r="AF524" s="34" t="str" cm="1">
        <f t="array" ref="AF524">INDEX(Ratings!$B$2:$M$40,_xlfn.XMATCH(Base!F524,Ratings!$A$2:$A$40),_xlfn.XMATCH(YEAR(Base!K524),Ratings!$B$1:$M$1))</f>
        <v>BB-</v>
      </c>
      <c r="AG524">
        <f t="shared" si="153"/>
        <v>0</v>
      </c>
      <c r="AH524">
        <f>IFERROR(IFERROR(IFERROR(INDEX('EMBI+'!$B:$B,MATCH(Base!$K524,'EMBI+'!$A:$A,0)),INDEX('EMBI+'!$B:$B,MATCH(Base!$K524+1,'EMBI+'!$A:$A,0))),INDEX('EMBI+'!$B:$B,MATCH(Base!$K524+2,'EMBI+'!$A:$A,0))),INDEX('EMBI+'!$B:$B,MATCH(Base!$K524+3,'EMBI+'!$A:$A,0)))/100</f>
        <v>2.4700000000000002</v>
      </c>
      <c r="AL524" s="43"/>
      <c r="AM524" s="28"/>
      <c r="AN524" s="28"/>
    </row>
    <row r="525" spans="1:40" x14ac:dyDescent="0.35">
      <c r="A525">
        <f t="shared" si="154"/>
        <v>523</v>
      </c>
      <c r="B525">
        <f>IF(G525="Bonds",COUNTIF($G$3:G525,"Bonds"),0)</f>
        <v>0</v>
      </c>
      <c r="C525" t="str">
        <f t="shared" si="150"/>
        <v>Usiminas4470446530</v>
      </c>
      <c r="D525">
        <f t="shared" si="151"/>
        <v>37</v>
      </c>
      <c r="E525" s="43" t="s">
        <v>611</v>
      </c>
      <c r="F525" s="43" t="s">
        <v>612</v>
      </c>
      <c r="G525" s="43" t="s">
        <v>25</v>
      </c>
      <c r="H525">
        <f t="shared" si="143"/>
        <v>0</v>
      </c>
      <c r="I525" s="43" t="s">
        <v>868</v>
      </c>
      <c r="J525" s="34">
        <f t="shared" si="152"/>
        <v>4</v>
      </c>
      <c r="K525" s="28">
        <v>44704</v>
      </c>
      <c r="L525" s="28">
        <v>46530</v>
      </c>
      <c r="M525" s="60">
        <f t="shared" si="144"/>
        <v>5.0027397260273974</v>
      </c>
      <c r="N525" s="4">
        <f t="shared" si="145"/>
        <v>1</v>
      </c>
      <c r="O525" s="43" t="s">
        <v>44</v>
      </c>
      <c r="P525" t="str">
        <f t="shared" si="148"/>
        <v>0</v>
      </c>
      <c r="Q525" s="44">
        <v>300000</v>
      </c>
      <c r="R525" s="43">
        <v>1000</v>
      </c>
      <c r="S525" s="34" t="str">
        <f>IF($V525="USD",INDEX('Dólar Spot'!$B:$B,MATCH(Base!$K525,'Dólar Spot'!$A:$A,0)),"")</f>
        <v/>
      </c>
      <c r="T525" s="4">
        <f t="shared" ref="T525:T529" si="155">Q525*R525</f>
        <v>300000000</v>
      </c>
      <c r="U525" s="8">
        <f t="shared" si="149"/>
        <v>3</v>
      </c>
      <c r="V525" s="43" t="s">
        <v>41</v>
      </c>
      <c r="W525" s="45">
        <v>100</v>
      </c>
      <c r="X525" s="46">
        <v>1.5</v>
      </c>
      <c r="Y525" s="9">
        <f>IF(AND(V525="DI",$W525=100),$X525/100,
IF(AND(V525="DI",$W525&lt;&gt;100,$X525=""),INDEX('Debs %CDI'!$Q:$Q,MATCH(Base!$C525,'Debs %CDI'!$A:$A,0)),
IF($V525="USD",INDEX(Bonds!$AF:$AF,MATCH(Base!$C525,Bonds!$B:$B,0)),
IF($V525="IPCA",INDEX('Debs IPCA'!$Z:$Z,MATCH(Base!$C525,'Debs IPCA'!$A:$A,0))))))</f>
        <v>1.4999999999999999E-2</v>
      </c>
      <c r="Z525" s="43">
        <v>252</v>
      </c>
      <c r="AA525" s="43" t="s">
        <v>30</v>
      </c>
      <c r="AB525" s="43" t="s">
        <v>32</v>
      </c>
      <c r="AC525">
        <f t="shared" si="146"/>
        <v>0</v>
      </c>
      <c r="AD525" s="43" t="s">
        <v>31</v>
      </c>
      <c r="AE525">
        <f t="shared" si="147"/>
        <v>1</v>
      </c>
      <c r="AF525" s="34" t="str" cm="1">
        <f t="array" ref="AF525">INDEX(Ratings!$B$2:$M$40,_xlfn.XMATCH(Base!F525,Ratings!$A$2:$A$40),_xlfn.XMATCH(YEAR(Base!K525),Ratings!$B$1:$M$1))</f>
        <v>BB</v>
      </c>
      <c r="AG525">
        <f t="shared" si="153"/>
        <v>0</v>
      </c>
      <c r="AH525">
        <f>IFERROR(IFERROR(IFERROR(INDEX('EMBI+'!$B:$B,MATCH(Base!$K525,'EMBI+'!$A:$A,0)),INDEX('EMBI+'!$B:$B,MATCH(Base!$K525+1,'EMBI+'!$A:$A,0))),INDEX('EMBI+'!$B:$B,MATCH(Base!$K525+2,'EMBI+'!$A:$A,0))),INDEX('EMBI+'!$B:$B,MATCH(Base!$K525+3,'EMBI+'!$A:$A,0)))/100</f>
        <v>3.25</v>
      </c>
      <c r="AL525" s="43"/>
      <c r="AM525" s="28"/>
      <c r="AN525" s="28"/>
    </row>
    <row r="526" spans="1:40" x14ac:dyDescent="0.35">
      <c r="A526">
        <f t="shared" si="154"/>
        <v>524</v>
      </c>
      <c r="B526">
        <f>IF(G526="Bonds",COUNTIF($G$3:G526,"Bonds"),0)</f>
        <v>0</v>
      </c>
      <c r="C526" t="str">
        <f t="shared" si="150"/>
        <v>Usiminas4490446730</v>
      </c>
      <c r="D526">
        <f t="shared" si="151"/>
        <v>37</v>
      </c>
      <c r="E526" s="43" t="s">
        <v>611</v>
      </c>
      <c r="F526" s="43" t="s">
        <v>612</v>
      </c>
      <c r="G526" s="43" t="s">
        <v>25</v>
      </c>
      <c r="H526">
        <f t="shared" si="143"/>
        <v>0</v>
      </c>
      <c r="I526" s="43" t="s">
        <v>869</v>
      </c>
      <c r="J526" s="34">
        <f t="shared" si="152"/>
        <v>5</v>
      </c>
      <c r="K526" s="28">
        <v>44904</v>
      </c>
      <c r="L526" s="28">
        <v>46730</v>
      </c>
      <c r="M526" s="60">
        <f t="shared" si="144"/>
        <v>5.0027397260273974</v>
      </c>
      <c r="N526" s="4">
        <f t="shared" si="145"/>
        <v>1</v>
      </c>
      <c r="O526" s="43" t="s">
        <v>44</v>
      </c>
      <c r="P526" t="str">
        <f t="shared" si="148"/>
        <v>0</v>
      </c>
      <c r="Q526" s="44">
        <v>160190</v>
      </c>
      <c r="R526" s="43">
        <v>1000</v>
      </c>
      <c r="S526" s="34" t="str">
        <f>IF($V526="USD",INDEX('Dólar Spot'!$B:$B,MATCH(Base!$K526,'Dólar Spot'!$A:$A,0)),"")</f>
        <v/>
      </c>
      <c r="T526" s="4">
        <f t="shared" si="155"/>
        <v>160190000</v>
      </c>
      <c r="U526" s="8">
        <f t="shared" si="149"/>
        <v>1.6019000000000001</v>
      </c>
      <c r="V526" s="43" t="s">
        <v>41</v>
      </c>
      <c r="W526" s="45">
        <v>100</v>
      </c>
      <c r="X526" s="46">
        <v>1.45</v>
      </c>
      <c r="Y526" s="9">
        <f>IF(AND(V526="DI",$W526=100),$X526/100,
IF(AND(V526="DI",$W526&lt;&gt;100,$X526=""),INDEX('Debs %CDI'!$Q:$Q,MATCH(Base!$C526,'Debs %CDI'!$A:$A,0)),
IF($V526="USD",INDEX(Bonds!$AF:$AF,MATCH(Base!$C526,Bonds!$B:$B,0)),
IF($V526="IPCA",INDEX('Debs IPCA'!$Z:$Z,MATCH(Base!$C526,'Debs IPCA'!$A:$A,0))))))</f>
        <v>1.4499999999999999E-2</v>
      </c>
      <c r="Z526" s="43">
        <v>252</v>
      </c>
      <c r="AA526" s="43" t="s">
        <v>30</v>
      </c>
      <c r="AB526" s="43" t="s">
        <v>32</v>
      </c>
      <c r="AC526">
        <f t="shared" si="146"/>
        <v>0</v>
      </c>
      <c r="AD526" s="43" t="s">
        <v>31</v>
      </c>
      <c r="AE526">
        <f t="shared" si="147"/>
        <v>1</v>
      </c>
      <c r="AF526" s="34" t="str" cm="1">
        <f t="array" ref="AF526">INDEX(Ratings!$B$2:$M$40,_xlfn.XMATCH(Base!F526,Ratings!$A$2:$A$40),_xlfn.XMATCH(YEAR(Base!K526),Ratings!$B$1:$M$1))</f>
        <v>BB</v>
      </c>
      <c r="AG526">
        <f t="shared" si="153"/>
        <v>0</v>
      </c>
      <c r="AH526">
        <f>IFERROR(IFERROR(IFERROR(INDEX('EMBI+'!$B:$B,MATCH(Base!$K526,'EMBI+'!$A:$A,0)),INDEX('EMBI+'!$B:$B,MATCH(Base!$K526+1,'EMBI+'!$A:$A,0))),INDEX('EMBI+'!$B:$B,MATCH(Base!$K526+2,'EMBI+'!$A:$A,0))),INDEX('EMBI+'!$B:$B,MATCH(Base!$K526+3,'EMBI+'!$A:$A,0)))/100</f>
        <v>2.44</v>
      </c>
      <c r="AL526" s="43"/>
      <c r="AM526" s="28"/>
      <c r="AN526" s="28"/>
    </row>
    <row r="527" spans="1:40" x14ac:dyDescent="0.35">
      <c r="A527">
        <f t="shared" si="154"/>
        <v>525</v>
      </c>
      <c r="B527">
        <f>IF(G527="Bonds",COUNTIF($G$3:G527,"Bonds"),0)</f>
        <v>0</v>
      </c>
      <c r="C527" t="str">
        <f t="shared" si="150"/>
        <v>Usiminas4470447261</v>
      </c>
      <c r="D527">
        <f t="shared" si="151"/>
        <v>37</v>
      </c>
      <c r="E527" s="43" t="s">
        <v>611</v>
      </c>
      <c r="F527" s="43" t="s">
        <v>612</v>
      </c>
      <c r="G527" s="43" t="s">
        <v>25</v>
      </c>
      <c r="H527">
        <f t="shared" si="143"/>
        <v>0</v>
      </c>
      <c r="I527" s="43" t="s">
        <v>870</v>
      </c>
      <c r="J527" s="34">
        <f t="shared" si="152"/>
        <v>6</v>
      </c>
      <c r="K527" s="28">
        <v>44704</v>
      </c>
      <c r="L527" s="28">
        <v>47261</v>
      </c>
      <c r="M527" s="60">
        <f t="shared" si="144"/>
        <v>7.0054794520547947</v>
      </c>
      <c r="N527" s="4">
        <f t="shared" si="145"/>
        <v>1</v>
      </c>
      <c r="O527" s="43" t="s">
        <v>44</v>
      </c>
      <c r="P527" t="str">
        <f t="shared" si="148"/>
        <v>0</v>
      </c>
      <c r="Q527" s="44">
        <v>400000</v>
      </c>
      <c r="R527" s="43">
        <v>1000</v>
      </c>
      <c r="S527" s="34" t="str">
        <f>IF($V527="USD",INDEX('Dólar Spot'!$B:$B,MATCH(Base!$K527,'Dólar Spot'!$A:$A,0)),"")</f>
        <v/>
      </c>
      <c r="T527" s="4">
        <f t="shared" si="155"/>
        <v>400000000</v>
      </c>
      <c r="U527" s="8">
        <f t="shared" si="149"/>
        <v>4</v>
      </c>
      <c r="V527" s="43" t="s">
        <v>41</v>
      </c>
      <c r="W527" s="45">
        <v>100</v>
      </c>
      <c r="X527" s="46">
        <v>1.7</v>
      </c>
      <c r="Y527" s="9">
        <f>IF(AND(V527="DI",$W527=100),$X527/100,
IF(AND(V527="DI",$W527&lt;&gt;100,$X527=""),INDEX('Debs %CDI'!$Q:$Q,MATCH(Base!$C527,'Debs %CDI'!$A:$A,0)),
IF($V527="USD",INDEX(Bonds!$AF:$AF,MATCH(Base!$C527,Bonds!$B:$B,0)),
IF($V527="IPCA",INDEX('Debs IPCA'!$Z:$Z,MATCH(Base!$C527,'Debs IPCA'!$A:$A,0))))))</f>
        <v>1.7000000000000001E-2</v>
      </c>
      <c r="Z527" s="43">
        <v>252</v>
      </c>
      <c r="AA527" s="43" t="s">
        <v>30</v>
      </c>
      <c r="AB527" s="43" t="s">
        <v>32</v>
      </c>
      <c r="AC527">
        <f t="shared" si="146"/>
        <v>0</v>
      </c>
      <c r="AD527" s="43" t="s">
        <v>31</v>
      </c>
      <c r="AE527">
        <f t="shared" si="147"/>
        <v>1</v>
      </c>
      <c r="AF527" s="34" t="str" cm="1">
        <f t="array" ref="AF527">INDEX(Ratings!$B$2:$M$40,_xlfn.XMATCH(Base!F527,Ratings!$A$2:$A$40),_xlfn.XMATCH(YEAR(Base!K527),Ratings!$B$1:$M$1))</f>
        <v>BB</v>
      </c>
      <c r="AG527">
        <f t="shared" si="153"/>
        <v>0</v>
      </c>
      <c r="AH527">
        <f>IFERROR(IFERROR(IFERROR(INDEX('EMBI+'!$B:$B,MATCH(Base!$K527,'EMBI+'!$A:$A,0)),INDEX('EMBI+'!$B:$B,MATCH(Base!$K527+1,'EMBI+'!$A:$A,0))),INDEX('EMBI+'!$B:$B,MATCH(Base!$K527+2,'EMBI+'!$A:$A,0))),INDEX('EMBI+'!$B:$B,MATCH(Base!$K527+3,'EMBI+'!$A:$A,0)))/100</f>
        <v>3.25</v>
      </c>
      <c r="AL527" s="43"/>
      <c r="AM527" s="28"/>
      <c r="AN527" s="28"/>
    </row>
    <row r="528" spans="1:40" x14ac:dyDescent="0.35">
      <c r="A528">
        <f t="shared" si="154"/>
        <v>526</v>
      </c>
      <c r="B528">
        <f>IF(G528="Bonds",COUNTIF($G$3:G528,"Bonds"),0)</f>
        <v>0</v>
      </c>
      <c r="C528" t="str">
        <f t="shared" si="150"/>
        <v>Usiminas4490447461</v>
      </c>
      <c r="D528">
        <f t="shared" si="151"/>
        <v>37</v>
      </c>
      <c r="E528" s="43" t="s">
        <v>611</v>
      </c>
      <c r="F528" s="43" t="s">
        <v>612</v>
      </c>
      <c r="G528" s="43" t="s">
        <v>25</v>
      </c>
      <c r="H528">
        <f t="shared" si="143"/>
        <v>0</v>
      </c>
      <c r="I528" s="43" t="s">
        <v>871</v>
      </c>
      <c r="J528" s="34">
        <f t="shared" si="152"/>
        <v>7</v>
      </c>
      <c r="K528" s="28">
        <v>44904</v>
      </c>
      <c r="L528" s="28">
        <v>47461</v>
      </c>
      <c r="M528" s="60">
        <f t="shared" si="144"/>
        <v>7.0054794520547947</v>
      </c>
      <c r="N528" s="4">
        <f t="shared" si="145"/>
        <v>1</v>
      </c>
      <c r="O528" s="43" t="s">
        <v>44</v>
      </c>
      <c r="P528" t="str">
        <f t="shared" si="148"/>
        <v>0</v>
      </c>
      <c r="Q528" s="44">
        <v>966060</v>
      </c>
      <c r="R528" s="43">
        <v>1000</v>
      </c>
      <c r="S528" s="34" t="str">
        <f>IF($V528="USD",INDEX('Dólar Spot'!$B:$B,MATCH(Base!$K528,'Dólar Spot'!$A:$A,0)),"")</f>
        <v/>
      </c>
      <c r="T528" s="4">
        <f t="shared" si="155"/>
        <v>966060000</v>
      </c>
      <c r="U528" s="8">
        <f t="shared" si="149"/>
        <v>9.6606000000000005</v>
      </c>
      <c r="V528" s="43" t="s">
        <v>41</v>
      </c>
      <c r="W528" s="45">
        <v>100</v>
      </c>
      <c r="X528" s="46">
        <v>1.65</v>
      </c>
      <c r="Y528" s="9">
        <f>IF(AND(V528="DI",$W528=100),$X528/100,
IF(AND(V528="DI",$W528&lt;&gt;100,$X528=""),INDEX('Debs %CDI'!$Q:$Q,MATCH(Base!$C528,'Debs %CDI'!$A:$A,0)),
IF($V528="USD",INDEX(Bonds!$AF:$AF,MATCH(Base!$C528,Bonds!$B:$B,0)),
IF($V528="IPCA",INDEX('Debs IPCA'!$Z:$Z,MATCH(Base!$C528,'Debs IPCA'!$A:$A,0))))))</f>
        <v>1.6500000000000001E-2</v>
      </c>
      <c r="Z528" s="43">
        <v>252</v>
      </c>
      <c r="AA528" s="43" t="s">
        <v>30</v>
      </c>
      <c r="AB528" s="43" t="s">
        <v>32</v>
      </c>
      <c r="AC528">
        <f t="shared" si="146"/>
        <v>0</v>
      </c>
      <c r="AD528" s="43" t="s">
        <v>31</v>
      </c>
      <c r="AE528">
        <f t="shared" si="147"/>
        <v>1</v>
      </c>
      <c r="AF528" s="34" t="str" cm="1">
        <f t="array" ref="AF528">INDEX(Ratings!$B$2:$M$40,_xlfn.XMATCH(Base!F528,Ratings!$A$2:$A$40),_xlfn.XMATCH(YEAR(Base!K528),Ratings!$B$1:$M$1))</f>
        <v>BB</v>
      </c>
      <c r="AG528">
        <f t="shared" si="153"/>
        <v>0</v>
      </c>
      <c r="AH528">
        <f>IFERROR(IFERROR(IFERROR(INDEX('EMBI+'!$B:$B,MATCH(Base!$K528,'EMBI+'!$A:$A,0)),INDEX('EMBI+'!$B:$B,MATCH(Base!$K528+1,'EMBI+'!$A:$A,0))),INDEX('EMBI+'!$B:$B,MATCH(Base!$K528+2,'EMBI+'!$A:$A,0))),INDEX('EMBI+'!$B:$B,MATCH(Base!$K528+3,'EMBI+'!$A:$A,0)))/100</f>
        <v>2.44</v>
      </c>
      <c r="AL528" s="43"/>
      <c r="AM528" s="28"/>
      <c r="AN528" s="28"/>
    </row>
    <row r="529" spans="1:40" x14ac:dyDescent="0.35">
      <c r="A529">
        <f t="shared" si="154"/>
        <v>527</v>
      </c>
      <c r="B529">
        <f>IF(G529="Bonds",COUNTIF($G$3:G529,"Bonds"),0)</f>
        <v>0</v>
      </c>
      <c r="C529" t="str">
        <f t="shared" si="150"/>
        <v>Usiminas4490448557</v>
      </c>
      <c r="D529">
        <f t="shared" si="151"/>
        <v>37</v>
      </c>
      <c r="E529" s="43" t="s">
        <v>611</v>
      </c>
      <c r="F529" s="43" t="s">
        <v>612</v>
      </c>
      <c r="G529" s="43" t="s">
        <v>25</v>
      </c>
      <c r="H529">
        <f t="shared" si="143"/>
        <v>0</v>
      </c>
      <c r="I529" s="43" t="s">
        <v>872</v>
      </c>
      <c r="J529" s="34">
        <f t="shared" si="152"/>
        <v>8</v>
      </c>
      <c r="K529" s="28">
        <v>44904</v>
      </c>
      <c r="L529" s="28">
        <v>48557</v>
      </c>
      <c r="M529" s="60">
        <f t="shared" si="144"/>
        <v>10.008219178082191</v>
      </c>
      <c r="N529" s="4">
        <f t="shared" si="145"/>
        <v>1</v>
      </c>
      <c r="O529" s="43" t="s">
        <v>44</v>
      </c>
      <c r="P529" t="str">
        <f t="shared" si="148"/>
        <v>0</v>
      </c>
      <c r="Q529" s="44">
        <v>373750</v>
      </c>
      <c r="R529" s="43">
        <v>1000</v>
      </c>
      <c r="S529" s="34" t="str">
        <f>IF($V529="USD",INDEX('Dólar Spot'!$B:$B,MATCH(Base!$K529,'Dólar Spot'!$A:$A,0)),"")</f>
        <v/>
      </c>
      <c r="T529" s="4">
        <f t="shared" si="155"/>
        <v>373750000</v>
      </c>
      <c r="U529" s="8">
        <f t="shared" si="149"/>
        <v>3.7374999999999998</v>
      </c>
      <c r="V529" s="43" t="s">
        <v>41</v>
      </c>
      <c r="W529" s="45">
        <v>100</v>
      </c>
      <c r="X529" s="46">
        <v>1.95</v>
      </c>
      <c r="Y529" s="9">
        <f>IF(AND(V529="DI",$W529=100),$X529/100,
IF(AND(V529="DI",$W529&lt;&gt;100,$X529=""),INDEX('Debs %CDI'!$Q:$Q,MATCH(Base!$C529,'Debs %CDI'!$A:$A,0)),
IF($V529="USD",INDEX(Bonds!$AF:$AF,MATCH(Base!$C529,Bonds!$B:$B,0)),
IF($V529="IPCA",INDEX('Debs IPCA'!$Z:$Z,MATCH(Base!$C529,'Debs IPCA'!$A:$A,0))))))</f>
        <v>1.95E-2</v>
      </c>
      <c r="Z529" s="43">
        <v>252</v>
      </c>
      <c r="AA529" s="43" t="s">
        <v>30</v>
      </c>
      <c r="AB529" s="43" t="s">
        <v>32</v>
      </c>
      <c r="AC529">
        <f t="shared" si="146"/>
        <v>0</v>
      </c>
      <c r="AD529" s="43" t="s">
        <v>31</v>
      </c>
      <c r="AE529">
        <f t="shared" si="147"/>
        <v>1</v>
      </c>
      <c r="AF529" s="34" t="str" cm="1">
        <f t="array" ref="AF529">INDEX(Ratings!$B$2:$M$40,_xlfn.XMATCH(Base!F529,Ratings!$A$2:$A$40),_xlfn.XMATCH(YEAR(Base!K529),Ratings!$B$1:$M$1))</f>
        <v>BB</v>
      </c>
      <c r="AG529">
        <f t="shared" si="153"/>
        <v>0</v>
      </c>
      <c r="AH529">
        <f>IFERROR(IFERROR(IFERROR(INDEX('EMBI+'!$B:$B,MATCH(Base!$K529,'EMBI+'!$A:$A,0)),INDEX('EMBI+'!$B:$B,MATCH(Base!$K529+1,'EMBI+'!$A:$A,0))),INDEX('EMBI+'!$B:$B,MATCH(Base!$K529+2,'EMBI+'!$A:$A,0))),INDEX('EMBI+'!$B:$B,MATCH(Base!$K529+3,'EMBI+'!$A:$A,0)))/100</f>
        <v>2.44</v>
      </c>
      <c r="AL529" s="43"/>
      <c r="AM529" s="28"/>
      <c r="AN529" s="28"/>
    </row>
    <row r="530" spans="1:40" x14ac:dyDescent="0.35">
      <c r="A530">
        <f t="shared" si="154"/>
        <v>528</v>
      </c>
      <c r="B530">
        <f>IF(G530="Bonds",COUNTIF($G$3:G530,"Bonds"),0)</f>
        <v>156</v>
      </c>
      <c r="C530" t="str">
        <f t="shared" si="150"/>
        <v>Usiminas4366418/07/2026</v>
      </c>
      <c r="D530">
        <f t="shared" si="151"/>
        <v>37</v>
      </c>
      <c r="E530" s="43" t="s">
        <v>616</v>
      </c>
      <c r="F530" s="43" t="s">
        <v>612</v>
      </c>
      <c r="G530" s="43" t="s">
        <v>34</v>
      </c>
      <c r="H530">
        <f t="shared" si="143"/>
        <v>1</v>
      </c>
      <c r="I530" s="43"/>
      <c r="J530" s="34">
        <f t="shared" si="152"/>
        <v>9</v>
      </c>
      <c r="K530" s="28">
        <v>43664</v>
      </c>
      <c r="L530" s="28" t="s">
        <v>617</v>
      </c>
      <c r="M530" s="60">
        <f t="shared" si="144"/>
        <v>7.0054794520547947</v>
      </c>
      <c r="N530" s="4">
        <f t="shared" si="145"/>
        <v>1</v>
      </c>
      <c r="O530" s="43" t="s">
        <v>36</v>
      </c>
      <c r="P530" t="str">
        <f t="shared" si="148"/>
        <v>0</v>
      </c>
      <c r="Q530" s="43"/>
      <c r="R530" s="43"/>
      <c r="S530" s="34">
        <f>IF($V530="USD",INDEX('Dólar Spot'!$B:$B,MATCH(Base!$K530,'Dólar Spot'!$A:$A,0)),"")</f>
        <v>3.7483</v>
      </c>
      <c r="T530" s="44">
        <v>750000000</v>
      </c>
      <c r="U530" s="8">
        <f t="shared" si="149"/>
        <v>28.11225</v>
      </c>
      <c r="V530" s="43" t="s">
        <v>651</v>
      </c>
      <c r="W530" s="45" t="s">
        <v>29</v>
      </c>
      <c r="X530" s="53">
        <v>5.875</v>
      </c>
      <c r="Y530" s="9">
        <f>IF(AND(V530="DI",$W530=100),$X530/100,
IF(AND(V530="DI",$W530&lt;&gt;100,$X530=""),INDEX('Debs %CDI'!$Q:$Q,MATCH(Base!$C530,'Debs %CDI'!$A:$A,0)),
IF($V530="USD",INDEX(Bonds!$AF:$AF,MATCH(Base!$C530,Bonds!$B:$B,0)),
IF($V530="IPCA",INDEX('Debs IPCA'!$Z:$Z,MATCH(Base!$C530,'Debs IPCA'!$A:$A,0))))))</f>
        <v>3.2106564280990568E-2</v>
      </c>
      <c r="Z530" s="43">
        <v>360</v>
      </c>
      <c r="AA530" s="43" t="s">
        <v>37</v>
      </c>
      <c r="AB530" s="43" t="s">
        <v>32</v>
      </c>
      <c r="AC530">
        <f t="shared" si="146"/>
        <v>0</v>
      </c>
      <c r="AD530" s="43" t="s">
        <v>31</v>
      </c>
      <c r="AE530">
        <f t="shared" si="147"/>
        <v>1</v>
      </c>
      <c r="AF530" s="34" t="str" cm="1">
        <f t="array" ref="AF530">INDEX(Ratings!$B$2:$M$40,_xlfn.XMATCH(Base!F530,Ratings!$A$2:$A$40),_xlfn.XMATCH(YEAR(Base!K530),Ratings!$B$1:$M$1))</f>
        <v>BB-</v>
      </c>
      <c r="AG530">
        <f t="shared" si="153"/>
        <v>0</v>
      </c>
      <c r="AH530">
        <f>IFERROR(IFERROR(IFERROR(INDEX('EMBI+'!$B:$B,MATCH(Base!$K530,'EMBI+'!$A:$A,0)),INDEX('EMBI+'!$B:$B,MATCH(Base!$K530+1,'EMBI+'!$A:$A,0))),INDEX('EMBI+'!$B:$B,MATCH(Base!$K530+2,'EMBI+'!$A:$A,0))),INDEX('EMBI+'!$B:$B,MATCH(Base!$K530+3,'EMBI+'!$A:$A,0)))/100</f>
        <v>2.2200000000000002</v>
      </c>
      <c r="AL530" s="43"/>
      <c r="AM530" s="28"/>
      <c r="AN530" s="28"/>
    </row>
    <row r="531" spans="1:40" x14ac:dyDescent="0.35">
      <c r="A531">
        <f t="shared" si="154"/>
        <v>529</v>
      </c>
      <c r="B531">
        <f>IF(G531="Bonds",COUNTIF($G$3:G531,"Bonds"),0)</f>
        <v>0</v>
      </c>
      <c r="C531" t="str">
        <f t="shared" si="150"/>
        <v>Vale4165444211</v>
      </c>
      <c r="D531">
        <f t="shared" si="151"/>
        <v>38</v>
      </c>
      <c r="E531" s="43" t="s">
        <v>618</v>
      </c>
      <c r="F531" s="43" t="s">
        <v>619</v>
      </c>
      <c r="G531" s="43" t="s">
        <v>25</v>
      </c>
      <c r="H531">
        <f t="shared" si="143"/>
        <v>0</v>
      </c>
      <c r="I531" s="43" t="s">
        <v>620</v>
      </c>
      <c r="J531" s="34">
        <f t="shared" si="152"/>
        <v>1</v>
      </c>
      <c r="K531" s="28">
        <v>41654</v>
      </c>
      <c r="L531" s="28">
        <v>44211</v>
      </c>
      <c r="M531" s="60">
        <f t="shared" si="144"/>
        <v>7.0054794520547947</v>
      </c>
      <c r="N531" s="4">
        <f t="shared" si="145"/>
        <v>1</v>
      </c>
      <c r="O531" s="43" t="s">
        <v>44</v>
      </c>
      <c r="P531" t="str">
        <f t="shared" si="148"/>
        <v>0</v>
      </c>
      <c r="Q531" s="44">
        <v>600000</v>
      </c>
      <c r="R531" s="43">
        <v>1000</v>
      </c>
      <c r="S531" s="34" t="str">
        <f>IF($V531="USD",INDEX('Dólar Spot'!$B:$B,MATCH(Base!$K531,'Dólar Spot'!$A:$A,0)),"")</f>
        <v/>
      </c>
      <c r="T531" s="4">
        <f t="shared" ref="T531:T536" si="156">Q531*R531</f>
        <v>600000000</v>
      </c>
      <c r="U531" s="8">
        <f t="shared" si="149"/>
        <v>6</v>
      </c>
      <c r="V531" s="43" t="s">
        <v>28</v>
      </c>
      <c r="W531" s="45" t="s">
        <v>29</v>
      </c>
      <c r="X531" s="46">
        <v>6.46</v>
      </c>
      <c r="Y531" s="9">
        <f>IF(AND(V531="DI",$W531=100),$X531/100,
IF(AND(V531="DI",$W531&lt;&gt;100,$X531=""),INDEX('Debs %CDI'!$Q:$Q,MATCH(Base!$C531,'Debs %CDI'!$A:$A,0)),
IF($V531="USD",INDEX(Bonds!$AF:$AF,MATCH(Base!$C531,Bonds!$B:$B,0)),
IF($V531="IPCA",INDEX('Debs IPCA'!$Z:$Z,MATCH(Base!$C531,'Debs IPCA'!$A:$A,0))))))</f>
        <v>-1.1284162663882658E-4</v>
      </c>
      <c r="Z531" s="43">
        <v>252</v>
      </c>
      <c r="AA531" s="43" t="s">
        <v>30</v>
      </c>
      <c r="AB531" s="43" t="s">
        <v>31</v>
      </c>
      <c r="AC531">
        <f t="shared" si="146"/>
        <v>1</v>
      </c>
      <c r="AD531" s="43" t="s">
        <v>32</v>
      </c>
      <c r="AE531">
        <f t="shared" si="147"/>
        <v>0</v>
      </c>
      <c r="AF531" s="34" t="str" cm="1">
        <f t="array" ref="AF531">INDEX(Ratings!$B$2:$M$40,_xlfn.XMATCH(Base!F531,Ratings!$A$2:$A$40),_xlfn.XMATCH(YEAR(Base!K531),Ratings!$B$1:$M$1))</f>
        <v>BBB+</v>
      </c>
      <c r="AG531">
        <f t="shared" si="153"/>
        <v>1</v>
      </c>
      <c r="AH531">
        <f>IFERROR(IFERROR(IFERROR(INDEX('EMBI+'!$B:$B,MATCH(Base!$K531,'EMBI+'!$A:$A,0)),INDEX('EMBI+'!$B:$B,MATCH(Base!$K531+1,'EMBI+'!$A:$A,0))),INDEX('EMBI+'!$B:$B,MATCH(Base!$K531+2,'EMBI+'!$A:$A,0))),INDEX('EMBI+'!$B:$B,MATCH(Base!$K531+3,'EMBI+'!$A:$A,0)))/100</f>
        <v>2.4300000000000002</v>
      </c>
      <c r="AL531" s="43"/>
      <c r="AM531" s="28"/>
      <c r="AN531" s="28"/>
    </row>
    <row r="532" spans="1:40" x14ac:dyDescent="0.35">
      <c r="A532">
        <f t="shared" si="154"/>
        <v>530</v>
      </c>
      <c r="B532">
        <f>IF(G532="Bonds",COUNTIF($G$3:G532,"Bonds"),0)</f>
        <v>0</v>
      </c>
      <c r="C532" t="str">
        <f t="shared" si="150"/>
        <v>Vale4223144058</v>
      </c>
      <c r="D532">
        <f t="shared" si="151"/>
        <v>38</v>
      </c>
      <c r="E532" s="43" t="s">
        <v>618</v>
      </c>
      <c r="F532" s="43" t="s">
        <v>619</v>
      </c>
      <c r="G532" s="43" t="s">
        <v>25</v>
      </c>
      <c r="H532">
        <f t="shared" si="143"/>
        <v>0</v>
      </c>
      <c r="I532" s="43" t="s">
        <v>621</v>
      </c>
      <c r="J532" s="34">
        <f t="shared" si="152"/>
        <v>2</v>
      </c>
      <c r="K532" s="28">
        <v>42231</v>
      </c>
      <c r="L532" s="28">
        <v>44058</v>
      </c>
      <c r="M532" s="60">
        <f t="shared" si="144"/>
        <v>5.0054794520547947</v>
      </c>
      <c r="N532" s="4">
        <f t="shared" si="145"/>
        <v>1</v>
      </c>
      <c r="O532" s="43" t="s">
        <v>44</v>
      </c>
      <c r="P532" t="str">
        <f t="shared" si="148"/>
        <v>0</v>
      </c>
      <c r="Q532" s="44">
        <v>800000</v>
      </c>
      <c r="R532" s="43">
        <v>1000</v>
      </c>
      <c r="S532" s="34" t="str">
        <f>IF($V532="USD",INDEX('Dólar Spot'!$B:$B,MATCH(Base!$K532,'Dólar Spot'!$A:$A,0)),"")</f>
        <v/>
      </c>
      <c r="T532" s="4">
        <f t="shared" si="156"/>
        <v>800000000</v>
      </c>
      <c r="U532" s="8">
        <f t="shared" si="149"/>
        <v>8</v>
      </c>
      <c r="V532" s="43" t="s">
        <v>28</v>
      </c>
      <c r="W532" s="45" t="s">
        <v>29</v>
      </c>
      <c r="X532" s="46">
        <v>6.6231999999999998</v>
      </c>
      <c r="Y532" s="9">
        <f>IF(AND(V532="DI",$W532=100),$X532/100,
IF(AND(V532="DI",$W532&lt;&gt;100,$X532=""),INDEX('Debs %CDI'!$Q:$Q,MATCH(Base!$C532,'Debs %CDI'!$A:$A,0)),
IF($V532="USD",INDEX(Bonds!$AF:$AF,MATCH(Base!$C532,Bonds!$B:$B,0)),
IF($V532="IPCA",INDEX('Debs IPCA'!$Z:$Z,MATCH(Base!$C532,'Debs IPCA'!$A:$A,0))))))</f>
        <v>7.5205878770552292E-3</v>
      </c>
      <c r="Z532" s="43">
        <v>252</v>
      </c>
      <c r="AA532" s="43" t="s">
        <v>30</v>
      </c>
      <c r="AB532" s="43" t="s">
        <v>31</v>
      </c>
      <c r="AC532">
        <f t="shared" si="146"/>
        <v>1</v>
      </c>
      <c r="AD532" s="43" t="s">
        <v>32</v>
      </c>
      <c r="AE532">
        <f t="shared" si="147"/>
        <v>0</v>
      </c>
      <c r="AF532" s="34" t="str" cm="1">
        <f t="array" ref="AF532">INDEX(Ratings!$B$2:$M$40,_xlfn.XMATCH(Base!F532,Ratings!$A$2:$A$40),_xlfn.XMATCH(YEAR(Base!K532),Ratings!$B$1:$M$1))</f>
        <v>BBB+</v>
      </c>
      <c r="AG532">
        <f t="shared" si="153"/>
        <v>1</v>
      </c>
      <c r="AH532">
        <f>IFERROR(IFERROR(IFERROR(INDEX('EMBI+'!$B:$B,MATCH(Base!$K532,'EMBI+'!$A:$A,0)),INDEX('EMBI+'!$B:$B,MATCH(Base!$K532+1,'EMBI+'!$A:$A,0))),INDEX('EMBI+'!$B:$B,MATCH(Base!$K532+2,'EMBI+'!$A:$A,0))),INDEX('EMBI+'!$B:$B,MATCH(Base!$K532+3,'EMBI+'!$A:$A,0)))/100</f>
        <v>3.16</v>
      </c>
      <c r="AL532" s="43"/>
      <c r="AM532" s="28"/>
      <c r="AN532" s="28"/>
    </row>
    <row r="533" spans="1:40" x14ac:dyDescent="0.35">
      <c r="A533">
        <f t="shared" si="154"/>
        <v>531</v>
      </c>
      <c r="B533">
        <f>IF(G533="Bonds",COUNTIF($G$3:G533,"Bonds"),0)</f>
        <v>0</v>
      </c>
      <c r="C533" t="str">
        <f t="shared" si="150"/>
        <v>Vale4165445306</v>
      </c>
      <c r="D533">
        <f t="shared" si="151"/>
        <v>38</v>
      </c>
      <c r="E533" s="43" t="s">
        <v>618</v>
      </c>
      <c r="F533" s="43" t="s">
        <v>619</v>
      </c>
      <c r="G533" s="43" t="s">
        <v>25</v>
      </c>
      <c r="H533">
        <f t="shared" si="143"/>
        <v>0</v>
      </c>
      <c r="I533" s="43" t="s">
        <v>622</v>
      </c>
      <c r="J533" s="34">
        <f t="shared" si="152"/>
        <v>3</v>
      </c>
      <c r="K533" s="28">
        <v>41654</v>
      </c>
      <c r="L533" s="28">
        <v>45306</v>
      </c>
      <c r="M533" s="60">
        <f t="shared" si="144"/>
        <v>10.005479452054795</v>
      </c>
      <c r="N533" s="4">
        <f t="shared" si="145"/>
        <v>1</v>
      </c>
      <c r="O533" s="43" t="s">
        <v>44</v>
      </c>
      <c r="P533" t="str">
        <f t="shared" si="148"/>
        <v>0</v>
      </c>
      <c r="Q533" s="44">
        <v>150000</v>
      </c>
      <c r="R533" s="43">
        <v>1000</v>
      </c>
      <c r="S533" s="34" t="str">
        <f>IF($V533="USD",INDEX('Dólar Spot'!$B:$B,MATCH(Base!$K533,'Dólar Spot'!$A:$A,0)),"")</f>
        <v/>
      </c>
      <c r="T533" s="4">
        <f t="shared" si="156"/>
        <v>150000000</v>
      </c>
      <c r="U533" s="8">
        <f t="shared" si="149"/>
        <v>1.5</v>
      </c>
      <c r="V533" s="43" t="s">
        <v>28</v>
      </c>
      <c r="W533" s="45" t="s">
        <v>29</v>
      </c>
      <c r="X533" s="46">
        <v>6.57</v>
      </c>
      <c r="Y533" s="9">
        <f>IF(AND(V533="DI",$W533=100),$X533/100,
IF(AND(V533="DI",$W533&lt;&gt;100,$X533=""),INDEX('Debs %CDI'!$Q:$Q,MATCH(Base!$C533,'Debs %CDI'!$A:$A,0)),
IF($V533="USD",INDEX(Bonds!$AF:$AF,MATCH(Base!$C533,Bonds!$B:$B,0)),
IF($V533="IPCA",INDEX('Debs IPCA'!$Z:$Z,MATCH(Base!$C533,'Debs IPCA'!$A:$A,0))))))</f>
        <v>2.4544996723085966E-4</v>
      </c>
      <c r="Z533" s="43">
        <v>252</v>
      </c>
      <c r="AA533" s="43" t="s">
        <v>30</v>
      </c>
      <c r="AB533" s="43" t="s">
        <v>31</v>
      </c>
      <c r="AC533">
        <f t="shared" si="146"/>
        <v>1</v>
      </c>
      <c r="AD533" s="43" t="s">
        <v>32</v>
      </c>
      <c r="AE533">
        <f t="shared" si="147"/>
        <v>0</v>
      </c>
      <c r="AF533" s="34" t="str" cm="1">
        <f t="array" ref="AF533">INDEX(Ratings!$B$2:$M$40,_xlfn.XMATCH(Base!F533,Ratings!$A$2:$A$40),_xlfn.XMATCH(YEAR(Base!K533),Ratings!$B$1:$M$1))</f>
        <v>BBB+</v>
      </c>
      <c r="AG533">
        <f t="shared" si="153"/>
        <v>1</v>
      </c>
      <c r="AH533">
        <f>IFERROR(IFERROR(IFERROR(INDEX('EMBI+'!$B:$B,MATCH(Base!$K533,'EMBI+'!$A:$A,0)),INDEX('EMBI+'!$B:$B,MATCH(Base!$K533+1,'EMBI+'!$A:$A,0))),INDEX('EMBI+'!$B:$B,MATCH(Base!$K533+2,'EMBI+'!$A:$A,0))),INDEX('EMBI+'!$B:$B,MATCH(Base!$K533+3,'EMBI+'!$A:$A,0)))/100</f>
        <v>2.4300000000000002</v>
      </c>
      <c r="AL533" s="43"/>
      <c r="AM533" s="28"/>
      <c r="AN533" s="28"/>
    </row>
    <row r="534" spans="1:40" x14ac:dyDescent="0.35">
      <c r="A534">
        <f t="shared" si="154"/>
        <v>532</v>
      </c>
      <c r="B534">
        <f>IF(G534="Bonds",COUNTIF($G$3:G534,"Bonds"),0)</f>
        <v>0</v>
      </c>
      <c r="C534" t="str">
        <f t="shared" si="150"/>
        <v>Vale4223144788</v>
      </c>
      <c r="D534">
        <f t="shared" si="151"/>
        <v>38</v>
      </c>
      <c r="E534" s="43" t="s">
        <v>618</v>
      </c>
      <c r="F534" s="43" t="s">
        <v>619</v>
      </c>
      <c r="G534" s="43" t="s">
        <v>25</v>
      </c>
      <c r="H534">
        <f t="shared" si="143"/>
        <v>0</v>
      </c>
      <c r="I534" s="43" t="s">
        <v>623</v>
      </c>
      <c r="J534" s="34">
        <f t="shared" si="152"/>
        <v>4</v>
      </c>
      <c r="K534" s="28">
        <v>42231</v>
      </c>
      <c r="L534" s="28">
        <v>44788</v>
      </c>
      <c r="M534" s="60">
        <f t="shared" si="144"/>
        <v>7.0054794520547947</v>
      </c>
      <c r="N534" s="4">
        <f t="shared" si="145"/>
        <v>1</v>
      </c>
      <c r="O534" s="43" t="s">
        <v>44</v>
      </c>
      <c r="P534" t="str">
        <f t="shared" si="148"/>
        <v>0</v>
      </c>
      <c r="Q534" s="44">
        <v>550000</v>
      </c>
      <c r="R534" s="43">
        <v>1000</v>
      </c>
      <c r="S534" s="34" t="str">
        <f>IF($V534="USD",INDEX('Dólar Spot'!$B:$B,MATCH(Base!$K534,'Dólar Spot'!$A:$A,0)),"")</f>
        <v/>
      </c>
      <c r="T534" s="4">
        <f t="shared" si="156"/>
        <v>550000000</v>
      </c>
      <c r="U534" s="8">
        <f t="shared" si="149"/>
        <v>5.5</v>
      </c>
      <c r="V534" s="43" t="s">
        <v>28</v>
      </c>
      <c r="W534" s="45" t="s">
        <v>29</v>
      </c>
      <c r="X534" s="46">
        <v>6.6252000000000004</v>
      </c>
      <c r="Y534" s="9">
        <f>IF(AND(V534="DI",$W534=100),$X534/100,
IF(AND(V534="DI",$W534&lt;&gt;100,$X534=""),INDEX('Debs %CDI'!$Q:$Q,MATCH(Base!$C534,'Debs %CDI'!$A:$A,0)),
IF($V534="USD",INDEX(Bonds!$AF:$AF,MATCH(Base!$C534,Bonds!$B:$B,0)),
IF($V534="IPCA",INDEX('Debs IPCA'!$Z:$Z,MATCH(Base!$C534,'Debs IPCA'!$A:$A,0))))))</f>
        <v>7.6999024418418216E-3</v>
      </c>
      <c r="Z534" s="43">
        <v>252</v>
      </c>
      <c r="AA534" s="43" t="s">
        <v>30</v>
      </c>
      <c r="AB534" s="43" t="s">
        <v>31</v>
      </c>
      <c r="AC534">
        <f t="shared" si="146"/>
        <v>1</v>
      </c>
      <c r="AD534" s="43" t="s">
        <v>32</v>
      </c>
      <c r="AE534">
        <f t="shared" si="147"/>
        <v>0</v>
      </c>
      <c r="AF534" s="34" t="str" cm="1">
        <f t="array" ref="AF534">INDEX(Ratings!$B$2:$M$40,_xlfn.XMATCH(Base!F534,Ratings!$A$2:$A$40),_xlfn.XMATCH(YEAR(Base!K534),Ratings!$B$1:$M$1))</f>
        <v>BBB+</v>
      </c>
      <c r="AG534">
        <f t="shared" si="153"/>
        <v>1</v>
      </c>
      <c r="AH534">
        <f>IFERROR(IFERROR(IFERROR(INDEX('EMBI+'!$B:$B,MATCH(Base!$K534,'EMBI+'!$A:$A,0)),INDEX('EMBI+'!$B:$B,MATCH(Base!$K534+1,'EMBI+'!$A:$A,0))),INDEX('EMBI+'!$B:$B,MATCH(Base!$K534+2,'EMBI+'!$A:$A,0))),INDEX('EMBI+'!$B:$B,MATCH(Base!$K534+3,'EMBI+'!$A:$A,0)))/100</f>
        <v>3.16</v>
      </c>
      <c r="AL534" s="43"/>
      <c r="AM534" s="28"/>
      <c r="AN534" s="28"/>
    </row>
    <row r="535" spans="1:40" x14ac:dyDescent="0.35">
      <c r="A535">
        <f t="shared" si="154"/>
        <v>533</v>
      </c>
      <c r="B535">
        <f>IF(G535="Bonds",COUNTIF($G$3:G535,"Bonds"),0)</f>
        <v>0</v>
      </c>
      <c r="C535" t="str">
        <f t="shared" si="150"/>
        <v>Vale4165446037</v>
      </c>
      <c r="D535">
        <f t="shared" si="151"/>
        <v>38</v>
      </c>
      <c r="E535" s="43" t="s">
        <v>618</v>
      </c>
      <c r="F535" s="43" t="s">
        <v>619</v>
      </c>
      <c r="G535" s="43" t="s">
        <v>25</v>
      </c>
      <c r="H535">
        <f t="shared" si="143"/>
        <v>0</v>
      </c>
      <c r="I535" s="43" t="s">
        <v>624</v>
      </c>
      <c r="J535" s="34">
        <f t="shared" si="152"/>
        <v>5</v>
      </c>
      <c r="K535" s="28">
        <v>41654</v>
      </c>
      <c r="L535" s="28">
        <v>46037</v>
      </c>
      <c r="M535" s="60">
        <f t="shared" si="144"/>
        <v>12.008219178082191</v>
      </c>
      <c r="N535" s="4">
        <f t="shared" si="145"/>
        <v>1</v>
      </c>
      <c r="O535" s="43" t="s">
        <v>44</v>
      </c>
      <c r="P535" t="str">
        <f t="shared" si="148"/>
        <v>0</v>
      </c>
      <c r="Q535" s="44">
        <v>100000</v>
      </c>
      <c r="R535" s="43">
        <v>1000</v>
      </c>
      <c r="S535" s="34" t="str">
        <f>IF($V535="USD",INDEX('Dólar Spot'!$B:$B,MATCH(Base!$K535,'Dólar Spot'!$A:$A,0)),"")</f>
        <v/>
      </c>
      <c r="T535" s="4">
        <f t="shared" si="156"/>
        <v>100000000</v>
      </c>
      <c r="U535" s="8">
        <f t="shared" si="149"/>
        <v>1</v>
      </c>
      <c r="V535" s="43" t="s">
        <v>28</v>
      </c>
      <c r="W535" s="45" t="s">
        <v>29</v>
      </c>
      <c r="X535" s="46">
        <v>6.71</v>
      </c>
      <c r="Y535" s="9">
        <f>IF(AND(V535="DI",$W535=100),$X535/100,
IF(AND(V535="DI",$W535&lt;&gt;100,$X535=""),INDEX('Debs %CDI'!$Q:$Q,MATCH(Base!$C535,'Debs %CDI'!$A:$A,0)),
IF($V535="USD",INDEX(Bonds!$AF:$AF,MATCH(Base!$C535,Bonds!$B:$B,0)),
IF($V535="IPCA",INDEX('Debs IPCA'!$Z:$Z,MATCH(Base!$C535,'Debs IPCA'!$A:$A,0))))))</f>
        <v>1.5348639145729148E-3</v>
      </c>
      <c r="Z535" s="43">
        <v>252</v>
      </c>
      <c r="AA535" s="43" t="s">
        <v>30</v>
      </c>
      <c r="AB535" s="43" t="s">
        <v>31</v>
      </c>
      <c r="AC535">
        <f t="shared" si="146"/>
        <v>1</v>
      </c>
      <c r="AD535" s="43" t="s">
        <v>32</v>
      </c>
      <c r="AE535">
        <f t="shared" si="147"/>
        <v>0</v>
      </c>
      <c r="AF535" s="34" t="str" cm="1">
        <f t="array" ref="AF535">INDEX(Ratings!$B$2:$M$40,_xlfn.XMATCH(Base!F535,Ratings!$A$2:$A$40),_xlfn.XMATCH(YEAR(Base!K535),Ratings!$B$1:$M$1))</f>
        <v>BBB+</v>
      </c>
      <c r="AG535">
        <f t="shared" si="153"/>
        <v>1</v>
      </c>
      <c r="AH535">
        <f>IFERROR(IFERROR(IFERROR(INDEX('EMBI+'!$B:$B,MATCH(Base!$K535,'EMBI+'!$A:$A,0)),INDEX('EMBI+'!$B:$B,MATCH(Base!$K535+1,'EMBI+'!$A:$A,0))),INDEX('EMBI+'!$B:$B,MATCH(Base!$K535+2,'EMBI+'!$A:$A,0))),INDEX('EMBI+'!$B:$B,MATCH(Base!$K535+3,'EMBI+'!$A:$A,0)))/100</f>
        <v>2.4300000000000002</v>
      </c>
      <c r="AL535" s="43"/>
      <c r="AM535" s="28"/>
      <c r="AN535" s="28"/>
    </row>
    <row r="536" spans="1:40" x14ac:dyDescent="0.35">
      <c r="A536">
        <f t="shared" si="154"/>
        <v>534</v>
      </c>
      <c r="B536">
        <f>IF(G536="Bonds",COUNTIF($G$3:G536,"Bonds"),0)</f>
        <v>0</v>
      </c>
      <c r="C536" t="str">
        <f t="shared" si="150"/>
        <v>Vale4165447133</v>
      </c>
      <c r="D536">
        <f t="shared" si="151"/>
        <v>38</v>
      </c>
      <c r="E536" s="43" t="s">
        <v>618</v>
      </c>
      <c r="F536" s="43" t="s">
        <v>619</v>
      </c>
      <c r="G536" s="43" t="s">
        <v>25</v>
      </c>
      <c r="H536">
        <f t="shared" si="143"/>
        <v>0</v>
      </c>
      <c r="I536" s="43" t="s">
        <v>625</v>
      </c>
      <c r="J536" s="34">
        <f t="shared" si="152"/>
        <v>6</v>
      </c>
      <c r="K536" s="28">
        <v>41654</v>
      </c>
      <c r="L536" s="28">
        <v>47133</v>
      </c>
      <c r="M536" s="60">
        <f t="shared" si="144"/>
        <v>15.010958904109589</v>
      </c>
      <c r="N536" s="4">
        <f t="shared" si="145"/>
        <v>1</v>
      </c>
      <c r="O536" s="43" t="s">
        <v>44</v>
      </c>
      <c r="P536" t="str">
        <f t="shared" si="148"/>
        <v>0</v>
      </c>
      <c r="Q536" s="44">
        <v>150000</v>
      </c>
      <c r="R536" s="43">
        <v>1000</v>
      </c>
      <c r="S536" s="34" t="str">
        <f>IF($V536="USD",INDEX('Dólar Spot'!$B:$B,MATCH(Base!$K536,'Dólar Spot'!$A:$A,0)),"")</f>
        <v/>
      </c>
      <c r="T536" s="4">
        <f t="shared" si="156"/>
        <v>150000000</v>
      </c>
      <c r="U536" s="8">
        <f t="shared" si="149"/>
        <v>1.5</v>
      </c>
      <c r="V536" s="43" t="s">
        <v>28</v>
      </c>
      <c r="W536" s="45" t="s">
        <v>29</v>
      </c>
      <c r="X536" s="46">
        <v>6.78</v>
      </c>
      <c r="Y536" s="9">
        <f>IF(AND(V536="DI",$W536=100),$X536/100,
IF(AND(V536="DI",$W536&lt;&gt;100,$X536=""),INDEX('Debs %CDI'!$Q:$Q,MATCH(Base!$C536,'Debs %CDI'!$A:$A,0)),
IF($V536="USD",INDEX(Bonds!$AF:$AF,MATCH(Base!$C536,Bonds!$B:$B,0)),
IF($V536="IPCA",INDEX('Debs IPCA'!$Z:$Z,MATCH(Base!$C536,'Debs IPCA'!$A:$A,0))))))</f>
        <v>2.1918542666863328E-3</v>
      </c>
      <c r="Z536" s="43">
        <v>252</v>
      </c>
      <c r="AA536" s="43" t="s">
        <v>30</v>
      </c>
      <c r="AB536" s="43" t="s">
        <v>31</v>
      </c>
      <c r="AC536">
        <f t="shared" si="146"/>
        <v>1</v>
      </c>
      <c r="AD536" s="43" t="s">
        <v>32</v>
      </c>
      <c r="AE536">
        <f t="shared" si="147"/>
        <v>0</v>
      </c>
      <c r="AF536" s="34" t="str" cm="1">
        <f t="array" ref="AF536">INDEX(Ratings!$B$2:$M$40,_xlfn.XMATCH(Base!F536,Ratings!$A$2:$A$40),_xlfn.XMATCH(YEAR(Base!K536),Ratings!$B$1:$M$1))</f>
        <v>BBB+</v>
      </c>
      <c r="AG536">
        <f t="shared" si="153"/>
        <v>1</v>
      </c>
      <c r="AH536">
        <f>IFERROR(IFERROR(IFERROR(INDEX('EMBI+'!$B:$B,MATCH(Base!$K536,'EMBI+'!$A:$A,0)),INDEX('EMBI+'!$B:$B,MATCH(Base!$K536+1,'EMBI+'!$A:$A,0))),INDEX('EMBI+'!$B:$B,MATCH(Base!$K536+2,'EMBI+'!$A:$A,0))),INDEX('EMBI+'!$B:$B,MATCH(Base!$K536+3,'EMBI+'!$A:$A,0)))/100</f>
        <v>2.4300000000000002</v>
      </c>
      <c r="AL536" s="43"/>
      <c r="AM536" s="28"/>
      <c r="AN536" s="28"/>
    </row>
    <row r="537" spans="1:40" x14ac:dyDescent="0.35">
      <c r="A537">
        <f t="shared" si="154"/>
        <v>535</v>
      </c>
      <c r="B537">
        <f>IF(G537="Bonds",COUNTIF($G$3:G537,"Bonds"),0)</f>
        <v>157</v>
      </c>
      <c r="C537" t="str">
        <f t="shared" si="150"/>
        <v>Vale4402008/07/2030</v>
      </c>
      <c r="D537">
        <f t="shared" si="151"/>
        <v>38</v>
      </c>
      <c r="E537" s="43" t="s">
        <v>626</v>
      </c>
      <c r="F537" s="43" t="s">
        <v>619</v>
      </c>
      <c r="G537" s="43" t="s">
        <v>34</v>
      </c>
      <c r="H537">
        <f t="shared" si="143"/>
        <v>1</v>
      </c>
      <c r="I537" s="43"/>
      <c r="J537" s="34">
        <f t="shared" si="152"/>
        <v>7</v>
      </c>
      <c r="K537" s="28">
        <v>44020</v>
      </c>
      <c r="L537" s="28" t="s">
        <v>627</v>
      </c>
      <c r="M537" s="60">
        <f t="shared" si="144"/>
        <v>10.005479452054795</v>
      </c>
      <c r="N537" s="4">
        <f t="shared" si="145"/>
        <v>1</v>
      </c>
      <c r="O537" s="43" t="s">
        <v>36</v>
      </c>
      <c r="P537" t="str">
        <f t="shared" si="148"/>
        <v>0</v>
      </c>
      <c r="Q537" s="43"/>
      <c r="R537" s="43"/>
      <c r="S537" s="34">
        <f>IF($V537="USD",INDEX('Dólar Spot'!$B:$B,MATCH(Base!$K537,'Dólar Spot'!$A:$A,0)),"")</f>
        <v>5.3475999999999999</v>
      </c>
      <c r="T537" s="44">
        <v>1500000000</v>
      </c>
      <c r="U537" s="8">
        <f t="shared" si="149"/>
        <v>80.213999999999999</v>
      </c>
      <c r="V537" s="43" t="s">
        <v>651</v>
      </c>
      <c r="W537" s="45" t="s">
        <v>29</v>
      </c>
      <c r="X537" s="53">
        <v>3.75</v>
      </c>
      <c r="Y537" s="9">
        <f>IF(AND(V537="DI",$W537=100),$X537/100,
IF(AND(V537="DI",$W537&lt;&gt;100,$X537=""),INDEX('Debs %CDI'!$Q:$Q,MATCH(Base!$C537,'Debs %CDI'!$A:$A,0)),
IF($V537="USD",INDEX(Bonds!$AF:$AF,MATCH(Base!$C537,Bonds!$B:$B,0)),
IF($V537="IPCA",INDEX('Debs IPCA'!$Z:$Z,MATCH(Base!$C537,'Debs IPCA'!$A:$A,0))))))</f>
        <v>1.803324538990414E-2</v>
      </c>
      <c r="Z537" s="43">
        <v>360</v>
      </c>
      <c r="AA537" s="43" t="s">
        <v>37</v>
      </c>
      <c r="AB537" s="43" t="s">
        <v>32</v>
      </c>
      <c r="AC537">
        <f t="shared" si="146"/>
        <v>0</v>
      </c>
      <c r="AD537" s="43" t="s">
        <v>31</v>
      </c>
      <c r="AE537">
        <f t="shared" si="147"/>
        <v>1</v>
      </c>
      <c r="AF537" s="34" t="str" cm="1">
        <f t="array" ref="AF537">INDEX(Ratings!$B$2:$M$40,_xlfn.XMATCH(Base!F537,Ratings!$A$2:$A$40),_xlfn.XMATCH(YEAR(Base!K537),Ratings!$B$1:$M$1))</f>
        <v>BBB</v>
      </c>
      <c r="AG537">
        <f t="shared" si="153"/>
        <v>1</v>
      </c>
      <c r="AH537">
        <f>IFERROR(IFERROR(IFERROR(INDEX('EMBI+'!$B:$B,MATCH(Base!$K537,'EMBI+'!$A:$A,0)),INDEX('EMBI+'!$B:$B,MATCH(Base!$K537+1,'EMBI+'!$A:$A,0))),INDEX('EMBI+'!$B:$B,MATCH(Base!$K537+2,'EMBI+'!$A:$A,0))),INDEX('EMBI+'!$B:$B,MATCH(Base!$K537+3,'EMBI+'!$A:$A,0)))/100</f>
        <v>3.74</v>
      </c>
      <c r="AL537" s="43"/>
      <c r="AM537" s="28"/>
      <c r="AN537" s="28"/>
    </row>
    <row r="538" spans="1:40" x14ac:dyDescent="0.35">
      <c r="A538">
        <f t="shared" si="154"/>
        <v>536</v>
      </c>
      <c r="B538">
        <f>IF(G538="Bonds",COUNTIF($G$3:G538,"Bonds"),0)</f>
        <v>158</v>
      </c>
      <c r="C538" t="str">
        <f t="shared" si="150"/>
        <v>Vale4259210/08/2026</v>
      </c>
      <c r="D538">
        <f t="shared" si="151"/>
        <v>38</v>
      </c>
      <c r="E538" s="43" t="s">
        <v>626</v>
      </c>
      <c r="F538" s="43" t="s">
        <v>619</v>
      </c>
      <c r="G538" s="43" t="s">
        <v>34</v>
      </c>
      <c r="H538">
        <f t="shared" si="143"/>
        <v>1</v>
      </c>
      <c r="I538" s="43"/>
      <c r="J538" s="34">
        <f t="shared" si="152"/>
        <v>8</v>
      </c>
      <c r="K538" s="28">
        <v>42592</v>
      </c>
      <c r="L538" s="28" t="s">
        <v>628</v>
      </c>
      <c r="M538" s="60">
        <f t="shared" si="144"/>
        <v>10.005479452054795</v>
      </c>
      <c r="N538" s="4">
        <f t="shared" si="145"/>
        <v>1</v>
      </c>
      <c r="O538" s="43" t="s">
        <v>36</v>
      </c>
      <c r="P538" t="str">
        <f t="shared" si="148"/>
        <v>0</v>
      </c>
      <c r="Q538" s="43"/>
      <c r="R538" s="43"/>
      <c r="S538" s="34">
        <f>IF($V538="USD",INDEX('Dólar Spot'!$B:$B,MATCH(Base!$K538,'Dólar Spot'!$A:$A,0)),"")</f>
        <v>3.1295999999999999</v>
      </c>
      <c r="T538" s="44">
        <v>1000000000</v>
      </c>
      <c r="U538" s="8">
        <f t="shared" si="149"/>
        <v>31.295999999999999</v>
      </c>
      <c r="V538" s="43" t="s">
        <v>651</v>
      </c>
      <c r="W538" s="45" t="s">
        <v>29</v>
      </c>
      <c r="X538" s="53">
        <v>6.25</v>
      </c>
      <c r="Y538" s="9">
        <f>IF(AND(V538="DI",$W538=100),$X538/100,
IF(AND(V538="DI",$W538&lt;&gt;100,$X538=""),INDEX('Debs %CDI'!$Q:$Q,MATCH(Base!$C538,'Debs %CDI'!$A:$A,0)),
IF($V538="USD",INDEX(Bonds!$AF:$AF,MATCH(Base!$C538,Bonds!$B:$B,0)),
IF($V538="IPCA",INDEX('Debs IPCA'!$Z:$Z,MATCH(Base!$C538,'Debs IPCA'!$A:$A,0))))))</f>
        <v>1.2194609831299053E-2</v>
      </c>
      <c r="Z538" s="43">
        <v>360</v>
      </c>
      <c r="AA538" s="43" t="s">
        <v>37</v>
      </c>
      <c r="AB538" s="43" t="s">
        <v>32</v>
      </c>
      <c r="AC538">
        <f t="shared" si="146"/>
        <v>0</v>
      </c>
      <c r="AD538" s="43" t="s">
        <v>32</v>
      </c>
      <c r="AE538">
        <f t="shared" si="147"/>
        <v>0</v>
      </c>
      <c r="AF538" s="34" t="str" cm="1">
        <f t="array" ref="AF538">INDEX(Ratings!$B$2:$M$40,_xlfn.XMATCH(Base!F538,Ratings!$A$2:$A$40),_xlfn.XMATCH(YEAR(Base!K538),Ratings!$B$1:$M$1))</f>
        <v>BBB</v>
      </c>
      <c r="AG538">
        <f t="shared" si="153"/>
        <v>1</v>
      </c>
      <c r="AH538">
        <f>IFERROR(IFERROR(IFERROR(INDEX('EMBI+'!$B:$B,MATCH(Base!$K538,'EMBI+'!$A:$A,0)),INDEX('EMBI+'!$B:$B,MATCH(Base!$K538+1,'EMBI+'!$A:$A,0))),INDEX('EMBI+'!$B:$B,MATCH(Base!$K538+2,'EMBI+'!$A:$A,0))),INDEX('EMBI+'!$B:$B,MATCH(Base!$K538+3,'EMBI+'!$A:$A,0)))/100</f>
        <v>3.16</v>
      </c>
      <c r="AL538" s="43"/>
      <c r="AM538" s="28"/>
      <c r="AN538" s="28"/>
    </row>
    <row r="539" spans="1:40" x14ac:dyDescent="0.35">
      <c r="A539">
        <f t="shared" si="154"/>
        <v>537</v>
      </c>
      <c r="B539">
        <f>IF(G539="Bonds",COUNTIF($G$3:G539,"Bonds"),0)</f>
        <v>159</v>
      </c>
      <c r="C539" t="str">
        <f t="shared" si="150"/>
        <v>Vale4253110/06/2021</v>
      </c>
      <c r="D539">
        <f t="shared" si="151"/>
        <v>38</v>
      </c>
      <c r="E539" s="43" t="s">
        <v>626</v>
      </c>
      <c r="F539" s="43" t="s">
        <v>619</v>
      </c>
      <c r="G539" s="43" t="s">
        <v>34</v>
      </c>
      <c r="H539">
        <f t="shared" si="143"/>
        <v>1</v>
      </c>
      <c r="I539" s="43"/>
      <c r="J539" s="34">
        <f t="shared" si="152"/>
        <v>9</v>
      </c>
      <c r="K539" s="28">
        <v>42531</v>
      </c>
      <c r="L539" s="28" t="s">
        <v>196</v>
      </c>
      <c r="M539" s="60">
        <f t="shared" si="144"/>
        <v>5.0027397260273974</v>
      </c>
      <c r="N539" s="4">
        <f t="shared" si="145"/>
        <v>1</v>
      </c>
      <c r="O539" s="43" t="s">
        <v>36</v>
      </c>
      <c r="P539" t="str">
        <f t="shared" si="148"/>
        <v>0</v>
      </c>
      <c r="Q539" s="43"/>
      <c r="R539" s="43"/>
      <c r="S539" s="34">
        <f>IF($V539="USD",INDEX('Dólar Spot'!$B:$B,MATCH(Base!$K539,'Dólar Spot'!$A:$A,0)),"")</f>
        <v>3.4255</v>
      </c>
      <c r="T539" s="44">
        <v>1250000000</v>
      </c>
      <c r="U539" s="8">
        <f t="shared" si="149"/>
        <v>42.818750000000001</v>
      </c>
      <c r="V539" s="43" t="s">
        <v>651</v>
      </c>
      <c r="W539" s="45" t="s">
        <v>29</v>
      </c>
      <c r="X539" s="53">
        <v>5.875</v>
      </c>
      <c r="Y539" s="9">
        <f>IF(AND(V539="DI",$W539=100),$X539/100,
IF(AND(V539="DI",$W539&lt;&gt;100,$X539=""),INDEX('Debs %CDI'!$Q:$Q,MATCH(Base!$C539,'Debs %CDI'!$A:$A,0)),
IF($V539="USD",INDEX(Bonds!$AF:$AF,MATCH(Base!$C539,Bonds!$B:$B,0)),
IF($V539="IPCA",INDEX('Debs IPCA'!$Z:$Z,MATCH(Base!$C539,'Debs IPCA'!$A:$A,0))))))</f>
        <v>1.8286108583573712E-2</v>
      </c>
      <c r="Z539" s="43">
        <v>360</v>
      </c>
      <c r="AA539" s="43" t="s">
        <v>37</v>
      </c>
      <c r="AB539" s="43" t="s">
        <v>32</v>
      </c>
      <c r="AC539">
        <f t="shared" si="146"/>
        <v>0</v>
      </c>
      <c r="AD539" s="43" t="s">
        <v>32</v>
      </c>
      <c r="AE539">
        <f t="shared" si="147"/>
        <v>0</v>
      </c>
      <c r="AF539" s="34" t="str" cm="1">
        <f t="array" ref="AF539">INDEX(Ratings!$B$2:$M$40,_xlfn.XMATCH(Base!F539,Ratings!$A$2:$A$40),_xlfn.XMATCH(YEAR(Base!K539),Ratings!$B$1:$M$1))</f>
        <v>BBB</v>
      </c>
      <c r="AG539">
        <f t="shared" si="153"/>
        <v>1</v>
      </c>
      <c r="AH539">
        <f>IFERROR(IFERROR(IFERROR(INDEX('EMBI+'!$B:$B,MATCH(Base!$K539,'EMBI+'!$A:$A,0)),INDEX('EMBI+'!$B:$B,MATCH(Base!$K539+1,'EMBI+'!$A:$A,0))),INDEX('EMBI+'!$B:$B,MATCH(Base!$K539+2,'EMBI+'!$A:$A,0))),INDEX('EMBI+'!$B:$B,MATCH(Base!$K539+3,'EMBI+'!$A:$A,0)))/100</f>
        <v>3.83</v>
      </c>
      <c r="AL539" s="43"/>
      <c r="AM539" s="28"/>
      <c r="AN539" s="28"/>
    </row>
    <row r="540" spans="1:40" x14ac:dyDescent="0.35">
      <c r="A540">
        <f t="shared" si="154"/>
        <v>538</v>
      </c>
      <c r="B540">
        <f>IF(G540="Bonds",COUNTIF($G$3:G540,"Bonds"),0)</f>
        <v>160</v>
      </c>
      <c r="C540" t="str">
        <f t="shared" si="150"/>
        <v>Vale4091911/01/2022</v>
      </c>
      <c r="D540">
        <f t="shared" si="151"/>
        <v>38</v>
      </c>
      <c r="E540" s="43" t="s">
        <v>626</v>
      </c>
      <c r="F540" s="43" t="s">
        <v>619</v>
      </c>
      <c r="G540" s="43" t="s">
        <v>34</v>
      </c>
      <c r="H540">
        <f t="shared" si="143"/>
        <v>1</v>
      </c>
      <c r="I540" s="43"/>
      <c r="J540" s="34">
        <f t="shared" si="152"/>
        <v>10</v>
      </c>
      <c r="K540" s="28">
        <v>40919</v>
      </c>
      <c r="L540" s="28" t="s">
        <v>629</v>
      </c>
      <c r="M540" s="60">
        <f t="shared" si="144"/>
        <v>10.008219178082191</v>
      </c>
      <c r="N540" s="4">
        <f t="shared" si="145"/>
        <v>1</v>
      </c>
      <c r="O540" s="43" t="s">
        <v>36</v>
      </c>
      <c r="P540" t="str">
        <f t="shared" si="148"/>
        <v>0</v>
      </c>
      <c r="Q540" s="43"/>
      <c r="R540" s="43"/>
      <c r="S540" s="34">
        <f>IF($V540="USD",INDEX('Dólar Spot'!$B:$B,MATCH(Base!$K540,'Dólar Spot'!$A:$A,0)),"")</f>
        <v>1.8041</v>
      </c>
      <c r="T540" s="44">
        <v>2250000000</v>
      </c>
      <c r="U540" s="8">
        <f t="shared" si="149"/>
        <v>40.59225</v>
      </c>
      <c r="V540" s="43" t="s">
        <v>651</v>
      </c>
      <c r="W540" s="45" t="s">
        <v>29</v>
      </c>
      <c r="X540" s="53">
        <v>4.375</v>
      </c>
      <c r="Y540" s="9">
        <f>IF(AND(V540="DI",$W540=100),$X540/100,
IF(AND(V540="DI",$W540&lt;&gt;100,$X540=""),INDEX('Debs %CDI'!$Q:$Q,MATCH(Base!$C540,'Debs %CDI'!$A:$A,0)),
IF($V540="USD",INDEX(Bonds!$AF:$AF,MATCH(Base!$C540,Bonds!$B:$B,0)),
IF($V540="IPCA",INDEX('Debs IPCA'!$Z:$Z,MATCH(Base!$C540,'Debs IPCA'!$A:$A,0))))))</f>
        <v>1.4181478949022441E-3</v>
      </c>
      <c r="Z540" s="43">
        <v>360</v>
      </c>
      <c r="AA540" s="43" t="s">
        <v>37</v>
      </c>
      <c r="AB540" s="43" t="s">
        <v>32</v>
      </c>
      <c r="AC540">
        <f t="shared" si="146"/>
        <v>0</v>
      </c>
      <c r="AD540" s="43" t="s">
        <v>32</v>
      </c>
      <c r="AE540">
        <f t="shared" si="147"/>
        <v>0</v>
      </c>
      <c r="AF540" s="34" t="str" cm="1">
        <f t="array" ref="AF540">INDEX(Ratings!$B$2:$M$40,_xlfn.XMATCH(Base!F540,Ratings!$A$2:$A$40),_xlfn.XMATCH(YEAR(Base!K540),Ratings!$B$1:$M$1))</f>
        <v>BBB+</v>
      </c>
      <c r="AG540">
        <f t="shared" si="153"/>
        <v>1</v>
      </c>
      <c r="AH540">
        <f>IFERROR(IFERROR(IFERROR(INDEX('EMBI+'!$B:$B,MATCH(Base!$K540,'EMBI+'!$A:$A,0)),INDEX('EMBI+'!$B:$B,MATCH(Base!$K540+1,'EMBI+'!$A:$A,0))),INDEX('EMBI+'!$B:$B,MATCH(Base!$K540+2,'EMBI+'!$A:$A,0))),INDEX('EMBI+'!$B:$B,MATCH(Base!$K540+3,'EMBI+'!$A:$A,0)))/100</f>
        <v>2.33</v>
      </c>
      <c r="AL540" s="43"/>
      <c r="AM540" s="28"/>
      <c r="AN540" s="28"/>
    </row>
    <row r="541" spans="1:40" x14ac:dyDescent="0.35">
      <c r="A541">
        <f t="shared" si="154"/>
        <v>539</v>
      </c>
      <c r="B541">
        <f>IF(G541="Bonds",COUNTIF($G$3:G541,"Bonds"),0)</f>
        <v>161</v>
      </c>
      <c r="C541" t="str">
        <f t="shared" si="150"/>
        <v>Vale4116311/09/2042</v>
      </c>
      <c r="D541">
        <f t="shared" si="151"/>
        <v>38</v>
      </c>
      <c r="E541" s="43" t="s">
        <v>630</v>
      </c>
      <c r="F541" s="43" t="s">
        <v>619</v>
      </c>
      <c r="G541" s="43" t="s">
        <v>34</v>
      </c>
      <c r="H541">
        <f t="shared" si="143"/>
        <v>1</v>
      </c>
      <c r="I541" s="43"/>
      <c r="J541" s="34">
        <f t="shared" si="152"/>
        <v>11</v>
      </c>
      <c r="K541" s="28">
        <v>41163</v>
      </c>
      <c r="L541" s="28" t="s">
        <v>631</v>
      </c>
      <c r="M541" s="60">
        <f t="shared" si="144"/>
        <v>30.019178082191782</v>
      </c>
      <c r="N541" s="4">
        <f t="shared" si="145"/>
        <v>1</v>
      </c>
      <c r="O541" s="43" t="s">
        <v>29</v>
      </c>
      <c r="P541" t="str">
        <f t="shared" si="148"/>
        <v>0</v>
      </c>
      <c r="Q541" s="43"/>
      <c r="R541" s="43"/>
      <c r="S541" s="34">
        <f>IF($V541="USD",INDEX('Dólar Spot'!$B:$B,MATCH(Base!$K541,'Dólar Spot'!$A:$A,0)),"")</f>
        <v>2.0192000000000001</v>
      </c>
      <c r="T541" s="44">
        <v>1500000000</v>
      </c>
      <c r="U541" s="8">
        <f t="shared" si="149"/>
        <v>30.288</v>
      </c>
      <c r="V541" s="43" t="s">
        <v>651</v>
      </c>
      <c r="W541" s="45" t="s">
        <v>29</v>
      </c>
      <c r="X541" s="53">
        <v>5.625</v>
      </c>
      <c r="Y541" s="9">
        <f>IF(AND(V541="DI",$W541=100),$X541/100,
IF(AND(V541="DI",$W541&lt;&gt;100,$X541=""),INDEX('Debs %CDI'!$Q:$Q,MATCH(Base!$C541,'Debs %CDI'!$A:$A,0)),
IF($V541="USD",INDEX(Bonds!$AF:$AF,MATCH(Base!$C541,Bonds!$B:$B,0)),
IF($V541="IPCA",INDEX('Debs IPCA'!$Z:$Z,MATCH(Base!$C541,'Debs IPCA'!$A:$A,0))))))</f>
        <v>2.5937831332745409E-2</v>
      </c>
      <c r="Z541" s="43">
        <v>360</v>
      </c>
      <c r="AA541" s="43" t="s">
        <v>37</v>
      </c>
      <c r="AB541" s="43" t="s">
        <v>32</v>
      </c>
      <c r="AC541">
        <f t="shared" si="146"/>
        <v>0</v>
      </c>
      <c r="AD541" s="43" t="s">
        <v>32</v>
      </c>
      <c r="AE541">
        <f t="shared" si="147"/>
        <v>0</v>
      </c>
      <c r="AF541" s="34" t="str" cm="1">
        <f t="array" ref="AF541">INDEX(Ratings!$B$2:$M$40,_xlfn.XMATCH(Base!F541,Ratings!$A$2:$A$40),_xlfn.XMATCH(YEAR(Base!K541),Ratings!$B$1:$M$1))</f>
        <v>BBB+</v>
      </c>
      <c r="AG541">
        <f t="shared" si="153"/>
        <v>1</v>
      </c>
      <c r="AH541">
        <f>IFERROR(IFERROR(IFERROR(INDEX('EMBI+'!$B:$B,MATCH(Base!$K541,'EMBI+'!$A:$A,0)),INDEX('EMBI+'!$B:$B,MATCH(Base!$K541+1,'EMBI+'!$A:$A,0))),INDEX('EMBI+'!$B:$B,MATCH(Base!$K541+2,'EMBI+'!$A:$A,0))),INDEX('EMBI+'!$B:$B,MATCH(Base!$K541+3,'EMBI+'!$A:$A,0)))/100</f>
        <v>1.63</v>
      </c>
      <c r="AL541" s="43"/>
      <c r="AM541" s="28"/>
      <c r="AN541" s="28"/>
    </row>
    <row r="542" spans="1:40" x14ac:dyDescent="0.35">
      <c r="A542">
        <f t="shared" si="154"/>
        <v>540</v>
      </c>
      <c r="B542">
        <f>IF(G542="Bonds",COUNTIF($G$3:G542,"Bonds"),0)</f>
        <v>0</v>
      </c>
      <c r="C542" t="str">
        <f t="shared" si="150"/>
        <v>Votorantim Cimentos4188343344</v>
      </c>
      <c r="D542">
        <f t="shared" si="151"/>
        <v>39</v>
      </c>
      <c r="E542" s="43" t="s">
        <v>632</v>
      </c>
      <c r="F542" s="43" t="s">
        <v>633</v>
      </c>
      <c r="G542" s="43" t="s">
        <v>25</v>
      </c>
      <c r="H542">
        <f t="shared" si="143"/>
        <v>0</v>
      </c>
      <c r="I542" s="43" t="s">
        <v>634</v>
      </c>
      <c r="J542" s="34">
        <f t="shared" si="152"/>
        <v>1</v>
      </c>
      <c r="K542" s="28">
        <v>41883</v>
      </c>
      <c r="L542" s="28">
        <v>43344</v>
      </c>
      <c r="M542" s="60">
        <f t="shared" si="144"/>
        <v>4.0027397260273974</v>
      </c>
      <c r="N542" s="4">
        <f t="shared" si="145"/>
        <v>0</v>
      </c>
      <c r="O542" s="43" t="s">
        <v>44</v>
      </c>
      <c r="P542" t="str">
        <f t="shared" si="148"/>
        <v>0</v>
      </c>
      <c r="Q542" s="44">
        <v>15000</v>
      </c>
      <c r="R542" s="43">
        <v>10000</v>
      </c>
      <c r="S542" s="34" t="str">
        <f>IF($V542="USD",INDEX('Dólar Spot'!$B:$B,MATCH(Base!$K542,'Dólar Spot'!$A:$A,0)),"")</f>
        <v/>
      </c>
      <c r="T542" s="4">
        <f t="shared" ref="T542:T555" si="157">Q542*R542</f>
        <v>150000000</v>
      </c>
      <c r="U542" s="8">
        <f t="shared" si="149"/>
        <v>1.5</v>
      </c>
      <c r="V542" s="43" t="s">
        <v>41</v>
      </c>
      <c r="W542" s="45">
        <v>108.8</v>
      </c>
      <c r="X542" s="46"/>
      <c r="Y542" s="9">
        <f>IF(AND(V542="DI",$W542=100),$X542/100,
IF(AND(V542="DI",$W542&lt;&gt;100,$X542=""),INDEX('Debs %CDI'!$Q:$Q,MATCH(Base!$C542,'Debs %CDI'!$A:$A,0)),
IF($V542="USD",INDEX(Bonds!$AF:$AF,MATCH(Base!$C542,Bonds!$B:$B,0)),
IF($V542="IPCA",INDEX('Debs IPCA'!$Z:$Z,MATCH(Base!$C542,'Debs IPCA'!$A:$A,0))))))</f>
        <v>9.7810905659582829E-3</v>
      </c>
      <c r="Z542" s="43">
        <v>252</v>
      </c>
      <c r="AA542" s="43" t="s">
        <v>30</v>
      </c>
      <c r="AB542" s="43" t="s">
        <v>32</v>
      </c>
      <c r="AC542">
        <f t="shared" si="146"/>
        <v>0</v>
      </c>
      <c r="AD542" s="43" t="s">
        <v>31</v>
      </c>
      <c r="AE542">
        <f t="shared" si="147"/>
        <v>1</v>
      </c>
      <c r="AF542" s="34" t="str" cm="1">
        <f t="array" ref="AF542">INDEX(Ratings!$B$2:$M$40,_xlfn.XMATCH(Base!F542,Ratings!$A$2:$A$40),_xlfn.XMATCH(YEAR(Base!K542),Ratings!$B$1:$M$1))</f>
        <v>BBB</v>
      </c>
      <c r="AG542">
        <f t="shared" si="153"/>
        <v>1</v>
      </c>
      <c r="AH542">
        <f>IFERROR(IFERROR(IFERROR(INDEX('EMBI+'!$B:$B,MATCH(Base!$K542,'EMBI+'!$A:$A,0)),INDEX('EMBI+'!$B:$B,MATCH(Base!$K542+1,'EMBI+'!$A:$A,0))),INDEX('EMBI+'!$B:$B,MATCH(Base!$K542+2,'EMBI+'!$A:$A,0))),INDEX('EMBI+'!$B:$B,MATCH(Base!$K542+3,'EMBI+'!$A:$A,0)))/100</f>
        <v>2.0499999999999998</v>
      </c>
      <c r="AL542" s="43"/>
      <c r="AM542" s="28"/>
      <c r="AN542" s="28"/>
    </row>
    <row r="543" spans="1:40" x14ac:dyDescent="0.35">
      <c r="A543">
        <f t="shared" si="154"/>
        <v>541</v>
      </c>
      <c r="B543">
        <f>IF(G543="Bonds",COUNTIF($G$3:G543,"Bonds"),0)</f>
        <v>0</v>
      </c>
      <c r="C543" t="str">
        <f t="shared" si="150"/>
        <v>Votorantim Cimentos4231345721</v>
      </c>
      <c r="D543">
        <f t="shared" si="151"/>
        <v>39</v>
      </c>
      <c r="E543" s="43" t="s">
        <v>632</v>
      </c>
      <c r="F543" s="43" t="s">
        <v>633</v>
      </c>
      <c r="G543" s="43" t="s">
        <v>25</v>
      </c>
      <c r="H543">
        <f t="shared" si="143"/>
        <v>0</v>
      </c>
      <c r="I543" s="43" t="s">
        <v>635</v>
      </c>
      <c r="J543" s="34">
        <f t="shared" si="152"/>
        <v>2</v>
      </c>
      <c r="K543" s="28">
        <v>42313</v>
      </c>
      <c r="L543" s="28">
        <v>45721</v>
      </c>
      <c r="M543" s="60">
        <f t="shared" si="144"/>
        <v>9.3369863013698637</v>
      </c>
      <c r="N543" s="4">
        <f t="shared" si="145"/>
        <v>1</v>
      </c>
      <c r="O543" s="43" t="s">
        <v>44</v>
      </c>
      <c r="P543" t="str">
        <f t="shared" si="148"/>
        <v>0</v>
      </c>
      <c r="Q543" s="44">
        <v>75000</v>
      </c>
      <c r="R543" s="43">
        <v>10000</v>
      </c>
      <c r="S543" s="34" t="str">
        <f>IF($V543="USD",INDEX('Dólar Spot'!$B:$B,MATCH(Base!$K543,'Dólar Spot'!$A:$A,0)),"")</f>
        <v/>
      </c>
      <c r="T543" s="4">
        <f t="shared" si="157"/>
        <v>750000000</v>
      </c>
      <c r="U543" s="8">
        <f t="shared" si="149"/>
        <v>7.5</v>
      </c>
      <c r="V543" s="43" t="s">
        <v>41</v>
      </c>
      <c r="W543" s="45">
        <v>112</v>
      </c>
      <c r="X543" s="46"/>
      <c r="Y543" s="9">
        <f>IF(AND(V543="DI",$W543=100),$X543/100,
IF(AND(V543="DI",$W543&lt;&gt;100,$X543=""),INDEX('Debs %CDI'!$Q:$Q,MATCH(Base!$C543,'Debs %CDI'!$A:$A,0)),
IF($V543="USD",INDEX(Bonds!$AF:$AF,MATCH(Base!$C543,Bonds!$B:$B,0)),
IF($V543="IPCA",INDEX('Debs IPCA'!$Z:$Z,MATCH(Base!$C543,'Debs IPCA'!$A:$A,0))))))</f>
        <v>1.8736446205041373E-2</v>
      </c>
      <c r="Z543" s="43">
        <v>252</v>
      </c>
      <c r="AA543" s="43" t="s">
        <v>30</v>
      </c>
      <c r="AB543" s="43" t="s">
        <v>32</v>
      </c>
      <c r="AC543">
        <f t="shared" si="146"/>
        <v>0</v>
      </c>
      <c r="AD543" s="43" t="s">
        <v>31</v>
      </c>
      <c r="AE543">
        <f t="shared" si="147"/>
        <v>1</v>
      </c>
      <c r="AF543" s="34" t="str" cm="1">
        <f t="array" ref="AF543">INDEX(Ratings!$B$2:$M$40,_xlfn.XMATCH(Base!F543,Ratings!$A$2:$A$40),_xlfn.XMATCH(YEAR(Base!K543),Ratings!$B$1:$M$1))</f>
        <v>BBB</v>
      </c>
      <c r="AG543">
        <f t="shared" si="153"/>
        <v>1</v>
      </c>
      <c r="AH543">
        <f>IFERROR(IFERROR(IFERROR(INDEX('EMBI+'!$B:$B,MATCH(Base!$K543,'EMBI+'!$A:$A,0)),INDEX('EMBI+'!$B:$B,MATCH(Base!$K543+1,'EMBI+'!$A:$A,0))),INDEX('EMBI+'!$B:$B,MATCH(Base!$K543+2,'EMBI+'!$A:$A,0))),INDEX('EMBI+'!$B:$B,MATCH(Base!$K543+3,'EMBI+'!$A:$A,0)))/100</f>
        <v>3.87</v>
      </c>
      <c r="AL543" s="43"/>
      <c r="AM543" s="28"/>
      <c r="AN543" s="28"/>
    </row>
    <row r="544" spans="1:40" x14ac:dyDescent="0.35">
      <c r="A544">
        <f t="shared" si="154"/>
        <v>542</v>
      </c>
      <c r="B544">
        <f>IF(G544="Bonds",COUNTIF($G$3:G544,"Bonds"),0)</f>
        <v>0</v>
      </c>
      <c r="C544" t="str">
        <f t="shared" si="150"/>
        <v>Votorantim Cimentos4274544571</v>
      </c>
      <c r="D544">
        <f t="shared" si="151"/>
        <v>39</v>
      </c>
      <c r="E544" s="43" t="s">
        <v>632</v>
      </c>
      <c r="F544" s="43" t="s">
        <v>633</v>
      </c>
      <c r="G544" s="43" t="s">
        <v>25</v>
      </c>
      <c r="H544">
        <f t="shared" si="143"/>
        <v>0</v>
      </c>
      <c r="I544" s="43" t="s">
        <v>636</v>
      </c>
      <c r="J544" s="34">
        <f t="shared" si="152"/>
        <v>3</v>
      </c>
      <c r="K544" s="28">
        <v>42745</v>
      </c>
      <c r="L544" s="28">
        <v>44571</v>
      </c>
      <c r="M544" s="60">
        <f t="shared" si="144"/>
        <v>5.0027397260273974</v>
      </c>
      <c r="N544" s="4">
        <f t="shared" si="145"/>
        <v>1</v>
      </c>
      <c r="O544" s="43" t="s">
        <v>44</v>
      </c>
      <c r="P544" t="str">
        <f t="shared" si="148"/>
        <v>0</v>
      </c>
      <c r="Q544" s="44">
        <v>500000000</v>
      </c>
      <c r="R544" s="43">
        <v>1</v>
      </c>
      <c r="S544" s="34" t="str">
        <f>IF($V544="USD",INDEX('Dólar Spot'!$B:$B,MATCH(Base!$K544,'Dólar Spot'!$A:$A,0)),"")</f>
        <v/>
      </c>
      <c r="T544" s="4">
        <f t="shared" si="157"/>
        <v>500000000</v>
      </c>
      <c r="U544" s="8">
        <f t="shared" si="149"/>
        <v>5</v>
      </c>
      <c r="V544" s="43" t="s">
        <v>41</v>
      </c>
      <c r="W544" s="45">
        <v>119.9</v>
      </c>
      <c r="X544" s="46"/>
      <c r="Y544" s="9">
        <f>IF(AND(V544="DI",$W544=100),$X544/100,
IF(AND(V544="DI",$W544&lt;&gt;100,$X544=""),INDEX('Debs %CDI'!$Q:$Q,MATCH(Base!$C544,'Debs %CDI'!$A:$A,0)),
IF($V544="USD",INDEX(Bonds!$AF:$AF,MATCH(Base!$C544,Bonds!$B:$B,0)),
IF($V544="IPCA",INDEX('Debs IPCA'!$Z:$Z,MATCH(Base!$C544,'Debs IPCA'!$A:$A,0))))))</f>
        <v>2.233316455374515E-2</v>
      </c>
      <c r="Z544" s="43">
        <v>252</v>
      </c>
      <c r="AA544" s="43" t="s">
        <v>30</v>
      </c>
      <c r="AB544" s="43" t="s">
        <v>32</v>
      </c>
      <c r="AC544">
        <f t="shared" si="146"/>
        <v>0</v>
      </c>
      <c r="AD544" s="43" t="s">
        <v>31</v>
      </c>
      <c r="AE544">
        <f t="shared" si="147"/>
        <v>1</v>
      </c>
      <c r="AF544" s="34" t="str" cm="1">
        <f t="array" ref="AF544">INDEX(Ratings!$B$2:$M$40,_xlfn.XMATCH(Base!F544,Ratings!$A$2:$A$40),_xlfn.XMATCH(YEAR(Base!K544),Ratings!$B$1:$M$1))</f>
        <v>BBB-</v>
      </c>
      <c r="AG544">
        <f t="shared" si="153"/>
        <v>1</v>
      </c>
      <c r="AH544">
        <f>IFERROR(IFERROR(IFERROR(INDEX('EMBI+'!$B:$B,MATCH(Base!$K544,'EMBI+'!$A:$A,0)),INDEX('EMBI+'!$B:$B,MATCH(Base!$K544+1,'EMBI+'!$A:$A,0))),INDEX('EMBI+'!$B:$B,MATCH(Base!$K544+2,'EMBI+'!$A:$A,0))),INDEX('EMBI+'!$B:$B,MATCH(Base!$K544+3,'EMBI+'!$A:$A,0)))/100</f>
        <v>3.05</v>
      </c>
      <c r="AL544" s="43"/>
      <c r="AM544" s="28"/>
      <c r="AN544" s="28"/>
    </row>
    <row r="545" spans="1:40" x14ac:dyDescent="0.35">
      <c r="A545">
        <f t="shared" si="154"/>
        <v>543</v>
      </c>
      <c r="B545">
        <f>IF(G545="Bonds",COUNTIF($G$3:G545,"Bonds"),0)</f>
        <v>0</v>
      </c>
      <c r="C545" t="str">
        <f t="shared" si="150"/>
        <v>Votorantim Cimentos4188343709</v>
      </c>
      <c r="D545">
        <f t="shared" si="151"/>
        <v>39</v>
      </c>
      <c r="E545" s="43" t="s">
        <v>632</v>
      </c>
      <c r="F545" s="43" t="s">
        <v>633</v>
      </c>
      <c r="G545" s="43" t="s">
        <v>25</v>
      </c>
      <c r="H545">
        <f t="shared" si="143"/>
        <v>0</v>
      </c>
      <c r="I545" s="43" t="s">
        <v>637</v>
      </c>
      <c r="J545" s="34">
        <f t="shared" si="152"/>
        <v>4</v>
      </c>
      <c r="K545" s="28">
        <v>41883</v>
      </c>
      <c r="L545" s="28">
        <v>43709</v>
      </c>
      <c r="M545" s="60">
        <f t="shared" si="144"/>
        <v>5.0027397260273974</v>
      </c>
      <c r="N545" s="4">
        <f t="shared" si="145"/>
        <v>1</v>
      </c>
      <c r="O545" s="43" t="s">
        <v>44</v>
      </c>
      <c r="P545" t="str">
        <f t="shared" si="148"/>
        <v>0</v>
      </c>
      <c r="Q545" s="44">
        <v>30000</v>
      </c>
      <c r="R545" s="43">
        <v>10000</v>
      </c>
      <c r="S545" s="34" t="str">
        <f>IF($V545="USD",INDEX('Dólar Spot'!$B:$B,MATCH(Base!$K545,'Dólar Spot'!$A:$A,0)),"")</f>
        <v/>
      </c>
      <c r="T545" s="4">
        <f t="shared" si="157"/>
        <v>300000000</v>
      </c>
      <c r="U545" s="8">
        <f t="shared" si="149"/>
        <v>3</v>
      </c>
      <c r="V545" s="43" t="s">
        <v>41</v>
      </c>
      <c r="W545" s="45">
        <v>107.91</v>
      </c>
      <c r="X545" s="46"/>
      <c r="Y545" s="9">
        <f>IF(AND(V545="DI",$W545=100),$X545/100,
IF(AND(V545="DI",$W545&lt;&gt;100,$X545=""),INDEX('Debs %CDI'!$Q:$Q,MATCH(Base!$C545,'Debs %CDI'!$A:$A,0)),
IF($V545="USD",INDEX(Bonds!$AF:$AF,MATCH(Base!$C545,Bonds!$B:$B,0)),
IF($V545="IPCA",INDEX('Debs IPCA'!$Z:$Z,MATCH(Base!$C545,'Debs IPCA'!$A:$A,0))))))</f>
        <v>8.7377622129751632E-3</v>
      </c>
      <c r="Z545" s="43">
        <v>252</v>
      </c>
      <c r="AA545" s="43" t="s">
        <v>30</v>
      </c>
      <c r="AB545" s="43" t="s">
        <v>32</v>
      </c>
      <c r="AC545">
        <f t="shared" si="146"/>
        <v>0</v>
      </c>
      <c r="AD545" s="43" t="s">
        <v>31</v>
      </c>
      <c r="AE545">
        <f t="shared" si="147"/>
        <v>1</v>
      </c>
      <c r="AF545" s="34" t="str" cm="1">
        <f t="array" ref="AF545">INDEX(Ratings!$B$2:$M$40,_xlfn.XMATCH(Base!F545,Ratings!$A$2:$A$40),_xlfn.XMATCH(YEAR(Base!K545),Ratings!$B$1:$M$1))</f>
        <v>BBB</v>
      </c>
      <c r="AG545">
        <f t="shared" si="153"/>
        <v>1</v>
      </c>
      <c r="AH545">
        <f>IFERROR(IFERROR(IFERROR(INDEX('EMBI+'!$B:$B,MATCH(Base!$K545,'EMBI+'!$A:$A,0)),INDEX('EMBI+'!$B:$B,MATCH(Base!$K545+1,'EMBI+'!$A:$A,0))),INDEX('EMBI+'!$B:$B,MATCH(Base!$K545+2,'EMBI+'!$A:$A,0))),INDEX('EMBI+'!$B:$B,MATCH(Base!$K545+3,'EMBI+'!$A:$A,0)))/100</f>
        <v>2.0499999999999998</v>
      </c>
      <c r="AL545" s="43"/>
      <c r="AM545" s="28"/>
      <c r="AN545" s="28"/>
    </row>
    <row r="546" spans="1:40" x14ac:dyDescent="0.35">
      <c r="A546">
        <f t="shared" si="154"/>
        <v>544</v>
      </c>
      <c r="B546">
        <f>IF(G546="Bonds",COUNTIF($G$3:G546,"Bonds"),0)</f>
        <v>0</v>
      </c>
      <c r="C546" t="str">
        <f t="shared" si="150"/>
        <v>Votorantim Cimentos4188343709</v>
      </c>
      <c r="D546">
        <f t="shared" si="151"/>
        <v>39</v>
      </c>
      <c r="E546" s="43" t="s">
        <v>632</v>
      </c>
      <c r="F546" s="43" t="s">
        <v>633</v>
      </c>
      <c r="G546" s="43" t="s">
        <v>25</v>
      </c>
      <c r="H546">
        <f t="shared" si="143"/>
        <v>0</v>
      </c>
      <c r="I546" s="43" t="s">
        <v>638</v>
      </c>
      <c r="J546" s="34">
        <f t="shared" si="152"/>
        <v>5</v>
      </c>
      <c r="K546" s="28">
        <v>41883</v>
      </c>
      <c r="L546" s="28">
        <v>43709</v>
      </c>
      <c r="M546" s="60">
        <f t="shared" si="144"/>
        <v>5.0027397260273974</v>
      </c>
      <c r="N546" s="4">
        <f t="shared" si="145"/>
        <v>1</v>
      </c>
      <c r="O546" s="43" t="s">
        <v>44</v>
      </c>
      <c r="P546" t="str">
        <f t="shared" si="148"/>
        <v>0</v>
      </c>
      <c r="Q546" s="44">
        <v>15000</v>
      </c>
      <c r="R546" s="43">
        <v>10000</v>
      </c>
      <c r="S546" s="34" t="str">
        <f>IF($V546="USD",INDEX('Dólar Spot'!$B:$B,MATCH(Base!$K546,'Dólar Spot'!$A:$A,0)),"")</f>
        <v/>
      </c>
      <c r="T546" s="4">
        <f t="shared" si="157"/>
        <v>150000000</v>
      </c>
      <c r="U546" s="8">
        <f t="shared" si="149"/>
        <v>1.5</v>
      </c>
      <c r="V546" s="43" t="s">
        <v>41</v>
      </c>
      <c r="W546" s="45">
        <v>109.4</v>
      </c>
      <c r="X546" s="46"/>
      <c r="Y546" s="9">
        <f>IF(AND(V546="DI",$W546=100),$X546/100,
IF(AND(V546="DI",$W546&lt;&gt;100,$X546=""),INDEX('Debs %CDI'!$Q:$Q,MATCH(Base!$C546,'Debs %CDI'!$A:$A,0)),
IF($V546="USD",INDEX(Bonds!$AF:$AF,MATCH(Base!$C546,Bonds!$B:$B,0)),
IF($V546="IPCA",INDEX('Debs IPCA'!$Z:$Z,MATCH(Base!$C546,'Debs IPCA'!$A:$A,0))))))</f>
        <v>8.7377622129751632E-3</v>
      </c>
      <c r="Z546" s="43">
        <v>252</v>
      </c>
      <c r="AA546" s="43" t="s">
        <v>30</v>
      </c>
      <c r="AB546" s="43" t="s">
        <v>32</v>
      </c>
      <c r="AC546">
        <f t="shared" si="146"/>
        <v>0</v>
      </c>
      <c r="AD546" s="43" t="s">
        <v>31</v>
      </c>
      <c r="AE546">
        <f t="shared" si="147"/>
        <v>1</v>
      </c>
      <c r="AF546" s="34" t="str" cm="1">
        <f t="array" ref="AF546">INDEX(Ratings!$B$2:$M$40,_xlfn.XMATCH(Base!F546,Ratings!$A$2:$A$40),_xlfn.XMATCH(YEAR(Base!K546),Ratings!$B$1:$M$1))</f>
        <v>BBB</v>
      </c>
      <c r="AG546">
        <f t="shared" si="153"/>
        <v>1</v>
      </c>
      <c r="AH546">
        <f>IFERROR(IFERROR(IFERROR(INDEX('EMBI+'!$B:$B,MATCH(Base!$K546,'EMBI+'!$A:$A,0)),INDEX('EMBI+'!$B:$B,MATCH(Base!$K546+1,'EMBI+'!$A:$A,0))),INDEX('EMBI+'!$B:$B,MATCH(Base!$K546+2,'EMBI+'!$A:$A,0))),INDEX('EMBI+'!$B:$B,MATCH(Base!$K546+3,'EMBI+'!$A:$A,0)))/100</f>
        <v>2.0499999999999998</v>
      </c>
      <c r="AL546" s="43"/>
      <c r="AM546" s="28"/>
      <c r="AN546" s="28"/>
    </row>
    <row r="547" spans="1:40" x14ac:dyDescent="0.35">
      <c r="A547">
        <f t="shared" si="154"/>
        <v>545</v>
      </c>
      <c r="B547">
        <f>IF(G547="Bonds",COUNTIF($G$3:G547,"Bonds"),0)</f>
        <v>0</v>
      </c>
      <c r="C547" t="str">
        <f t="shared" si="150"/>
        <v>Votorantim Cimentos4424746073</v>
      </c>
      <c r="D547">
        <f t="shared" si="151"/>
        <v>39</v>
      </c>
      <c r="E547" s="43" t="s">
        <v>632</v>
      </c>
      <c r="F547" s="43" t="s">
        <v>633</v>
      </c>
      <c r="G547" s="43" t="s">
        <v>25</v>
      </c>
      <c r="H547">
        <f t="shared" si="143"/>
        <v>0</v>
      </c>
      <c r="I547" s="43" t="s">
        <v>639</v>
      </c>
      <c r="J547" s="34">
        <f t="shared" si="152"/>
        <v>6</v>
      </c>
      <c r="K547" s="28">
        <v>44247</v>
      </c>
      <c r="L547" s="28">
        <v>46073</v>
      </c>
      <c r="M547" s="60">
        <f t="shared" si="144"/>
        <v>5.0027397260273974</v>
      </c>
      <c r="N547" s="4">
        <f t="shared" si="145"/>
        <v>1</v>
      </c>
      <c r="O547" s="43" t="s">
        <v>44</v>
      </c>
      <c r="P547" t="str">
        <f t="shared" si="148"/>
        <v>0</v>
      </c>
      <c r="Q547" s="44">
        <v>450000</v>
      </c>
      <c r="R547" s="43">
        <v>1000</v>
      </c>
      <c r="S547" s="34" t="str">
        <f>IF($V547="USD",INDEX('Dólar Spot'!$B:$B,MATCH(Base!$K547,'Dólar Spot'!$A:$A,0)),"")</f>
        <v/>
      </c>
      <c r="T547" s="4">
        <f t="shared" si="157"/>
        <v>450000000</v>
      </c>
      <c r="U547" s="8">
        <f t="shared" si="149"/>
        <v>4.5</v>
      </c>
      <c r="V547" s="43" t="s">
        <v>41</v>
      </c>
      <c r="W547" s="45">
        <v>100</v>
      </c>
      <c r="X547" s="46">
        <v>1.45</v>
      </c>
      <c r="Y547" s="9">
        <f>IF(AND(V547="DI",$W547=100),$X547/100,
IF(AND(V547="DI",$W547&lt;&gt;100,$X547=""),INDEX('Debs %CDI'!$Q:$Q,MATCH(Base!$C547,'Debs %CDI'!$A:$A,0)),
IF($V547="USD",INDEX(Bonds!$AF:$AF,MATCH(Base!$C547,Bonds!$B:$B,0)),
IF($V547="IPCA",INDEX('Debs IPCA'!$Z:$Z,MATCH(Base!$C547,'Debs IPCA'!$A:$A,0))))))</f>
        <v>1.4499999999999999E-2</v>
      </c>
      <c r="Z547" s="43">
        <v>252</v>
      </c>
      <c r="AA547" s="43" t="s">
        <v>30</v>
      </c>
      <c r="AB547" s="43" t="s">
        <v>32</v>
      </c>
      <c r="AC547">
        <f t="shared" si="146"/>
        <v>0</v>
      </c>
      <c r="AD547" s="43" t="s">
        <v>31</v>
      </c>
      <c r="AE547">
        <f t="shared" si="147"/>
        <v>1</v>
      </c>
      <c r="AF547" s="34" t="str" cm="1">
        <f t="array" ref="AF547">INDEX(Ratings!$B$2:$M$40,_xlfn.XMATCH(Base!F547,Ratings!$A$2:$A$40),_xlfn.XMATCH(YEAR(Base!K547),Ratings!$B$1:$M$1))</f>
        <v>BBB-</v>
      </c>
      <c r="AG547">
        <f t="shared" si="153"/>
        <v>1</v>
      </c>
      <c r="AH547">
        <f>IFERROR(IFERROR(IFERROR(INDEX('EMBI+'!$B:$B,MATCH(Base!$K547,'EMBI+'!$A:$A,0)),INDEX('EMBI+'!$B:$B,MATCH(Base!$K547+1,'EMBI+'!$A:$A,0))),INDEX('EMBI+'!$B:$B,MATCH(Base!$K547+2,'EMBI+'!$A:$A,0))),INDEX('EMBI+'!$B:$B,MATCH(Base!$K547+3,'EMBI+'!$A:$A,0)))/100</f>
        <v>2.92</v>
      </c>
      <c r="AL547" s="43"/>
      <c r="AM547" s="28"/>
      <c r="AN547" s="28"/>
    </row>
    <row r="548" spans="1:40" x14ac:dyDescent="0.35">
      <c r="A548">
        <f t="shared" si="154"/>
        <v>546</v>
      </c>
      <c r="B548">
        <f>IF(G548="Bonds",COUNTIF($G$3:G548,"Bonds"),0)</f>
        <v>0</v>
      </c>
      <c r="C548" t="str">
        <f t="shared" si="150"/>
        <v>Votorantim Cimentos4447447031</v>
      </c>
      <c r="D548">
        <f t="shared" si="151"/>
        <v>39</v>
      </c>
      <c r="E548" s="43" t="s">
        <v>632</v>
      </c>
      <c r="F548" s="43" t="s">
        <v>633</v>
      </c>
      <c r="G548" s="43" t="s">
        <v>25</v>
      </c>
      <c r="H548">
        <f t="shared" si="143"/>
        <v>0</v>
      </c>
      <c r="I548" s="43" t="s">
        <v>640</v>
      </c>
      <c r="J548" s="34">
        <f t="shared" si="152"/>
        <v>7</v>
      </c>
      <c r="K548" s="28">
        <v>44474</v>
      </c>
      <c r="L548" s="28">
        <v>47031</v>
      </c>
      <c r="M548" s="60">
        <f t="shared" si="144"/>
        <v>7.0054794520547947</v>
      </c>
      <c r="N548" s="4">
        <f t="shared" si="145"/>
        <v>1</v>
      </c>
      <c r="O548" s="43" t="s">
        <v>44</v>
      </c>
      <c r="P548" t="str">
        <f t="shared" si="148"/>
        <v>0</v>
      </c>
      <c r="Q548" s="44">
        <v>500000</v>
      </c>
      <c r="R548" s="43">
        <v>1000</v>
      </c>
      <c r="S548" s="34" t="str">
        <f>IF($V548="USD",INDEX('Dólar Spot'!$B:$B,MATCH(Base!$K548,'Dólar Spot'!$A:$A,0)),"")</f>
        <v/>
      </c>
      <c r="T548" s="4">
        <f t="shared" si="157"/>
        <v>500000000</v>
      </c>
      <c r="U548" s="8">
        <f t="shared" si="149"/>
        <v>5</v>
      </c>
      <c r="V548" s="43" t="s">
        <v>41</v>
      </c>
      <c r="W548" s="45">
        <v>100</v>
      </c>
      <c r="X548" s="46">
        <v>1.55</v>
      </c>
      <c r="Y548" s="9">
        <f>IF(AND(V548="DI",$W548=100),$X548/100,
IF(AND(V548="DI",$W548&lt;&gt;100,$X548=""),INDEX('Debs %CDI'!$Q:$Q,MATCH(Base!$C548,'Debs %CDI'!$A:$A,0)),
IF($V548="USD",INDEX(Bonds!$AF:$AF,MATCH(Base!$C548,Bonds!$B:$B,0)),
IF($V548="IPCA",INDEX('Debs IPCA'!$Z:$Z,MATCH(Base!$C548,'Debs IPCA'!$A:$A,0))))))</f>
        <v>1.55E-2</v>
      </c>
      <c r="Z548" s="43">
        <v>252</v>
      </c>
      <c r="AA548" s="43" t="s">
        <v>30</v>
      </c>
      <c r="AB548" s="43" t="s">
        <v>32</v>
      </c>
      <c r="AC548">
        <f t="shared" si="146"/>
        <v>0</v>
      </c>
      <c r="AD548" s="43" t="s">
        <v>31</v>
      </c>
      <c r="AE548">
        <f t="shared" si="147"/>
        <v>1</v>
      </c>
      <c r="AF548" s="34" t="str" cm="1">
        <f t="array" ref="AF548">INDEX(Ratings!$B$2:$M$40,_xlfn.XMATCH(Base!F548,Ratings!$A$2:$A$40),_xlfn.XMATCH(YEAR(Base!K548),Ratings!$B$1:$M$1))</f>
        <v>BBB-</v>
      </c>
      <c r="AG548">
        <f t="shared" si="153"/>
        <v>1</v>
      </c>
      <c r="AH548">
        <f>IFERROR(IFERROR(IFERROR(INDEX('EMBI+'!$B:$B,MATCH(Base!$K548,'EMBI+'!$A:$A,0)),INDEX('EMBI+'!$B:$B,MATCH(Base!$K548+1,'EMBI+'!$A:$A,0))),INDEX('EMBI+'!$B:$B,MATCH(Base!$K548+2,'EMBI+'!$A:$A,0))),INDEX('EMBI+'!$B:$B,MATCH(Base!$K548+3,'EMBI+'!$A:$A,0)))/100</f>
        <v>3.32</v>
      </c>
      <c r="AL548" s="43"/>
      <c r="AM548" s="28"/>
      <c r="AN548" s="28"/>
    </row>
    <row r="549" spans="1:40" x14ac:dyDescent="0.35">
      <c r="A549">
        <f t="shared" si="154"/>
        <v>547</v>
      </c>
      <c r="B549">
        <f>IF(G549="Bonds",COUNTIF($G$3:G549,"Bonds"),0)</f>
        <v>0</v>
      </c>
      <c r="C549" t="str">
        <f t="shared" si="150"/>
        <v>Votorantim Cimentos4058844241</v>
      </c>
      <c r="D549">
        <f t="shared" si="151"/>
        <v>39</v>
      </c>
      <c r="E549" s="43" t="s">
        <v>632</v>
      </c>
      <c r="F549" s="43" t="s">
        <v>633</v>
      </c>
      <c r="G549" s="43" t="s">
        <v>25</v>
      </c>
      <c r="H549">
        <f t="shared" si="143"/>
        <v>0</v>
      </c>
      <c r="I549" s="43" t="s">
        <v>641</v>
      </c>
      <c r="J549" s="34">
        <f t="shared" si="152"/>
        <v>8</v>
      </c>
      <c r="K549" s="28">
        <v>40588</v>
      </c>
      <c r="L549" s="28">
        <v>44241</v>
      </c>
      <c r="M549" s="60">
        <f t="shared" si="144"/>
        <v>10.008219178082191</v>
      </c>
      <c r="N549" s="4">
        <f t="shared" si="145"/>
        <v>1</v>
      </c>
      <c r="O549" s="43" t="s">
        <v>44</v>
      </c>
      <c r="P549" t="str">
        <f t="shared" si="148"/>
        <v>0</v>
      </c>
      <c r="Q549" s="44">
        <v>60</v>
      </c>
      <c r="R549" s="43">
        <v>10000000</v>
      </c>
      <c r="S549" s="34" t="str">
        <f>IF($V549="USD",INDEX('Dólar Spot'!$B:$B,MATCH(Base!$K549,'Dólar Spot'!$A:$A,0)),"")</f>
        <v/>
      </c>
      <c r="T549" s="4">
        <f t="shared" si="157"/>
        <v>600000000</v>
      </c>
      <c r="U549" s="8">
        <f t="shared" si="149"/>
        <v>6</v>
      </c>
      <c r="V549" s="43" t="s">
        <v>41</v>
      </c>
      <c r="W549" s="45">
        <v>113.9</v>
      </c>
      <c r="X549" s="46"/>
      <c r="Y549" s="9">
        <f>IF(AND(V549="DI",$W549=100),$X549/100,
IF(AND(V549="DI",$W549&lt;&gt;100,$X549=""),INDEX('Debs %CDI'!$Q:$Q,MATCH(Base!$C549,'Debs %CDI'!$A:$A,0)),
IF($V549="USD",INDEX(Bonds!$AF:$AF,MATCH(Base!$C549,Bonds!$B:$B,0)),
IF($V549="IPCA",INDEX('Debs IPCA'!$Z:$Z,MATCH(Base!$C549,'Debs IPCA'!$A:$A,0))))))</f>
        <v>1.7597398896003959E-2</v>
      </c>
      <c r="Z549" s="43">
        <v>252</v>
      </c>
      <c r="AA549" s="43" t="s">
        <v>30</v>
      </c>
      <c r="AB549" s="43" t="s">
        <v>32</v>
      </c>
      <c r="AC549">
        <f t="shared" si="146"/>
        <v>0</v>
      </c>
      <c r="AD549" s="43" t="s">
        <v>31</v>
      </c>
      <c r="AE549">
        <f t="shared" si="147"/>
        <v>1</v>
      </c>
      <c r="AF549" s="34" t="str" cm="1">
        <f t="array" ref="AF549">INDEX(Ratings!$B$2:$M$40,_xlfn.XMATCH(Base!F549,Ratings!$A$2:$A$40),_xlfn.XMATCH(YEAR(Base!K549),Ratings!$B$1:$M$1))</f>
        <v>BBB-</v>
      </c>
      <c r="AG549">
        <f t="shared" si="153"/>
        <v>1</v>
      </c>
      <c r="AH549">
        <f>IFERROR(IFERROR(IFERROR(INDEX('EMBI+'!$B:$B,MATCH(Base!$K549,'EMBI+'!$A:$A,0)),INDEX('EMBI+'!$B:$B,MATCH(Base!$K549+1,'EMBI+'!$A:$A,0))),INDEX('EMBI+'!$B:$B,MATCH(Base!$K549+2,'EMBI+'!$A:$A,0))),INDEX('EMBI+'!$B:$B,MATCH(Base!$K549+3,'EMBI+'!$A:$A,0)))/100</f>
        <v>1.81</v>
      </c>
      <c r="AL549" s="43"/>
      <c r="AM549" s="28"/>
      <c r="AN549" s="28"/>
    </row>
    <row r="550" spans="1:40" x14ac:dyDescent="0.35">
      <c r="A550">
        <f t="shared" si="154"/>
        <v>548</v>
      </c>
      <c r="B550">
        <f>IF(G550="Bonds",COUNTIF($G$3:G550,"Bonds"),0)</f>
        <v>0</v>
      </c>
      <c r="C550" t="str">
        <f t="shared" si="150"/>
        <v>Votorantim Cimentos4092843251</v>
      </c>
      <c r="D550">
        <f t="shared" si="151"/>
        <v>39</v>
      </c>
      <c r="E550" s="43" t="s">
        <v>632</v>
      </c>
      <c r="F550" s="43" t="s">
        <v>633</v>
      </c>
      <c r="G550" s="43" t="s">
        <v>25</v>
      </c>
      <c r="H550">
        <f t="shared" si="143"/>
        <v>0</v>
      </c>
      <c r="I550" s="43" t="s">
        <v>642</v>
      </c>
      <c r="J550" s="34">
        <f t="shared" si="152"/>
        <v>9</v>
      </c>
      <c r="K550" s="28">
        <v>40928</v>
      </c>
      <c r="L550" s="28">
        <v>43251</v>
      </c>
      <c r="M550" s="60">
        <f t="shared" si="144"/>
        <v>6.3643835616438356</v>
      </c>
      <c r="N550" s="4">
        <f t="shared" si="145"/>
        <v>1</v>
      </c>
      <c r="O550" s="43" t="s">
        <v>44</v>
      </c>
      <c r="P550" t="str">
        <f t="shared" si="148"/>
        <v>0</v>
      </c>
      <c r="Q550" s="44">
        <v>500</v>
      </c>
      <c r="R550" s="43">
        <v>1000000</v>
      </c>
      <c r="S550" s="34" t="str">
        <f>IF($V550="USD",INDEX('Dólar Spot'!$B:$B,MATCH(Base!$K550,'Dólar Spot'!$A:$A,0)),"")</f>
        <v/>
      </c>
      <c r="T550" s="4">
        <f t="shared" si="157"/>
        <v>500000000</v>
      </c>
      <c r="U550" s="8">
        <f t="shared" si="149"/>
        <v>5</v>
      </c>
      <c r="V550" s="43" t="s">
        <v>41</v>
      </c>
      <c r="W550" s="45">
        <v>100</v>
      </c>
      <c r="X550" s="46">
        <v>1.0900000000000001</v>
      </c>
      <c r="Y550" s="9">
        <f>IF(AND(V550="DI",$W550=100),$X550/100,
IF(AND(V550="DI",$W550&lt;&gt;100,$X550=""),INDEX('Debs %CDI'!$Q:$Q,MATCH(Base!$C550,'Debs %CDI'!$A:$A,0)),
IF($V550="USD",INDEX(Bonds!$AF:$AF,MATCH(Base!$C550,Bonds!$B:$B,0)),
IF($V550="IPCA",INDEX('Debs IPCA'!$Z:$Z,MATCH(Base!$C550,'Debs IPCA'!$A:$A,0))))))</f>
        <v>1.09E-2</v>
      </c>
      <c r="Z550" s="43">
        <v>252</v>
      </c>
      <c r="AA550" s="43" t="s">
        <v>30</v>
      </c>
      <c r="AB550" s="43" t="s">
        <v>32</v>
      </c>
      <c r="AC550">
        <f t="shared" si="146"/>
        <v>0</v>
      </c>
      <c r="AD550" s="43" t="s">
        <v>31</v>
      </c>
      <c r="AE550">
        <f t="shared" si="147"/>
        <v>1</v>
      </c>
      <c r="AF550" s="34" t="str" cm="1">
        <f t="array" ref="AF550">INDEX(Ratings!$B$2:$M$40,_xlfn.XMATCH(Base!F550,Ratings!$A$2:$A$40),_xlfn.XMATCH(YEAR(Base!K550),Ratings!$B$1:$M$1))</f>
        <v>BBB</v>
      </c>
      <c r="AG550">
        <f t="shared" si="153"/>
        <v>1</v>
      </c>
      <c r="AH550">
        <f>IFERROR(IFERROR(IFERROR(INDEX('EMBI+'!$B:$B,MATCH(Base!$K550,'EMBI+'!$A:$A,0)),INDEX('EMBI+'!$B:$B,MATCH(Base!$K550+1,'EMBI+'!$A:$A,0))),INDEX('EMBI+'!$B:$B,MATCH(Base!$K550+2,'EMBI+'!$A:$A,0))),INDEX('EMBI+'!$B:$B,MATCH(Base!$K550+3,'EMBI+'!$A:$A,0)))/100</f>
        <v>2.13</v>
      </c>
      <c r="AL550" s="43"/>
      <c r="AM550" s="28"/>
      <c r="AN550" s="28"/>
    </row>
    <row r="551" spans="1:40" x14ac:dyDescent="0.35">
      <c r="A551">
        <f t="shared" si="154"/>
        <v>549</v>
      </c>
      <c r="B551">
        <f>IF(G551="Bonds",COUNTIF($G$3:G551,"Bonds"),0)</f>
        <v>0</v>
      </c>
      <c r="C551" t="str">
        <f t="shared" si="150"/>
        <v>Votorantim Cimentos4124845356</v>
      </c>
      <c r="D551">
        <f t="shared" si="151"/>
        <v>39</v>
      </c>
      <c r="E551" s="43" t="s">
        <v>632</v>
      </c>
      <c r="F551" s="43" t="s">
        <v>633</v>
      </c>
      <c r="G551" s="43" t="s">
        <v>25</v>
      </c>
      <c r="H551">
        <f t="shared" si="143"/>
        <v>0</v>
      </c>
      <c r="I551" s="43" t="s">
        <v>643</v>
      </c>
      <c r="J551" s="34">
        <f t="shared" si="152"/>
        <v>10</v>
      </c>
      <c r="K551" s="28">
        <v>41248</v>
      </c>
      <c r="L551" s="28">
        <v>45356</v>
      </c>
      <c r="M551" s="60">
        <f t="shared" si="144"/>
        <v>11.254794520547945</v>
      </c>
      <c r="N551" s="4">
        <f t="shared" si="145"/>
        <v>1</v>
      </c>
      <c r="O551" s="43" t="s">
        <v>44</v>
      </c>
      <c r="P551" t="str">
        <f t="shared" si="148"/>
        <v>0</v>
      </c>
      <c r="Q551" s="44">
        <v>120000</v>
      </c>
      <c r="R551" s="43">
        <v>10000</v>
      </c>
      <c r="S551" s="34" t="str">
        <f>IF($V551="USD",INDEX('Dólar Spot'!$B:$B,MATCH(Base!$K551,'Dólar Spot'!$A:$A,0)),"")</f>
        <v/>
      </c>
      <c r="T551" s="4">
        <f t="shared" si="157"/>
        <v>1200000000</v>
      </c>
      <c r="U551" s="8">
        <f t="shared" si="149"/>
        <v>12</v>
      </c>
      <c r="V551" s="43" t="s">
        <v>41</v>
      </c>
      <c r="W551" s="45">
        <v>118.9</v>
      </c>
      <c r="X551" s="46" t="s">
        <v>91</v>
      </c>
      <c r="Y551" s="9">
        <f>IF(AND(V551="DI",$W551=100),$X551/100,
IF(AND(V551="DI",$W551&lt;&gt;100,$X551=""),INDEX('Debs %CDI'!$Q:$Q,MATCH(Base!$C551,'Debs %CDI'!$A:$A,0)),
IF($V551="USD",INDEX(Bonds!$AF:$AF,MATCH(Base!$C551,Bonds!$B:$B,0)),
IF($V551="IPCA",INDEX('Debs IPCA'!$Z:$Z,MATCH(Base!$C551,'Debs IPCA'!$A:$A,0))))))</f>
        <v>1.7820376526369006E-2</v>
      </c>
      <c r="Z551" s="43">
        <v>252</v>
      </c>
      <c r="AA551" s="43" t="s">
        <v>30</v>
      </c>
      <c r="AB551" s="43" t="s">
        <v>32</v>
      </c>
      <c r="AC551">
        <f t="shared" si="146"/>
        <v>0</v>
      </c>
      <c r="AD551" s="43" t="s">
        <v>31</v>
      </c>
      <c r="AE551">
        <f t="shared" si="147"/>
        <v>1</v>
      </c>
      <c r="AF551" s="34" t="str" cm="1">
        <f t="array" ref="AF551">INDEX(Ratings!$B$2:$M$40,_xlfn.XMATCH(Base!F551,Ratings!$A$2:$A$40),_xlfn.XMATCH(YEAR(Base!K551),Ratings!$B$1:$M$1))</f>
        <v>BBB</v>
      </c>
      <c r="AG551">
        <f t="shared" si="153"/>
        <v>1</v>
      </c>
      <c r="AH551">
        <f>IFERROR(IFERROR(IFERROR(INDEX('EMBI+'!$B:$B,MATCH(Base!$K551,'EMBI+'!$A:$A,0)),INDEX('EMBI+'!$B:$B,MATCH(Base!$K551+1,'EMBI+'!$A:$A,0))),INDEX('EMBI+'!$B:$B,MATCH(Base!$K551+2,'EMBI+'!$A:$A,0))),INDEX('EMBI+'!$B:$B,MATCH(Base!$K551+3,'EMBI+'!$A:$A,0)))/100</f>
        <v>1.56</v>
      </c>
      <c r="AL551" s="43"/>
      <c r="AM551" s="28"/>
      <c r="AN551" s="28"/>
    </row>
    <row r="552" spans="1:40" x14ac:dyDescent="0.35">
      <c r="A552">
        <f t="shared" si="154"/>
        <v>550</v>
      </c>
      <c r="B552">
        <f>IF(G552="Bonds",COUNTIF($G$3:G552,"Bonds"),0)</f>
        <v>0</v>
      </c>
      <c r="C552" t="str">
        <f t="shared" si="150"/>
        <v>Votorantim Cimentos4161345721</v>
      </c>
      <c r="D552">
        <f t="shared" si="151"/>
        <v>39</v>
      </c>
      <c r="E552" s="43" t="s">
        <v>632</v>
      </c>
      <c r="F552" s="43" t="s">
        <v>633</v>
      </c>
      <c r="G552" s="43" t="s">
        <v>25</v>
      </c>
      <c r="H552">
        <f t="shared" si="143"/>
        <v>0</v>
      </c>
      <c r="I552" s="43" t="s">
        <v>644</v>
      </c>
      <c r="J552" s="34">
        <f t="shared" si="152"/>
        <v>11</v>
      </c>
      <c r="K552" s="28">
        <v>41613</v>
      </c>
      <c r="L552" s="28">
        <v>45721</v>
      </c>
      <c r="M552" s="60">
        <f t="shared" si="144"/>
        <v>11.254794520547945</v>
      </c>
      <c r="N552" s="4">
        <f t="shared" si="145"/>
        <v>1</v>
      </c>
      <c r="O552" s="43" t="s">
        <v>44</v>
      </c>
      <c r="P552" t="str">
        <f t="shared" si="148"/>
        <v>0</v>
      </c>
      <c r="Q552" s="44">
        <v>50000</v>
      </c>
      <c r="R552" s="43">
        <v>10000</v>
      </c>
      <c r="S552" s="34" t="str">
        <f>IF($V552="USD",INDEX('Dólar Spot'!$B:$B,MATCH(Base!$K552,'Dólar Spot'!$A:$A,0)),"")</f>
        <v/>
      </c>
      <c r="T552" s="4">
        <f t="shared" si="157"/>
        <v>500000000</v>
      </c>
      <c r="U552" s="8">
        <f t="shared" si="149"/>
        <v>5</v>
      </c>
      <c r="V552" s="43" t="s">
        <v>41</v>
      </c>
      <c r="W552" s="45">
        <v>112</v>
      </c>
      <c r="X552" s="46"/>
      <c r="Y552" s="9">
        <f>IF(AND(V552="DI",$W552=100),$X552/100,
IF(AND(V552="DI",$W552&lt;&gt;100,$X552=""),INDEX('Debs %CDI'!$Q:$Q,MATCH(Base!$C552,'Debs %CDI'!$A:$A,0)),
IF($V552="USD",INDEX(Bonds!$AF:$AF,MATCH(Base!$C552,Bonds!$B:$B,0)),
IF($V552="IPCA",INDEX('Debs IPCA'!$Z:$Z,MATCH(Base!$C552,'Debs IPCA'!$A:$A,0))))))</f>
        <v>1.5707999980897322E-2</v>
      </c>
      <c r="Z552" s="43">
        <v>252</v>
      </c>
      <c r="AA552" s="43" t="s">
        <v>30</v>
      </c>
      <c r="AB552" s="43" t="s">
        <v>32</v>
      </c>
      <c r="AC552">
        <f t="shared" si="146"/>
        <v>0</v>
      </c>
      <c r="AD552" s="43" t="s">
        <v>31</v>
      </c>
      <c r="AE552">
        <f t="shared" si="147"/>
        <v>1</v>
      </c>
      <c r="AF552" s="34" t="str" cm="1">
        <f t="array" ref="AF552">INDEX(Ratings!$B$2:$M$40,_xlfn.XMATCH(Base!F552,Ratings!$A$2:$A$40),_xlfn.XMATCH(YEAR(Base!K552),Ratings!$B$1:$M$1))</f>
        <v>BBB</v>
      </c>
      <c r="AG552">
        <f t="shared" si="153"/>
        <v>1</v>
      </c>
      <c r="AH552">
        <f>IFERROR(IFERROR(IFERROR(INDEX('EMBI+'!$B:$B,MATCH(Base!$K552,'EMBI+'!$A:$A,0)),INDEX('EMBI+'!$B:$B,MATCH(Base!$K552+1,'EMBI+'!$A:$A,0))),INDEX('EMBI+'!$B:$B,MATCH(Base!$K552+2,'EMBI+'!$A:$A,0))),INDEX('EMBI+'!$B:$B,MATCH(Base!$K552+3,'EMBI+'!$A:$A,0)))/100</f>
        <v>2.5499999999999998</v>
      </c>
      <c r="AL552" s="43"/>
      <c r="AM552" s="28"/>
      <c r="AN552" s="28"/>
    </row>
    <row r="553" spans="1:40" x14ac:dyDescent="0.35">
      <c r="A553">
        <f t="shared" si="154"/>
        <v>551</v>
      </c>
      <c r="B553">
        <f>IF(G553="Bonds",COUNTIF($G$3:G553,"Bonds"),0)</f>
        <v>0</v>
      </c>
      <c r="C553" t="str">
        <f t="shared" si="150"/>
        <v>Votorantim Cimentos4092843251</v>
      </c>
      <c r="D553">
        <f t="shared" si="151"/>
        <v>39</v>
      </c>
      <c r="E553" s="43" t="s">
        <v>632</v>
      </c>
      <c r="F553" s="43" t="s">
        <v>633</v>
      </c>
      <c r="G553" s="43" t="s">
        <v>25</v>
      </c>
      <c r="H553">
        <f t="shared" si="143"/>
        <v>0</v>
      </c>
      <c r="I553" s="43" t="s">
        <v>645</v>
      </c>
      <c r="J553" s="34">
        <f t="shared" si="152"/>
        <v>12</v>
      </c>
      <c r="K553" s="28">
        <v>40928</v>
      </c>
      <c r="L553" s="28">
        <v>43251</v>
      </c>
      <c r="M553" s="60">
        <f t="shared" si="144"/>
        <v>6.3643835616438356</v>
      </c>
      <c r="N553" s="4">
        <f t="shared" si="145"/>
        <v>1</v>
      </c>
      <c r="O553" s="43" t="s">
        <v>44</v>
      </c>
      <c r="P553" t="str">
        <f t="shared" si="148"/>
        <v>0</v>
      </c>
      <c r="Q553" s="44">
        <v>500</v>
      </c>
      <c r="R553" s="43">
        <v>1000000</v>
      </c>
      <c r="S553" s="34" t="str">
        <f>IF($V553="USD",INDEX('Dólar Spot'!$B:$B,MATCH(Base!$K553,'Dólar Spot'!$A:$A,0)),"")</f>
        <v/>
      </c>
      <c r="T553" s="4">
        <f t="shared" si="157"/>
        <v>500000000</v>
      </c>
      <c r="U553" s="8">
        <f t="shared" si="149"/>
        <v>5</v>
      </c>
      <c r="V553" s="43" t="s">
        <v>41</v>
      </c>
      <c r="W553" s="45">
        <v>111</v>
      </c>
      <c r="X553" s="46"/>
      <c r="Y553" s="9">
        <f>IF(AND(V553="DI",$W553=100),$X553/100,
IF(AND(V553="DI",$W553&lt;&gt;100,$X553=""),INDEX('Debs %CDI'!$Q:$Q,MATCH(Base!$C553,'Debs %CDI'!$A:$A,0)),
IF($V553="USD",INDEX(Bonds!$AF:$AF,MATCH(Base!$C553,Bonds!$B:$B,0)),
IF($V553="IPCA",INDEX('Debs IPCA'!$Z:$Z,MATCH(Base!$C553,'Debs IPCA'!$A:$A,0))))))</f>
        <v>1.2301859665232232E-2</v>
      </c>
      <c r="Z553" s="43">
        <v>252</v>
      </c>
      <c r="AA553" s="43" t="s">
        <v>30</v>
      </c>
      <c r="AB553" s="43" t="s">
        <v>32</v>
      </c>
      <c r="AC553">
        <f t="shared" si="146"/>
        <v>0</v>
      </c>
      <c r="AD553" s="43" t="s">
        <v>31</v>
      </c>
      <c r="AE553">
        <f t="shared" si="147"/>
        <v>1</v>
      </c>
      <c r="AF553" s="34" t="str" cm="1">
        <f t="array" ref="AF553">INDEX(Ratings!$B$2:$M$40,_xlfn.XMATCH(Base!F553,Ratings!$A$2:$A$40),_xlfn.XMATCH(YEAR(Base!K553),Ratings!$B$1:$M$1))</f>
        <v>BBB</v>
      </c>
      <c r="AG553">
        <f t="shared" si="153"/>
        <v>1</v>
      </c>
      <c r="AH553">
        <f>IFERROR(IFERROR(IFERROR(INDEX('EMBI+'!$B:$B,MATCH(Base!$K553,'EMBI+'!$A:$A,0)),INDEX('EMBI+'!$B:$B,MATCH(Base!$K553+1,'EMBI+'!$A:$A,0))),INDEX('EMBI+'!$B:$B,MATCH(Base!$K553+2,'EMBI+'!$A:$A,0))),INDEX('EMBI+'!$B:$B,MATCH(Base!$K553+3,'EMBI+'!$A:$A,0)))/100</f>
        <v>2.13</v>
      </c>
      <c r="AL553" s="43"/>
      <c r="AM553" s="28"/>
      <c r="AN553" s="28"/>
    </row>
    <row r="554" spans="1:40" x14ac:dyDescent="0.35">
      <c r="A554">
        <f t="shared" si="154"/>
        <v>552</v>
      </c>
      <c r="B554">
        <f>IF(G554="Bonds",COUNTIF($G$3:G554,"Bonds"),0)</f>
        <v>0</v>
      </c>
      <c r="C554" t="str">
        <f t="shared" si="150"/>
        <v>Votorantim Cimentos4172342819</v>
      </c>
      <c r="D554">
        <f t="shared" si="151"/>
        <v>39</v>
      </c>
      <c r="E554" s="43" t="s">
        <v>646</v>
      </c>
      <c r="F554" s="43" t="s">
        <v>633</v>
      </c>
      <c r="G554" s="43" t="s">
        <v>25</v>
      </c>
      <c r="H554">
        <f t="shared" si="143"/>
        <v>0</v>
      </c>
      <c r="I554" s="43" t="s">
        <v>647</v>
      </c>
      <c r="J554" s="34">
        <f t="shared" si="152"/>
        <v>13</v>
      </c>
      <c r="K554" s="28">
        <v>41723</v>
      </c>
      <c r="L554" s="28">
        <v>42819</v>
      </c>
      <c r="M554" s="60">
        <f t="shared" si="144"/>
        <v>3.0027397260273974</v>
      </c>
      <c r="N554" s="4">
        <f t="shared" si="145"/>
        <v>0</v>
      </c>
      <c r="O554" s="43" t="s">
        <v>44</v>
      </c>
      <c r="P554" t="str">
        <f t="shared" si="148"/>
        <v>0</v>
      </c>
      <c r="Q554" s="44">
        <v>45000</v>
      </c>
      <c r="R554" s="43">
        <v>10000</v>
      </c>
      <c r="S554" s="34" t="str">
        <f>IF($V554="USD",INDEX('Dólar Spot'!$B:$B,MATCH(Base!$K554,'Dólar Spot'!$A:$A,0)),"")</f>
        <v/>
      </c>
      <c r="T554" s="4">
        <f t="shared" si="157"/>
        <v>450000000</v>
      </c>
      <c r="U554" s="8">
        <f t="shared" si="149"/>
        <v>4.5</v>
      </c>
      <c r="V554" s="43" t="s">
        <v>41</v>
      </c>
      <c r="W554" s="45">
        <v>107</v>
      </c>
      <c r="X554" s="46"/>
      <c r="Y554" s="9">
        <f>IF(AND(V554="DI",$W554=100),$X554/100,
IF(AND(V554="DI",$W554&lt;&gt;100,$X554=""),INDEX('Debs %CDI'!$Q:$Q,MATCH(Base!$C554,'Debs %CDI'!$A:$A,0)),
IF($V554="USD",INDEX(Bonds!$AF:$AF,MATCH(Base!$C554,Bonds!$B:$B,0)),
IF($V554="IPCA",INDEX('Debs IPCA'!$Z:$Z,MATCH(Base!$C554,'Debs IPCA'!$A:$A,0))))))</f>
        <v>8.79967786004659E-3</v>
      </c>
      <c r="Z554" s="43">
        <v>252</v>
      </c>
      <c r="AA554" s="43" t="s">
        <v>30</v>
      </c>
      <c r="AB554" s="43" t="s">
        <v>32</v>
      </c>
      <c r="AC554">
        <f t="shared" si="146"/>
        <v>0</v>
      </c>
      <c r="AD554" s="43" t="s">
        <v>31</v>
      </c>
      <c r="AE554">
        <f t="shared" si="147"/>
        <v>1</v>
      </c>
      <c r="AF554" s="34" t="str" cm="1">
        <f t="array" ref="AF554">INDEX(Ratings!$B$2:$M$40,_xlfn.XMATCH(Base!F554,Ratings!$A$2:$A$40),_xlfn.XMATCH(YEAR(Base!K554),Ratings!$B$1:$M$1))</f>
        <v>BBB</v>
      </c>
      <c r="AG554">
        <f t="shared" si="153"/>
        <v>1</v>
      </c>
      <c r="AH554">
        <f>IFERROR(IFERROR(IFERROR(INDEX('EMBI+'!$B:$B,MATCH(Base!$K554,'EMBI+'!$A:$A,0)),INDEX('EMBI+'!$B:$B,MATCH(Base!$K554+1,'EMBI+'!$A:$A,0))),INDEX('EMBI+'!$B:$B,MATCH(Base!$K554+2,'EMBI+'!$A:$A,0))),INDEX('EMBI+'!$B:$B,MATCH(Base!$K554+3,'EMBI+'!$A:$A,0)))/100</f>
        <v>2.2999999999999998</v>
      </c>
      <c r="AL554" s="43"/>
      <c r="AM554" s="28"/>
      <c r="AN554" s="28"/>
    </row>
    <row r="555" spans="1:40" x14ac:dyDescent="0.35">
      <c r="A555">
        <f t="shared" si="154"/>
        <v>553</v>
      </c>
      <c r="B555">
        <f>IF(G555="Bonds",COUNTIF($G$3:G555,"Bonds"),0)</f>
        <v>0</v>
      </c>
      <c r="C555" t="str">
        <f t="shared" si="150"/>
        <v>Votorantim Cimentos4470047257</v>
      </c>
      <c r="D555">
        <f t="shared" si="151"/>
        <v>39</v>
      </c>
      <c r="E555" s="43" t="s">
        <v>632</v>
      </c>
      <c r="F555" s="43" t="s">
        <v>633</v>
      </c>
      <c r="G555" s="43" t="s">
        <v>25</v>
      </c>
      <c r="H555">
        <f t="shared" si="143"/>
        <v>0</v>
      </c>
      <c r="I555" s="43" t="s">
        <v>873</v>
      </c>
      <c r="J555" s="34">
        <f t="shared" si="152"/>
        <v>14</v>
      </c>
      <c r="K555" s="28">
        <v>44700</v>
      </c>
      <c r="L555" s="28">
        <v>47257</v>
      </c>
      <c r="M555" s="60">
        <f t="shared" si="144"/>
        <v>7.0054794520547947</v>
      </c>
      <c r="N555" s="4">
        <f t="shared" si="145"/>
        <v>1</v>
      </c>
      <c r="O555" s="43" t="s">
        <v>44</v>
      </c>
      <c r="P555" t="str">
        <f t="shared" si="148"/>
        <v>0</v>
      </c>
      <c r="Q555" s="44">
        <v>1000000</v>
      </c>
      <c r="R555" s="43">
        <v>1000</v>
      </c>
      <c r="S555" s="34" t="str">
        <f>IF($V555="USD",INDEX('Dólar Spot'!$B:$B,MATCH(Base!$K555,'Dólar Spot'!$A:$A,0)),"")</f>
        <v/>
      </c>
      <c r="T555" s="4">
        <f t="shared" si="157"/>
        <v>1000000000</v>
      </c>
      <c r="U555" s="8">
        <f t="shared" si="149"/>
        <v>10</v>
      </c>
      <c r="V555" s="43" t="s">
        <v>41</v>
      </c>
      <c r="W555" s="45">
        <v>100</v>
      </c>
      <c r="X555" s="46">
        <v>1.6</v>
      </c>
      <c r="Y555" s="9">
        <f>IF(AND(V555="DI",$W555=100),$X555/100,
IF(AND(V555="DI",$W555&lt;&gt;100,$X555=""),INDEX('Debs %CDI'!$Q:$Q,MATCH(Base!$C555,'Debs %CDI'!$A:$A,0)),
IF($V555="USD",INDEX(Bonds!$AF:$AF,MATCH(Base!$C555,Bonds!$B:$B,0)),
IF($V555="IPCA",INDEX('Debs IPCA'!$Z:$Z,MATCH(Base!$C555,'Debs IPCA'!$A:$A,0))))))</f>
        <v>1.6E-2</v>
      </c>
      <c r="Z555" s="43">
        <v>252</v>
      </c>
      <c r="AA555" s="43" t="s">
        <v>30</v>
      </c>
      <c r="AB555" s="43" t="s">
        <v>32</v>
      </c>
      <c r="AC555">
        <f t="shared" si="146"/>
        <v>0</v>
      </c>
      <c r="AD555" s="43" t="s">
        <v>31</v>
      </c>
      <c r="AE555">
        <f t="shared" si="147"/>
        <v>1</v>
      </c>
      <c r="AF555" s="34" t="str" cm="1">
        <f t="array" ref="AF555">INDEX(Ratings!$B$2:$M$40,_xlfn.XMATCH(Base!F555,Ratings!$A$2:$A$40),_xlfn.XMATCH(YEAR(Base!K555),Ratings!$B$1:$M$1))</f>
        <v>BBB-</v>
      </c>
      <c r="AG555">
        <f t="shared" si="153"/>
        <v>1</v>
      </c>
      <c r="AH555">
        <f>IFERROR(IFERROR(IFERROR(INDEX('EMBI+'!$B:$B,MATCH(Base!$K555,'EMBI+'!$A:$A,0)),INDEX('EMBI+'!$B:$B,MATCH(Base!$K555+1,'EMBI+'!$A:$A,0))),INDEX('EMBI+'!$B:$B,MATCH(Base!$K555+2,'EMBI+'!$A:$A,0))),INDEX('EMBI+'!$B:$B,MATCH(Base!$K555+3,'EMBI+'!$A:$A,0)))/100</f>
        <v>3.26</v>
      </c>
      <c r="AL555" s="43"/>
      <c r="AM555" s="28"/>
      <c r="AN555" s="28"/>
    </row>
    <row r="556" spans="1:40" x14ac:dyDescent="0.35">
      <c r="A556">
        <f t="shared" si="154"/>
        <v>554</v>
      </c>
      <c r="B556">
        <f>IF(G556="Bonds",COUNTIF($G$3:G556,"Bonds"),0)</f>
        <v>162</v>
      </c>
      <c r="C556" t="str">
        <f t="shared" si="150"/>
        <v>Votorantim Cimentos4063805/04/2041</v>
      </c>
      <c r="D556">
        <f t="shared" si="151"/>
        <v>39</v>
      </c>
      <c r="E556" s="43" t="s">
        <v>648</v>
      </c>
      <c r="F556" s="43" t="s">
        <v>633</v>
      </c>
      <c r="G556" s="43" t="s">
        <v>34</v>
      </c>
      <c r="H556">
        <f t="shared" si="143"/>
        <v>1</v>
      </c>
      <c r="I556" s="43"/>
      <c r="J556" s="34">
        <f t="shared" si="152"/>
        <v>15</v>
      </c>
      <c r="K556" s="28">
        <v>40638</v>
      </c>
      <c r="L556" s="28" t="s">
        <v>649</v>
      </c>
      <c r="M556" s="60">
        <f t="shared" si="144"/>
        <v>30.021917808219179</v>
      </c>
      <c r="N556" s="4">
        <f t="shared" si="145"/>
        <v>1</v>
      </c>
      <c r="O556" s="43" t="s">
        <v>36</v>
      </c>
      <c r="P556" t="str">
        <f t="shared" si="148"/>
        <v>0</v>
      </c>
      <c r="S556" s="34">
        <f>IF($V556="USD",INDEX('Dólar Spot'!$B:$B,MATCH(Base!$K556,'Dólar Spot'!$A:$A,0)),"")</f>
        <v>1.6079000000000001</v>
      </c>
      <c r="T556" s="44">
        <v>750000000</v>
      </c>
      <c r="U556" s="8">
        <f t="shared" si="149"/>
        <v>12.05925</v>
      </c>
      <c r="V556" s="43" t="s">
        <v>651</v>
      </c>
      <c r="W556" s="45" t="s">
        <v>29</v>
      </c>
      <c r="X556" s="53">
        <v>7.25</v>
      </c>
      <c r="Y556" s="9">
        <f>IF(AND(V556="DI",$W556=100),$X556/100,
IF(AND(V556="DI",$W556&lt;&gt;100,$X556=""),INDEX('Debs %CDI'!$Q:$Q,MATCH(Base!$C556,'Debs %CDI'!$A:$A,0)),
IF($V556="USD",INDEX(Bonds!$AF:$AF,MATCH(Base!$C556,Bonds!$B:$B,0)),
IF($V556="IPCA",INDEX('Debs IPCA'!$Z:$Z,MATCH(Base!$C556,'Debs IPCA'!$A:$A,0))))))</f>
        <v>3.0551174246535862E-2</v>
      </c>
      <c r="Z556" s="43">
        <v>360</v>
      </c>
      <c r="AA556" s="43" t="s">
        <v>37</v>
      </c>
      <c r="AB556" s="43" t="s">
        <v>32</v>
      </c>
      <c r="AC556">
        <f t="shared" si="146"/>
        <v>0</v>
      </c>
      <c r="AD556" s="43" t="s">
        <v>32</v>
      </c>
      <c r="AE556">
        <f t="shared" si="147"/>
        <v>0</v>
      </c>
      <c r="AF556" s="34" t="str" cm="1">
        <f t="array" ref="AF556">INDEX(Ratings!$B$2:$M$40,_xlfn.XMATCH(Base!F556,Ratings!$A$2:$A$40),_xlfn.XMATCH(YEAR(Base!K556),Ratings!$B$1:$M$1))</f>
        <v>BBB-</v>
      </c>
      <c r="AG556">
        <f t="shared" si="153"/>
        <v>1</v>
      </c>
      <c r="AH556">
        <f>IFERROR(IFERROR(IFERROR(INDEX('EMBI+'!$B:$B,MATCH(Base!$K556,'EMBI+'!$A:$A,0)),INDEX('EMBI+'!$B:$B,MATCH(Base!$K556+1,'EMBI+'!$A:$A,0))),INDEX('EMBI+'!$B:$B,MATCH(Base!$K556+2,'EMBI+'!$A:$A,0))),INDEX('EMBI+'!$B:$B,MATCH(Base!$K556+3,'EMBI+'!$A:$A,0)))/100</f>
        <v>1.68</v>
      </c>
      <c r="AL556" s="43"/>
      <c r="AM556" s="28"/>
      <c r="AN556" s="28"/>
    </row>
    <row r="557" spans="1:40" x14ac:dyDescent="0.35">
      <c r="A557">
        <f t="shared" si="154"/>
        <v>555</v>
      </c>
      <c r="B557">
        <f>IF(G557="Bonds",COUNTIF($G$3:G557,"Bonds"),0)</f>
        <v>163</v>
      </c>
      <c r="C557" t="str">
        <f t="shared" si="150"/>
        <v>Votorantim Cimentos4094805/04/2041</v>
      </c>
      <c r="D557">
        <f t="shared" si="151"/>
        <v>39</v>
      </c>
      <c r="E557" s="43" t="s">
        <v>650</v>
      </c>
      <c r="F557" s="43" t="s">
        <v>633</v>
      </c>
      <c r="G557" s="43" t="s">
        <v>34</v>
      </c>
      <c r="H557">
        <f t="shared" ref="H557" si="158">IF(G557="Bonds",1,0)</f>
        <v>1</v>
      </c>
      <c r="I557" s="43"/>
      <c r="J557" s="34">
        <f t="shared" si="152"/>
        <v>16</v>
      </c>
      <c r="K557" s="28">
        <v>40948</v>
      </c>
      <c r="L557" s="28" t="s">
        <v>649</v>
      </c>
      <c r="M557" s="60">
        <f t="shared" ref="M557" si="159">(L557-K557)/365</f>
        <v>29.172602739726027</v>
      </c>
      <c r="N557" s="4">
        <f t="shared" ref="N557" si="160">IF(M557&gt;5,1,0)</f>
        <v>1</v>
      </c>
      <c r="O557" s="43" t="s">
        <v>36</v>
      </c>
      <c r="P557" t="str">
        <f t="shared" si="148"/>
        <v>0</v>
      </c>
      <c r="S557" s="34">
        <f>IF($V557="USD",INDEX('Dólar Spot'!$B:$B,MATCH(Base!$K557,'Dólar Spot'!$A:$A,0)),"")</f>
        <v>1.7219</v>
      </c>
      <c r="T557" s="44">
        <v>500000000</v>
      </c>
      <c r="U557" s="8">
        <f t="shared" si="149"/>
        <v>8.6095000000000006</v>
      </c>
      <c r="V557" s="43" t="s">
        <v>651</v>
      </c>
      <c r="W557" s="45" t="s">
        <v>29</v>
      </c>
      <c r="X557" s="53">
        <v>7.25</v>
      </c>
      <c r="Y557" s="9">
        <f>IF(AND(V557="DI",$W557=100),$X557/100,
IF(AND(V557="DI",$W557&lt;&gt;100,$X557=""),INDEX('Debs %CDI'!$Q:$Q,MATCH(Base!$C557,'Debs %CDI'!$A:$A,0)),
IF($V557="USD",INDEX(Bonds!$AF:$AF,MATCH(Base!$C557,Bonds!$B:$B,0)),
IF($V557="IPCA",INDEX('Debs IPCA'!$Z:$Z,MATCH(Base!$C557,'Debs IPCA'!$A:$A,0))))))</f>
        <v>3.7635157834776889E-2</v>
      </c>
      <c r="Z557" s="43">
        <v>360</v>
      </c>
      <c r="AA557" s="43" t="s">
        <v>37</v>
      </c>
      <c r="AB557" s="43" t="s">
        <v>32</v>
      </c>
      <c r="AC557">
        <f t="shared" ref="AC557" si="161">IF(AB557="S",1,0)</f>
        <v>0</v>
      </c>
      <c r="AD557" s="43" t="s">
        <v>31</v>
      </c>
      <c r="AE557">
        <f t="shared" ref="AE557" si="162">IF(OR(AD557="N",AD557="AT MATURITY"),0,1)</f>
        <v>1</v>
      </c>
      <c r="AF557" s="34" t="str" cm="1">
        <f t="array" ref="AF557">INDEX(Ratings!$B$2:$M$40,_xlfn.XMATCH(Base!F557,Ratings!$A$2:$A$40),_xlfn.XMATCH(YEAR(Base!K557),Ratings!$B$1:$M$1))</f>
        <v>BBB</v>
      </c>
      <c r="AG557">
        <f t="shared" si="153"/>
        <v>1</v>
      </c>
      <c r="AH557">
        <f>IFERROR(IFERROR(IFERROR(INDEX('EMBI+'!$B:$B,MATCH(Base!$K557,'EMBI+'!$A:$A,0)),INDEX('EMBI+'!$B:$B,MATCH(Base!$K557+1,'EMBI+'!$A:$A,0))),INDEX('EMBI+'!$B:$B,MATCH(Base!$K557+2,'EMBI+'!$A:$A,0))),INDEX('EMBI+'!$B:$B,MATCH(Base!$K557+3,'EMBI+'!$A:$A,0)))/100</f>
        <v>1.96</v>
      </c>
      <c r="AL557" s="43"/>
      <c r="AM557" s="28"/>
      <c r="AN557" s="28"/>
    </row>
  </sheetData>
  <autoFilter ref="B2:AH557" xr:uid="{6F628197-EB48-4179-8186-C2F7B2176C43}"/>
  <sortState xmlns:xlrd2="http://schemas.microsoft.com/office/spreadsheetml/2017/richdata2" ref="D3:AH557">
    <sortCondition ref="F3:F557"/>
    <sortCondition ref="K3:K557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91657-FA21-4D12-9E8A-159CF787BFFC}">
  <dimension ref="A1:AN172"/>
  <sheetViews>
    <sheetView zoomScale="85" zoomScaleNormal="85" workbookViewId="0">
      <selection activeCell="D5" sqref="D5"/>
    </sheetView>
  </sheetViews>
  <sheetFormatPr defaultRowHeight="14.5" outlineLevelCol="1" x14ac:dyDescent="0.35"/>
  <cols>
    <col min="2" max="2" width="30.36328125" bestFit="1" customWidth="1"/>
    <col min="3" max="5" width="21.7265625" customWidth="1"/>
    <col min="6" max="6" width="14.6328125" customWidth="1"/>
    <col min="7" max="7" width="18.26953125" customWidth="1"/>
    <col min="8" max="9" width="6.81640625" customWidth="1" outlineLevel="1"/>
    <col min="10" max="11" width="10.26953125" customWidth="1" outlineLevel="1"/>
    <col min="12" max="12" width="16.81640625" bestFit="1" customWidth="1"/>
    <col min="13" max="14" width="16.81640625" customWidth="1"/>
    <col min="15" max="15" width="16.81640625" bestFit="1" customWidth="1"/>
    <col min="16" max="17" width="16.81640625" customWidth="1"/>
    <col min="18" max="19" width="13.453125" customWidth="1"/>
    <col min="20" max="20" width="16.6328125" bestFit="1" customWidth="1"/>
    <col min="21" max="23" width="13.453125" customWidth="1"/>
    <col min="24" max="24" width="13.453125" style="34" customWidth="1"/>
    <col min="25" max="28" width="13.453125" customWidth="1"/>
    <col min="29" max="29" width="14.1796875" bestFit="1" customWidth="1"/>
    <col min="30" max="30" width="17.81640625" bestFit="1" customWidth="1"/>
    <col min="31" max="32" width="14.08984375" customWidth="1"/>
    <col min="33" max="33" width="14.54296875" bestFit="1" customWidth="1"/>
    <col min="35" max="35" width="11" bestFit="1" customWidth="1"/>
    <col min="37" max="39" width="12" bestFit="1" customWidth="1"/>
    <col min="40" max="40" width="18.08984375" bestFit="1" customWidth="1"/>
    <col min="41" max="42" width="11" bestFit="1" customWidth="1"/>
  </cols>
  <sheetData>
    <row r="1" spans="1:40" x14ac:dyDescent="0.35">
      <c r="B1" t="s">
        <v>759</v>
      </c>
      <c r="C1" t="s">
        <v>732</v>
      </c>
      <c r="F1" t="s">
        <v>6</v>
      </c>
      <c r="G1" t="s">
        <v>7</v>
      </c>
      <c r="H1" t="s">
        <v>742</v>
      </c>
      <c r="I1" t="s">
        <v>748</v>
      </c>
      <c r="J1" t="s">
        <v>13</v>
      </c>
      <c r="K1" t="s">
        <v>744</v>
      </c>
      <c r="L1" s="15" t="s">
        <v>734</v>
      </c>
      <c r="M1" s="15" t="s">
        <v>739</v>
      </c>
      <c r="N1" s="15" t="s">
        <v>740</v>
      </c>
      <c r="O1" s="15" t="s">
        <v>735</v>
      </c>
      <c r="P1" s="15" t="s">
        <v>739</v>
      </c>
      <c r="Q1" s="15" t="s">
        <v>741</v>
      </c>
      <c r="R1" s="15" t="s">
        <v>736</v>
      </c>
      <c r="S1" s="23" t="s">
        <v>750</v>
      </c>
      <c r="T1" s="23" t="s">
        <v>739</v>
      </c>
      <c r="U1" s="23" t="s">
        <v>751</v>
      </c>
      <c r="V1" s="23" t="s">
        <v>752</v>
      </c>
      <c r="W1" s="23" t="s">
        <v>739</v>
      </c>
      <c r="X1" s="32" t="s">
        <v>753</v>
      </c>
      <c r="Y1" s="23" t="s">
        <v>754</v>
      </c>
      <c r="Z1" s="23" t="s">
        <v>755</v>
      </c>
      <c r="AA1" s="23" t="s">
        <v>756</v>
      </c>
      <c r="AB1" s="23" t="s">
        <v>757</v>
      </c>
      <c r="AC1" s="22" t="s">
        <v>733</v>
      </c>
      <c r="AD1" s="22" t="s">
        <v>749</v>
      </c>
      <c r="AE1" s="5" t="s">
        <v>745</v>
      </c>
      <c r="AF1" s="5" t="s">
        <v>747</v>
      </c>
      <c r="AG1" s="41">
        <v>100000</v>
      </c>
      <c r="AK1" t="s">
        <v>761</v>
      </c>
      <c r="AL1" t="s">
        <v>761</v>
      </c>
      <c r="AM1" t="s">
        <v>761</v>
      </c>
      <c r="AN1" t="s">
        <v>761</v>
      </c>
    </row>
    <row r="2" spans="1:40" x14ac:dyDescent="0.35">
      <c r="A2">
        <v>1</v>
      </c>
      <c r="B2" t="str">
        <f t="shared" ref="B2:B34" si="0">C2&amp;F2&amp;G2</f>
        <v>Adecoagro4299921/09/2027</v>
      </c>
      <c r="C2" t="s">
        <v>24</v>
      </c>
      <c r="D2" t="b">
        <f t="shared" ref="D2:D34" si="1">E2=F2</f>
        <v>1</v>
      </c>
      <c r="E2" s="50">
        <v>42999</v>
      </c>
      <c r="F2" s="54">
        <f>VLOOKUP(A2,Base!B:K,10,0)</f>
        <v>42999</v>
      </c>
      <c r="G2" s="28" t="s">
        <v>35</v>
      </c>
      <c r="H2" s="14">
        <f>NETWORKDAYS($F2,$G2,Feriados!$A$2:$A$1189)</f>
        <v>2511</v>
      </c>
      <c r="I2" s="14">
        <f t="shared" ref="I2:I34" si="2">DAYS360(F2,G2,0)</f>
        <v>3600</v>
      </c>
      <c r="J2" t="s">
        <v>651</v>
      </c>
      <c r="K2" s="29">
        <v>0.06</v>
      </c>
      <c r="L2" s="30">
        <v>41496.559999999998</v>
      </c>
      <c r="M2" s="31">
        <v>46388</v>
      </c>
      <c r="N2" s="18">
        <f>NETWORKDAYS($F2,$M2,Feriados!$A$2:$A$1189)</f>
        <v>2330</v>
      </c>
      <c r="O2" s="30">
        <v>37534.99</v>
      </c>
      <c r="P2" s="31">
        <v>46753</v>
      </c>
      <c r="Q2" s="18">
        <f>NETWORKDAYS($F2,$P2,Feriados!$A$2:$A$1189)</f>
        <v>2581</v>
      </c>
      <c r="R2" s="17">
        <f t="shared" ref="R2:R9" si="3">$L2*(($O2/$L2)^(($H2-$N2)/($Q2-$N2)))</f>
        <v>38600.143182600208</v>
      </c>
      <c r="S2" s="26">
        <v>4.71</v>
      </c>
      <c r="T2" s="27">
        <v>46388</v>
      </c>
      <c r="U2" s="23">
        <f t="shared" ref="U2:U9" si="4">DAYS360($F2,T2,0)</f>
        <v>3340</v>
      </c>
      <c r="V2" s="26">
        <v>5</v>
      </c>
      <c r="W2" s="27">
        <v>46753</v>
      </c>
      <c r="X2" s="35">
        <f t="shared" ref="X2:X9" si="5">DAYS360($F2,W2,0)</f>
        <v>3700</v>
      </c>
      <c r="Y2" s="33">
        <f t="shared" ref="Y2:Y9" si="6">(1+S2%)^(U2/360)</f>
        <v>1.5326595755343766</v>
      </c>
      <c r="Z2" s="33">
        <f t="shared" ref="Z2:Z9" si="7">(1+V2%)^(X2/360)</f>
        <v>1.6511210229611826</v>
      </c>
      <c r="AA2" s="24">
        <f t="shared" ref="AA2:AA9" si="8">(I2-U2)/(X2-U2)</f>
        <v>0.72222222222222221</v>
      </c>
      <c r="AB2" s="24">
        <f>(Y2*((Z2/Y2)^AA2))^(360/I2)-1</f>
        <v>4.9251856120726245E-2</v>
      </c>
      <c r="AC2" s="25">
        <f t="shared" ref="AC2:AC9" si="9">IFERROR(($AG$1/$R2)^(252/$H2)-1,"NA")</f>
        <v>0.10024469811633185</v>
      </c>
      <c r="AD2" s="25">
        <f>+AB2</f>
        <v>4.9251856120726245E-2</v>
      </c>
      <c r="AE2" s="21">
        <f>IFERROR((((1+$AC2)^($H2/252))/(1+$AD2*$I2/360))^(252/$H2)-1,"NA")</f>
        <v>5.6902617700736569E-2</v>
      </c>
      <c r="AF2" s="21">
        <f>IFERROR(((((1+$K2)*(1+AE2))^($H2/252))/((1+$AC2)^($H2/252)))^(252/$H2)-1,"NA")</f>
        <v>1.8243284135623039E-2</v>
      </c>
      <c r="AG2" s="9">
        <f t="shared" ref="AG2:AG34" si="10">AC2+AF2</f>
        <v>0.11848798225195489</v>
      </c>
      <c r="AK2" t="b">
        <f t="shared" ref="AK2:AK34" si="11">N2&lt;$H2</f>
        <v>1</v>
      </c>
      <c r="AL2" t="b">
        <f t="shared" ref="AL2:AL34" si="12">Q2&gt;$H2</f>
        <v>1</v>
      </c>
      <c r="AM2" t="b">
        <f t="shared" ref="AM2:AM34" si="13">U2&lt;$I2</f>
        <v>1</v>
      </c>
      <c r="AN2" t="b">
        <f t="shared" ref="AN2:AN34" si="14">X2&gt;$I2</f>
        <v>1</v>
      </c>
    </row>
    <row r="3" spans="1:40" x14ac:dyDescent="0.35">
      <c r="A3">
        <f>+A2+1</f>
        <v>2</v>
      </c>
      <c r="B3" t="str">
        <f t="shared" si="0"/>
        <v>Aegea4301810/10/2024</v>
      </c>
      <c r="C3" t="s">
        <v>39</v>
      </c>
      <c r="D3" t="b">
        <f t="shared" si="1"/>
        <v>1</v>
      </c>
      <c r="E3" s="50">
        <v>43018</v>
      </c>
      <c r="F3" s="54">
        <f>VLOOKUP(A3,Base!B:K,10,0)</f>
        <v>43018</v>
      </c>
      <c r="G3" s="28" t="s">
        <v>51</v>
      </c>
      <c r="H3" s="14">
        <f>NETWORKDAYS($F3,$G3,Feriados!$A$2:$A$1189)</f>
        <v>1758</v>
      </c>
      <c r="I3" s="14">
        <f t="shared" si="2"/>
        <v>2520</v>
      </c>
      <c r="J3" t="s">
        <v>651</v>
      </c>
      <c r="K3" s="29">
        <v>5.7500000000000002E-2</v>
      </c>
      <c r="L3" s="30">
        <v>53366.99</v>
      </c>
      <c r="M3" s="31">
        <v>45474</v>
      </c>
      <c r="N3" s="18">
        <f>NETWORKDAYS($F3,$M3,Feriados!$A$2:$A$1189)</f>
        <v>1685</v>
      </c>
      <c r="O3" s="30">
        <v>50552.66</v>
      </c>
      <c r="P3" s="31">
        <v>45658</v>
      </c>
      <c r="Q3" s="18">
        <f>NETWORKDAYS($F3,$P3,Feriados!$A$2:$A$1189)</f>
        <v>1814</v>
      </c>
      <c r="R3" s="17">
        <f t="shared" si="3"/>
        <v>51755.680118142103</v>
      </c>
      <c r="S3" s="26">
        <v>3.98</v>
      </c>
      <c r="T3" s="27">
        <v>45474</v>
      </c>
      <c r="U3" s="23">
        <f t="shared" si="4"/>
        <v>2421</v>
      </c>
      <c r="V3" s="26">
        <v>4.0599999999999996</v>
      </c>
      <c r="W3" s="27">
        <v>45658</v>
      </c>
      <c r="X3" s="35">
        <f t="shared" si="5"/>
        <v>2601</v>
      </c>
      <c r="Y3" s="33">
        <f t="shared" si="6"/>
        <v>1.3001321359703384</v>
      </c>
      <c r="Z3" s="33">
        <f t="shared" si="7"/>
        <v>1.3331395439353673</v>
      </c>
      <c r="AA3" s="24">
        <f t="shared" si="8"/>
        <v>0.55000000000000004</v>
      </c>
      <c r="AB3" s="24">
        <f t="shared" ref="AB3:AB9" si="15">(Y3*((Z3/Y3)^AA3))^(360/I3)-1</f>
        <v>4.0254067356622736E-2</v>
      </c>
      <c r="AC3" s="25">
        <f t="shared" si="9"/>
        <v>9.9012430641436389E-2</v>
      </c>
      <c r="AD3" s="25">
        <f t="shared" ref="AD3:AD34" si="16">+AB3</f>
        <v>4.0254067356622736E-2</v>
      </c>
      <c r="AE3" s="21">
        <f t="shared" ref="AE3:AE34" si="17">IFERROR((((1+$AC3)^($H3/252))/(1+$AD3*$I3/360))^(252/$H3)-1,"NA")</f>
        <v>6.0591605299005202E-2</v>
      </c>
      <c r="AF3" s="21">
        <f t="shared" ref="AF3:AF34" si="18">IFERROR(((((1+$K3)*(1+AE3))^($H3/252))/((1+$AC3)^($H3/252)))^(252/$H3)-1,"NA")</f>
        <v>2.0530424709657602E-2</v>
      </c>
      <c r="AG3" s="9">
        <f t="shared" si="10"/>
        <v>0.11954285535109399</v>
      </c>
      <c r="AK3" t="b">
        <f t="shared" si="11"/>
        <v>1</v>
      </c>
      <c r="AL3" t="b">
        <f t="shared" si="12"/>
        <v>1</v>
      </c>
      <c r="AM3" t="b">
        <f t="shared" si="13"/>
        <v>1</v>
      </c>
      <c r="AN3" t="b">
        <f t="shared" si="14"/>
        <v>1</v>
      </c>
    </row>
    <row r="4" spans="1:40" x14ac:dyDescent="0.35">
      <c r="A4">
        <f t="shared" ref="A4:A5" si="19">+A3+1</f>
        <v>3</v>
      </c>
      <c r="B4" t="str">
        <f t="shared" ref="B4:B5" si="20">C4&amp;F4&amp;G4</f>
        <v>Aegea4467847258</v>
      </c>
      <c r="C4" t="s">
        <v>39</v>
      </c>
      <c r="D4" t="b">
        <f t="shared" si="1"/>
        <v>1</v>
      </c>
      <c r="E4" s="50">
        <v>44678</v>
      </c>
      <c r="F4" s="54">
        <f>VLOOKUP(A4,Base!B:K,10,0)</f>
        <v>44678</v>
      </c>
      <c r="G4" s="28">
        <v>47258</v>
      </c>
      <c r="H4" s="14">
        <f>NETWORKDAYS($F4,$G4,Feriados!$A$2:$A$1189)</f>
        <v>1774</v>
      </c>
      <c r="I4" s="14">
        <f t="shared" ref="I4" si="21">DAYS360(F4,G4,0)</f>
        <v>2543</v>
      </c>
      <c r="J4" t="s">
        <v>651</v>
      </c>
      <c r="K4" s="29">
        <v>6.7500000000000004E-2</v>
      </c>
      <c r="L4" s="30">
        <v>46773.78</v>
      </c>
      <c r="M4" s="31">
        <v>47119</v>
      </c>
      <c r="N4" s="18">
        <f>NETWORKDAYS($F4,$M4,Feriados!$A$2:$A$1189)</f>
        <v>1679</v>
      </c>
      <c r="O4" s="30">
        <v>41642.06</v>
      </c>
      <c r="P4" s="31">
        <v>47484</v>
      </c>
      <c r="Q4" s="18">
        <f>NETWORKDAYS($F4,$P4,Feriados!$A$2:$A$1189)</f>
        <v>1929</v>
      </c>
      <c r="R4" s="17">
        <f t="shared" si="3"/>
        <v>44753.166450462879</v>
      </c>
      <c r="S4" s="26">
        <v>3.75</v>
      </c>
      <c r="T4" s="27">
        <v>47119</v>
      </c>
      <c r="U4" s="23">
        <f t="shared" si="4"/>
        <v>2404</v>
      </c>
      <c r="V4" s="26">
        <v>3.78</v>
      </c>
      <c r="W4" s="27">
        <v>47484</v>
      </c>
      <c r="X4" s="35">
        <f t="shared" ref="X4" si="22">DAYS360($F4,W4,0)</f>
        <v>2764</v>
      </c>
      <c r="Y4" s="33">
        <f t="shared" ref="Y4" si="23">(1+S4%)^(U4/360)</f>
        <v>1.2786892523103</v>
      </c>
      <c r="Z4" s="33">
        <f t="shared" ref="Z4" si="24">(1+V4%)^(X4/360)</f>
        <v>1.3295881919305861</v>
      </c>
      <c r="AA4" s="24">
        <f t="shared" ref="AA4" si="25">(I4-U4)/(X4-U4)</f>
        <v>0.38611111111111113</v>
      </c>
      <c r="AB4" s="24">
        <f t="shared" ref="AB4" si="26">(Y4*((Z4/Y4)^AA4))^(360/I4)-1</f>
        <v>3.7625889293960491E-2</v>
      </c>
      <c r="AC4" s="25">
        <f t="shared" si="9"/>
        <v>0.12098843785440461</v>
      </c>
      <c r="AD4" s="25">
        <f t="shared" ref="AD4" si="27">+AB4</f>
        <v>3.7625889293960491E-2</v>
      </c>
      <c r="AE4" s="21">
        <f t="shared" si="17"/>
        <v>8.407844092299821E-2</v>
      </c>
      <c r="AF4" s="21">
        <f t="shared" ref="AF4" si="28">IFERROR(((((1+$K4)*(1+AE4))^($H4/252))/((1+$AC4)^($H4/252)))^(252/$H4)-1,"NA")</f>
        <v>3.2351179197091851E-2</v>
      </c>
      <c r="AG4" s="9">
        <f t="shared" ref="AG4" si="29">AC4+AF4</f>
        <v>0.15333961705149646</v>
      </c>
    </row>
    <row r="5" spans="1:40" x14ac:dyDescent="0.35">
      <c r="A5">
        <f t="shared" si="19"/>
        <v>4</v>
      </c>
      <c r="B5" t="str">
        <f t="shared" si="20"/>
        <v>Americanas4415920/12/2030</v>
      </c>
      <c r="C5" t="s">
        <v>53</v>
      </c>
      <c r="D5" t="b">
        <f t="shared" si="1"/>
        <v>1</v>
      </c>
      <c r="E5" s="50">
        <v>44159</v>
      </c>
      <c r="F5" s="54">
        <f>VLOOKUP(A5,Base!B:K,10,0)</f>
        <v>44159</v>
      </c>
      <c r="G5" s="28" t="s">
        <v>76</v>
      </c>
      <c r="H5" s="14">
        <f>NETWORKDAYS($F5,$G5,Feriados!$A$2:$A$1189)</f>
        <v>2532</v>
      </c>
      <c r="I5" s="14">
        <f t="shared" si="2"/>
        <v>3626</v>
      </c>
      <c r="J5" t="s">
        <v>651</v>
      </c>
      <c r="K5" s="29">
        <v>4.3749999999999997E-2</v>
      </c>
      <c r="L5" s="30">
        <v>48339.17</v>
      </c>
      <c r="M5" s="31">
        <v>47484</v>
      </c>
      <c r="N5" s="18">
        <f>NETWORKDAYS($F5,$M5,Feriados!$A$2:$A$1189)</f>
        <v>2285</v>
      </c>
      <c r="O5" s="30">
        <v>44053.279999999999</v>
      </c>
      <c r="P5" s="31">
        <v>47849</v>
      </c>
      <c r="Q5" s="18">
        <f>NETWORKDAYS($F5,$P5,Feriados!$A$2:$A$1189)</f>
        <v>2538</v>
      </c>
      <c r="R5" s="17">
        <f t="shared" si="3"/>
        <v>44150.38319365144</v>
      </c>
      <c r="S5" s="26">
        <v>1.62</v>
      </c>
      <c r="T5" s="27">
        <v>47484</v>
      </c>
      <c r="U5" s="23">
        <f t="shared" si="4"/>
        <v>3277</v>
      </c>
      <c r="V5" s="26">
        <v>1.68</v>
      </c>
      <c r="W5" s="27">
        <v>47849</v>
      </c>
      <c r="X5" s="35">
        <f t="shared" si="5"/>
        <v>3637</v>
      </c>
      <c r="Y5" s="33">
        <f t="shared" si="6"/>
        <v>1.1575240438701955</v>
      </c>
      <c r="Z5" s="33">
        <f t="shared" si="7"/>
        <v>1.1833113438952974</v>
      </c>
      <c r="AA5" s="24">
        <f t="shared" si="8"/>
        <v>0.96944444444444444</v>
      </c>
      <c r="AB5" s="24">
        <f t="shared" si="15"/>
        <v>1.6783426482006814E-2</v>
      </c>
      <c r="AC5" s="25">
        <f t="shared" si="9"/>
        <v>8.4771520574127956E-2</v>
      </c>
      <c r="AD5" s="25">
        <f t="shared" si="16"/>
        <v>1.6783426482006814E-2</v>
      </c>
      <c r="AE5" s="21">
        <f t="shared" si="17"/>
        <v>6.8039334752481251E-2</v>
      </c>
      <c r="AF5" s="21">
        <f t="shared" si="18"/>
        <v>2.7650555444061808E-2</v>
      </c>
      <c r="AG5" s="9">
        <f t="shared" si="10"/>
        <v>0.11242207601818976</v>
      </c>
      <c r="AK5" t="b">
        <f t="shared" si="11"/>
        <v>1</v>
      </c>
      <c r="AL5" t="b">
        <f t="shared" si="12"/>
        <v>1</v>
      </c>
      <c r="AM5" t="b">
        <f t="shared" si="13"/>
        <v>1</v>
      </c>
      <c r="AN5" t="b">
        <f t="shared" si="14"/>
        <v>1</v>
      </c>
    </row>
    <row r="6" spans="1:40" x14ac:dyDescent="0.35">
      <c r="A6">
        <f t="shared" ref="A6:A69" si="30">+A5+1</f>
        <v>5</v>
      </c>
      <c r="B6" t="str">
        <f t="shared" si="0"/>
        <v>Americanas4411020/10/2030</v>
      </c>
      <c r="C6" t="s">
        <v>53</v>
      </c>
      <c r="D6" t="b">
        <f t="shared" si="1"/>
        <v>1</v>
      </c>
      <c r="E6" s="50">
        <v>44110</v>
      </c>
      <c r="F6" s="54">
        <f>VLOOKUP(A6,Base!B:K,10,0)</f>
        <v>44110</v>
      </c>
      <c r="G6" s="28" t="s">
        <v>587</v>
      </c>
      <c r="H6" s="14">
        <f>NETWORKDAYS($F6,$G6,Feriados!$A$2:$A$1189)</f>
        <v>2521</v>
      </c>
      <c r="I6" s="14">
        <f t="shared" si="2"/>
        <v>3614</v>
      </c>
      <c r="J6" t="s">
        <v>651</v>
      </c>
      <c r="K6" s="29">
        <v>4.7500000000000001E-2</v>
      </c>
      <c r="L6" s="30">
        <v>48369.64</v>
      </c>
      <c r="M6" s="31">
        <v>47484</v>
      </c>
      <c r="N6" s="18">
        <f>NETWORKDAYS($F6,$M6,Feriados!$A$2:$A$1189)</f>
        <v>2318</v>
      </c>
      <c r="O6" s="30">
        <v>44164.27</v>
      </c>
      <c r="P6" s="31">
        <v>47849</v>
      </c>
      <c r="Q6" s="18">
        <f>NETWORKDAYS($F6,$P6,Feriados!$A$2:$A$1189)</f>
        <v>2571</v>
      </c>
      <c r="R6" s="17">
        <f t="shared" si="3"/>
        <v>44965.324911427255</v>
      </c>
      <c r="S6" s="26">
        <v>1.76</v>
      </c>
      <c r="T6" s="27">
        <v>47484</v>
      </c>
      <c r="U6" s="23">
        <f t="shared" si="4"/>
        <v>3325</v>
      </c>
      <c r="V6" s="26">
        <v>1.82</v>
      </c>
      <c r="W6" s="27">
        <v>47849</v>
      </c>
      <c r="X6" s="35">
        <f t="shared" si="5"/>
        <v>3685</v>
      </c>
      <c r="Y6" s="33">
        <f t="shared" si="6"/>
        <v>1.1748513542708687</v>
      </c>
      <c r="Z6" s="33">
        <f t="shared" si="7"/>
        <v>1.2027639626260502</v>
      </c>
      <c r="AA6" s="24">
        <f t="shared" si="8"/>
        <v>0.80277777777777781</v>
      </c>
      <c r="AB6" s="24">
        <f t="shared" si="15"/>
        <v>1.8091103137886089E-2</v>
      </c>
      <c r="AC6" s="25">
        <f t="shared" si="9"/>
        <v>8.3174574431422066E-2</v>
      </c>
      <c r="AD6" s="25">
        <f t="shared" si="16"/>
        <v>1.8091103137886089E-2</v>
      </c>
      <c r="AE6" s="21">
        <f t="shared" si="17"/>
        <v>6.5255409217320981E-2</v>
      </c>
      <c r="AF6" s="21">
        <f t="shared" si="18"/>
        <v>3.0171006128791644E-2</v>
      </c>
      <c r="AG6" s="9">
        <f t="shared" si="10"/>
        <v>0.11334558056021371</v>
      </c>
      <c r="AK6" t="b">
        <f t="shared" si="11"/>
        <v>1</v>
      </c>
      <c r="AL6" t="b">
        <f t="shared" si="12"/>
        <v>1</v>
      </c>
      <c r="AM6" t="b">
        <f t="shared" si="13"/>
        <v>1</v>
      </c>
      <c r="AN6" t="b">
        <f t="shared" si="14"/>
        <v>1</v>
      </c>
    </row>
    <row r="7" spans="1:40" x14ac:dyDescent="0.35">
      <c r="A7">
        <f t="shared" si="30"/>
        <v>6</v>
      </c>
      <c r="B7" t="str">
        <f t="shared" si="0"/>
        <v>Andrade Gutierrez4380830/12/2024</v>
      </c>
      <c r="C7" t="s">
        <v>78</v>
      </c>
      <c r="D7" t="b">
        <f t="shared" si="1"/>
        <v>1</v>
      </c>
      <c r="E7" s="50">
        <v>43808</v>
      </c>
      <c r="F7" s="54">
        <f>VLOOKUP(A7,Base!B:K,10,0)</f>
        <v>43808</v>
      </c>
      <c r="G7" s="28" t="s">
        <v>93</v>
      </c>
      <c r="H7" s="14">
        <f>NETWORKDAYS($F7,$G7,Feriados!$A$2:$A$1189)</f>
        <v>1271</v>
      </c>
      <c r="I7" s="14">
        <f t="shared" si="2"/>
        <v>1821</v>
      </c>
      <c r="J7" t="s">
        <v>651</v>
      </c>
      <c r="K7" s="29">
        <v>9.5000000000000001E-2</v>
      </c>
      <c r="L7" s="30">
        <v>74622.11</v>
      </c>
      <c r="M7" s="31">
        <v>45566</v>
      </c>
      <c r="N7" s="18">
        <f>NETWORKDAYS($F7,$M7,Feriados!$A$2:$A$1189)</f>
        <v>1209</v>
      </c>
      <c r="O7" s="30">
        <v>73323.88</v>
      </c>
      <c r="P7" s="31">
        <v>45658</v>
      </c>
      <c r="Q7" s="18">
        <f>NETWORKDAYS($F7,$P7,Feriados!$A$2:$A$1189)</f>
        <v>1272</v>
      </c>
      <c r="R7" s="17">
        <f t="shared" si="3"/>
        <v>73344.309369723385</v>
      </c>
      <c r="S7" s="26">
        <v>2.65</v>
      </c>
      <c r="T7" s="27">
        <v>45566</v>
      </c>
      <c r="U7" s="23">
        <f t="shared" si="4"/>
        <v>1732</v>
      </c>
      <c r="V7" s="26">
        <v>2.76</v>
      </c>
      <c r="W7" s="27">
        <v>45839</v>
      </c>
      <c r="X7" s="35">
        <f t="shared" si="5"/>
        <v>2002</v>
      </c>
      <c r="Y7" s="33">
        <f t="shared" si="6"/>
        <v>1.1340943541108335</v>
      </c>
      <c r="Z7" s="33">
        <f t="shared" si="7"/>
        <v>1.1634697853509872</v>
      </c>
      <c r="AA7" s="24">
        <f t="shared" si="8"/>
        <v>0.32962962962962961</v>
      </c>
      <c r="AB7" s="24">
        <f t="shared" si="15"/>
        <v>2.6898496717350007E-2</v>
      </c>
      <c r="AC7" s="25">
        <f t="shared" si="9"/>
        <v>6.3392701577559496E-2</v>
      </c>
      <c r="AD7" s="25">
        <f t="shared" si="16"/>
        <v>2.6898496717350007E-2</v>
      </c>
      <c r="AE7" s="21">
        <f t="shared" si="17"/>
        <v>3.6833923757524145E-2</v>
      </c>
      <c r="AF7" s="21">
        <f t="shared" si="18"/>
        <v>6.765181369987272E-2</v>
      </c>
      <c r="AG7" s="9">
        <f t="shared" si="10"/>
        <v>0.13104451527743222</v>
      </c>
      <c r="AK7" t="b">
        <f t="shared" si="11"/>
        <v>1</v>
      </c>
      <c r="AL7" t="b">
        <f t="shared" si="12"/>
        <v>1</v>
      </c>
      <c r="AM7" t="b">
        <f t="shared" si="13"/>
        <v>1</v>
      </c>
      <c r="AN7" t="b">
        <f t="shared" si="14"/>
        <v>1</v>
      </c>
    </row>
    <row r="8" spans="1:40" x14ac:dyDescent="0.35">
      <c r="A8">
        <f t="shared" si="30"/>
        <v>7</v>
      </c>
      <c r="B8" t="str">
        <f t="shared" si="0"/>
        <v>Azul Linhas Aéreas4436215/06/2026</v>
      </c>
      <c r="C8" t="s">
        <v>96</v>
      </c>
      <c r="D8" t="b">
        <f t="shared" si="1"/>
        <v>1</v>
      </c>
      <c r="E8" s="50">
        <v>44362</v>
      </c>
      <c r="F8" s="54">
        <f>VLOOKUP(A8,Base!B:K,10,0)</f>
        <v>44362</v>
      </c>
      <c r="G8" s="28" t="s">
        <v>108</v>
      </c>
      <c r="H8" s="14">
        <f>NETWORKDAYS($F8,$G8,Feriados!$A$2:$A$1189)</f>
        <v>1258</v>
      </c>
      <c r="I8" s="14">
        <f t="shared" si="2"/>
        <v>1800</v>
      </c>
      <c r="J8" t="s">
        <v>651</v>
      </c>
      <c r="K8" s="29">
        <v>7.2499999999999995E-2</v>
      </c>
      <c r="L8" s="30">
        <v>68385.600000000006</v>
      </c>
      <c r="M8" s="31">
        <v>46113</v>
      </c>
      <c r="N8" s="18">
        <f>NETWORKDAYS($F8,$M8,Feriados!$A$2:$A$1189)</f>
        <v>1209</v>
      </c>
      <c r="O8" s="30">
        <v>66936.25</v>
      </c>
      <c r="P8" s="31">
        <v>46204</v>
      </c>
      <c r="Q8" s="18">
        <f>NETWORKDAYS($F8,$P8,Feriados!$A$2:$A$1189)</f>
        <v>1270</v>
      </c>
      <c r="R8" s="17">
        <f t="shared" si="3"/>
        <v>67218.92027324994</v>
      </c>
      <c r="S8" s="26">
        <v>1.38</v>
      </c>
      <c r="T8" s="27">
        <v>46113</v>
      </c>
      <c r="U8" s="23">
        <f t="shared" si="4"/>
        <v>1726</v>
      </c>
      <c r="V8" s="26">
        <v>1.43</v>
      </c>
      <c r="W8" s="27">
        <v>46204</v>
      </c>
      <c r="X8" s="35">
        <f t="shared" si="5"/>
        <v>1816</v>
      </c>
      <c r="Y8" s="33">
        <f t="shared" si="6"/>
        <v>1.067918005149038</v>
      </c>
      <c r="Z8" s="33">
        <f t="shared" si="7"/>
        <v>1.0742520491570811</v>
      </c>
      <c r="AA8" s="24">
        <f t="shared" si="8"/>
        <v>0.82222222222222219</v>
      </c>
      <c r="AB8" s="24">
        <f t="shared" si="15"/>
        <v>1.4214747999887534E-2</v>
      </c>
      <c r="AC8" s="25">
        <f t="shared" si="9"/>
        <v>8.2820689403338532E-2</v>
      </c>
      <c r="AD8" s="25">
        <f t="shared" si="16"/>
        <v>1.4214747999887534E-2</v>
      </c>
      <c r="AE8" s="21">
        <f t="shared" si="17"/>
        <v>6.8029354626490512E-2</v>
      </c>
      <c r="AF8" s="21">
        <f t="shared" si="18"/>
        <v>5.7849645880048151E-2</v>
      </c>
      <c r="AG8" s="9">
        <f t="shared" si="10"/>
        <v>0.14067033528338668</v>
      </c>
      <c r="AK8" t="b">
        <f t="shared" si="11"/>
        <v>1</v>
      </c>
      <c r="AL8" t="b">
        <f t="shared" si="12"/>
        <v>1</v>
      </c>
      <c r="AM8" t="b">
        <f t="shared" si="13"/>
        <v>1</v>
      </c>
      <c r="AN8" t="b">
        <f t="shared" si="14"/>
        <v>1</v>
      </c>
    </row>
    <row r="9" spans="1:40" x14ac:dyDescent="0.35">
      <c r="A9">
        <f t="shared" si="30"/>
        <v>8</v>
      </c>
      <c r="B9" t="str">
        <f t="shared" si="0"/>
        <v>Azul Linhas Aéreas4303426/10/2024</v>
      </c>
      <c r="C9" t="s">
        <v>96</v>
      </c>
      <c r="D9" t="b">
        <f t="shared" si="1"/>
        <v>1</v>
      </c>
      <c r="E9" s="50">
        <v>43034</v>
      </c>
      <c r="F9" s="54">
        <f>VLOOKUP(A9,Base!B:K,10,0)</f>
        <v>43034</v>
      </c>
      <c r="G9" s="28" t="s">
        <v>109</v>
      </c>
      <c r="H9" s="14">
        <f>NETWORKDAYS($F9,$G9,Feriados!$A$2:$A$1189)</f>
        <v>1758</v>
      </c>
      <c r="I9" s="14">
        <f t="shared" si="2"/>
        <v>2520</v>
      </c>
      <c r="J9" t="s">
        <v>651</v>
      </c>
      <c r="K9" s="29">
        <v>5.8749999999999997E-2</v>
      </c>
      <c r="L9" s="30">
        <v>52971.89</v>
      </c>
      <c r="M9" s="31">
        <v>45474</v>
      </c>
      <c r="N9" s="18">
        <f>NETWORKDAYS($F9,$M9,Feriados!$A$2:$A$1189)</f>
        <v>1674</v>
      </c>
      <c r="O9" s="30">
        <v>50171.519999999997</v>
      </c>
      <c r="P9" s="31">
        <v>45658</v>
      </c>
      <c r="Q9" s="18">
        <f>NETWORKDAYS($F9,$P9,Feriados!$A$2:$A$1189)</f>
        <v>1803</v>
      </c>
      <c r="R9" s="17">
        <f t="shared" si="3"/>
        <v>51131.166873903137</v>
      </c>
      <c r="S9" s="26">
        <v>1.05</v>
      </c>
      <c r="T9" s="27">
        <v>45566</v>
      </c>
      <c r="U9" s="23">
        <f t="shared" si="4"/>
        <v>2495</v>
      </c>
      <c r="V9" s="26">
        <v>1.1100000000000001</v>
      </c>
      <c r="W9" s="27">
        <v>45658</v>
      </c>
      <c r="X9" s="35">
        <f t="shared" si="5"/>
        <v>2585</v>
      </c>
      <c r="Y9" s="33">
        <f t="shared" si="6"/>
        <v>1.0750760893887188</v>
      </c>
      <c r="Z9" s="33">
        <f t="shared" si="7"/>
        <v>1.082491203733388</v>
      </c>
      <c r="AA9" s="24">
        <f t="shared" si="8"/>
        <v>0.27777777777777779</v>
      </c>
      <c r="AB9" s="24">
        <f t="shared" si="15"/>
        <v>1.0670929326804357E-2</v>
      </c>
      <c r="AC9" s="25">
        <f t="shared" si="9"/>
        <v>0.10092659547364136</v>
      </c>
      <c r="AD9" s="25">
        <f t="shared" si="16"/>
        <v>1.0670929326804357E-2</v>
      </c>
      <c r="AE9" s="21">
        <f t="shared" si="17"/>
        <v>8.9616582705553949E-2</v>
      </c>
      <c r="AF9" s="21">
        <f t="shared" si="18"/>
        <v>4.7873274823730716E-2</v>
      </c>
      <c r="AG9" s="9">
        <f t="shared" si="10"/>
        <v>0.14879987029737207</v>
      </c>
      <c r="AK9" t="b">
        <f t="shared" si="11"/>
        <v>1</v>
      </c>
      <c r="AL9" t="b">
        <f t="shared" si="12"/>
        <v>1</v>
      </c>
      <c r="AM9" t="b">
        <f t="shared" si="13"/>
        <v>1</v>
      </c>
      <c r="AN9" t="b">
        <f t="shared" si="14"/>
        <v>1</v>
      </c>
    </row>
    <row r="10" spans="1:40" x14ac:dyDescent="0.35">
      <c r="A10">
        <f t="shared" si="30"/>
        <v>9</v>
      </c>
      <c r="B10" t="str">
        <f t="shared" si="0"/>
        <v>Braskem4074622/07/2041</v>
      </c>
      <c r="C10" t="s">
        <v>110</v>
      </c>
      <c r="D10" t="b">
        <f t="shared" si="1"/>
        <v>1</v>
      </c>
      <c r="E10" s="50">
        <v>40746</v>
      </c>
      <c r="F10" s="54">
        <f>VLOOKUP(A10,Base!B:K,10,0)</f>
        <v>40746</v>
      </c>
      <c r="G10" s="28" t="s">
        <v>112</v>
      </c>
      <c r="H10" s="14">
        <f>NETWORKDAYS($F10,$G10,Feriados!$A$2:$A$1189)</f>
        <v>7535</v>
      </c>
      <c r="I10" s="14">
        <f t="shared" si="2"/>
        <v>10800</v>
      </c>
      <c r="J10" t="s">
        <v>651</v>
      </c>
      <c r="K10" s="29">
        <v>7.1249999999999994E-2</v>
      </c>
      <c r="L10" s="30" t="s">
        <v>29</v>
      </c>
      <c r="M10" s="31" t="s">
        <v>29</v>
      </c>
      <c r="N10" s="18" t="s">
        <v>29</v>
      </c>
      <c r="O10" s="30">
        <v>21311.43</v>
      </c>
      <c r="P10" s="31">
        <v>45658</v>
      </c>
      <c r="Q10" s="18">
        <f>NETWORKDAYS($F10,$P10,Feriados!$A$2:$A$1189)</f>
        <v>3378</v>
      </c>
      <c r="R10" s="17" t="s">
        <v>29</v>
      </c>
      <c r="S10" s="26" t="s">
        <v>29</v>
      </c>
      <c r="T10" s="27" t="s">
        <v>29</v>
      </c>
      <c r="U10" s="23" t="s">
        <v>29</v>
      </c>
      <c r="V10" s="26" t="s">
        <v>29</v>
      </c>
      <c r="W10" s="27" t="s">
        <v>29</v>
      </c>
      <c r="X10" s="35" t="s">
        <v>29</v>
      </c>
      <c r="Y10" s="33" t="s">
        <v>29</v>
      </c>
      <c r="Z10" s="33" t="s">
        <v>29</v>
      </c>
      <c r="AA10" s="24" t="s">
        <v>29</v>
      </c>
      <c r="AB10" s="26">
        <v>6.9900000000000004E-2</v>
      </c>
      <c r="AC10" s="37">
        <f>($AG$1/$O10)^(252/Q10)-1</f>
        <v>0.12223998693850158</v>
      </c>
      <c r="AD10" s="25">
        <f t="shared" si="16"/>
        <v>6.9900000000000004E-2</v>
      </c>
      <c r="AE10" s="21">
        <f t="shared" si="17"/>
        <v>8.0604412673156434E-2</v>
      </c>
      <c r="AF10" s="21">
        <f t="shared" si="18"/>
        <v>3.1506175639021139E-2</v>
      </c>
      <c r="AG10" s="9">
        <f t="shared" si="10"/>
        <v>0.15374616257752272</v>
      </c>
      <c r="AK10" t="b">
        <f t="shared" si="11"/>
        <v>0</v>
      </c>
      <c r="AL10" t="b">
        <f t="shared" si="12"/>
        <v>0</v>
      </c>
      <c r="AM10" t="b">
        <f t="shared" si="13"/>
        <v>0</v>
      </c>
      <c r="AN10" t="b">
        <f t="shared" si="14"/>
        <v>1</v>
      </c>
    </row>
    <row r="11" spans="1:40" x14ac:dyDescent="0.35">
      <c r="A11">
        <f t="shared" si="30"/>
        <v>10</v>
      </c>
      <c r="B11" t="str">
        <f t="shared" si="0"/>
        <v>Braskem4111322/07/2041</v>
      </c>
      <c r="C11" t="s">
        <v>110</v>
      </c>
      <c r="D11" t="b">
        <f t="shared" si="1"/>
        <v>1</v>
      </c>
      <c r="E11" s="50">
        <v>41113</v>
      </c>
      <c r="F11" s="54">
        <f>VLOOKUP(A11,Base!B:K,10,0)</f>
        <v>41113</v>
      </c>
      <c r="G11" s="28" t="s">
        <v>112</v>
      </c>
      <c r="H11" s="14">
        <f>NETWORKDAYS($F11,$G11,Feriados!$A$2:$A$1189)</f>
        <v>7283</v>
      </c>
      <c r="I11" s="14">
        <f t="shared" si="2"/>
        <v>10439</v>
      </c>
      <c r="J11" t="s">
        <v>651</v>
      </c>
      <c r="K11" s="29">
        <v>7.1249999999999994E-2</v>
      </c>
      <c r="L11" s="30" t="s">
        <v>29</v>
      </c>
      <c r="M11" s="31" t="s">
        <v>29</v>
      </c>
      <c r="N11" s="18" t="s">
        <v>29</v>
      </c>
      <c r="O11" s="30">
        <v>31893.52</v>
      </c>
      <c r="P11" s="31">
        <v>45658</v>
      </c>
      <c r="Q11" s="18">
        <f>NETWORKDAYS($F11,$P11,Feriados!$A$2:$A$1189)</f>
        <v>3126</v>
      </c>
      <c r="R11" s="17" t="s">
        <v>29</v>
      </c>
      <c r="S11" s="26" t="s">
        <v>29</v>
      </c>
      <c r="T11" s="27" t="s">
        <v>29</v>
      </c>
      <c r="U11" s="23" t="s">
        <v>29</v>
      </c>
      <c r="V11" s="26" t="s">
        <v>29</v>
      </c>
      <c r="W11" s="27" t="s">
        <v>29</v>
      </c>
      <c r="X11" s="35" t="s">
        <v>29</v>
      </c>
      <c r="Y11" s="33" t="s">
        <v>29</v>
      </c>
      <c r="Z11" s="33" t="s">
        <v>29</v>
      </c>
      <c r="AA11" s="24" t="s">
        <v>29</v>
      </c>
      <c r="AB11" s="26">
        <v>4.6300000000000001E-2</v>
      </c>
      <c r="AC11" s="37">
        <f>($AG$1/$O11)^(252/Q11)-1</f>
        <v>9.649998826490247E-2</v>
      </c>
      <c r="AD11" s="25">
        <f t="shared" si="16"/>
        <v>4.6300000000000001E-2</v>
      </c>
      <c r="AE11" s="21">
        <f t="shared" si="17"/>
        <v>6.4674477033423994E-2</v>
      </c>
      <c r="AF11" s="21">
        <f t="shared" si="18"/>
        <v>4.015736044542062E-2</v>
      </c>
      <c r="AG11" s="9">
        <f t="shared" si="10"/>
        <v>0.13665734871032309</v>
      </c>
      <c r="AK11" t="b">
        <f t="shared" si="11"/>
        <v>0</v>
      </c>
      <c r="AL11" t="b">
        <f t="shared" si="12"/>
        <v>0</v>
      </c>
      <c r="AM11" t="b">
        <f t="shared" si="13"/>
        <v>0</v>
      </c>
      <c r="AN11" t="b">
        <f t="shared" si="14"/>
        <v>1</v>
      </c>
    </row>
    <row r="12" spans="1:40" x14ac:dyDescent="0.35">
      <c r="A12">
        <f t="shared" si="30"/>
        <v>11</v>
      </c>
      <c r="B12" t="str">
        <f t="shared" si="0"/>
        <v>Braskem4167303/02/2024</v>
      </c>
      <c r="C12" t="s">
        <v>110</v>
      </c>
      <c r="D12" t="b">
        <f t="shared" si="1"/>
        <v>1</v>
      </c>
      <c r="E12" s="50">
        <v>41673</v>
      </c>
      <c r="F12" s="54">
        <f>VLOOKUP(A12,Base!B:K,10,0)</f>
        <v>41673</v>
      </c>
      <c r="G12" s="28" t="s">
        <v>114</v>
      </c>
      <c r="H12" s="14">
        <f>NETWORKDAYS($F12,$G12,Feriados!$A$2:$A$1189)</f>
        <v>2510</v>
      </c>
      <c r="I12" s="14">
        <f t="shared" si="2"/>
        <v>3600</v>
      </c>
      <c r="J12" t="s">
        <v>651</v>
      </c>
      <c r="K12" s="29">
        <v>6.4500000000000002E-2</v>
      </c>
      <c r="L12" s="30">
        <v>28448.9</v>
      </c>
      <c r="M12" s="31">
        <v>45292</v>
      </c>
      <c r="N12" s="18">
        <f>NETWORKDAYS($F12,$M12,Feriados!$A$2:$A$1189)</f>
        <v>2486</v>
      </c>
      <c r="O12" s="30">
        <v>24948.2</v>
      </c>
      <c r="P12" s="31">
        <v>45658</v>
      </c>
      <c r="Q12" s="18">
        <f>NETWORKDAYS($F12,$P12,Feriados!$A$2:$A$1189)</f>
        <v>2740</v>
      </c>
      <c r="R12" s="17">
        <f t="shared" ref="R12:R17" si="31">$L12*(($O12/$L12)^(($H12-$N12)/($Q12-$N12)))</f>
        <v>28098.114020323734</v>
      </c>
      <c r="S12" s="26">
        <v>5.92</v>
      </c>
      <c r="T12" s="27">
        <v>45292</v>
      </c>
      <c r="U12" s="23">
        <f t="shared" ref="U12:U17" si="32">DAYS360($F12,T12,0)</f>
        <v>3568</v>
      </c>
      <c r="V12" s="26">
        <v>6.39</v>
      </c>
      <c r="W12" s="27">
        <v>45658</v>
      </c>
      <c r="X12" s="35">
        <f t="shared" ref="X12:X17" si="33">DAYS360($F12,W12,0)</f>
        <v>3928</v>
      </c>
      <c r="Y12" s="33">
        <f t="shared" ref="Y12:Y17" si="34">(1+S12%)^(U12/360)</f>
        <v>1.7683142909445506</v>
      </c>
      <c r="Z12" s="33">
        <f t="shared" ref="Z12:Z17" si="35">(1+V12%)^(X12/360)</f>
        <v>1.9657021595217099</v>
      </c>
      <c r="AA12" s="24">
        <f t="shared" ref="AA12:AA17" si="36">(I12-U12)/(X12-U12)</f>
        <v>8.8888888888888892E-2</v>
      </c>
      <c r="AB12" s="24">
        <f t="shared" ref="AB12:AB17" si="37">(Y12*((Z12/Y12)^AA12))^(360/I12)-1</f>
        <v>5.9654931270413547E-2</v>
      </c>
      <c r="AC12" s="25">
        <f t="shared" ref="AC12:AC17" si="38">IFERROR(($AG$1/$R12)^(252/$H12)-1,"NA")</f>
        <v>0.13593095215368645</v>
      </c>
      <c r="AD12" s="25">
        <f t="shared" si="16"/>
        <v>5.9654931270413547E-2</v>
      </c>
      <c r="AE12" s="21">
        <f t="shared" si="17"/>
        <v>8.3808993840488233E-2</v>
      </c>
      <c r="AF12" s="21">
        <f t="shared" si="18"/>
        <v>1.5655636247780658E-2</v>
      </c>
      <c r="AG12" s="9">
        <f t="shared" si="10"/>
        <v>0.1515865884014671</v>
      </c>
      <c r="AK12" t="b">
        <f t="shared" si="11"/>
        <v>1</v>
      </c>
      <c r="AL12" t="b">
        <f t="shared" si="12"/>
        <v>1</v>
      </c>
      <c r="AM12" t="b">
        <f t="shared" si="13"/>
        <v>1</v>
      </c>
      <c r="AN12" t="b">
        <f t="shared" si="14"/>
        <v>1</v>
      </c>
    </row>
    <row r="13" spans="1:40" x14ac:dyDescent="0.35">
      <c r="A13">
        <f t="shared" si="30"/>
        <v>12</v>
      </c>
      <c r="B13" t="str">
        <f t="shared" si="0"/>
        <v>Braskem4103102/05/2022</v>
      </c>
      <c r="C13" t="s">
        <v>110</v>
      </c>
      <c r="D13" t="b">
        <f t="shared" si="1"/>
        <v>1</v>
      </c>
      <c r="E13" s="50">
        <v>41031</v>
      </c>
      <c r="F13" s="54">
        <f>VLOOKUP(A13,Base!B:K,10,0)</f>
        <v>41031</v>
      </c>
      <c r="G13" s="28" t="s">
        <v>115</v>
      </c>
      <c r="H13" s="14">
        <f>NETWORKDAYS($F13,$G13,Feriados!$A$2:$A$1189)</f>
        <v>2511</v>
      </c>
      <c r="I13" s="14">
        <f t="shared" si="2"/>
        <v>3600</v>
      </c>
      <c r="J13" t="s">
        <v>651</v>
      </c>
      <c r="K13" s="29">
        <v>5.3749999999999999E-2</v>
      </c>
      <c r="L13" s="30">
        <v>38277.050000000003</v>
      </c>
      <c r="M13" s="31">
        <v>44562</v>
      </c>
      <c r="N13" s="18">
        <f>NETWORKDAYS($F13,$M13,Feriados!$A$2:$A$1189)</f>
        <v>2429</v>
      </c>
      <c r="O13" s="30">
        <v>34344.120000000003</v>
      </c>
      <c r="P13" s="31">
        <v>44927</v>
      </c>
      <c r="Q13" s="18">
        <f>NETWORKDAYS($F13,$P13,Feriados!$A$2:$A$1189)</f>
        <v>2680</v>
      </c>
      <c r="R13" s="17">
        <f t="shared" si="31"/>
        <v>36945.007616620533</v>
      </c>
      <c r="S13" s="26">
        <v>4.5999999999999996</v>
      </c>
      <c r="T13" s="27">
        <v>44562</v>
      </c>
      <c r="U13" s="23">
        <f t="shared" si="32"/>
        <v>3479</v>
      </c>
      <c r="V13" s="26">
        <v>4.8</v>
      </c>
      <c r="W13" s="27">
        <v>44927</v>
      </c>
      <c r="X13" s="35">
        <f t="shared" si="33"/>
        <v>3839</v>
      </c>
      <c r="Y13" s="33">
        <f t="shared" si="34"/>
        <v>1.5443723911976066</v>
      </c>
      <c r="Z13" s="33">
        <f t="shared" si="35"/>
        <v>1.6486575500711891</v>
      </c>
      <c r="AA13" s="24">
        <f t="shared" si="36"/>
        <v>0.33611111111111114</v>
      </c>
      <c r="AB13" s="24">
        <f t="shared" si="37"/>
        <v>4.6716411080586218E-2</v>
      </c>
      <c r="AC13" s="25">
        <f t="shared" si="38"/>
        <v>0.10509451129288339</v>
      </c>
      <c r="AD13" s="25">
        <f t="shared" si="16"/>
        <v>4.6716411080586218E-2</v>
      </c>
      <c r="AE13" s="21">
        <f t="shared" si="17"/>
        <v>6.3388312162185434E-2</v>
      </c>
      <c r="AF13" s="21">
        <f t="shared" si="18"/>
        <v>1.3981539578857394E-2</v>
      </c>
      <c r="AG13" s="9">
        <f t="shared" si="10"/>
        <v>0.11907605087174078</v>
      </c>
      <c r="AK13" t="b">
        <f t="shared" si="11"/>
        <v>1</v>
      </c>
      <c r="AL13" t="b">
        <f t="shared" si="12"/>
        <v>1</v>
      </c>
      <c r="AM13" t="b">
        <f t="shared" si="13"/>
        <v>1</v>
      </c>
      <c r="AN13" t="b">
        <f t="shared" si="14"/>
        <v>1</v>
      </c>
    </row>
    <row r="14" spans="1:40" x14ac:dyDescent="0.35">
      <c r="A14">
        <f t="shared" si="30"/>
        <v>13</v>
      </c>
      <c r="B14" t="str">
        <f t="shared" si="0"/>
        <v>Braskem4064815/04/2021</v>
      </c>
      <c r="C14" t="s">
        <v>110</v>
      </c>
      <c r="D14" t="b">
        <f t="shared" si="1"/>
        <v>1</v>
      </c>
      <c r="E14" s="50">
        <v>40648</v>
      </c>
      <c r="F14" s="54">
        <f>VLOOKUP(A14,Base!B:K,10,0)</f>
        <v>40648</v>
      </c>
      <c r="G14" s="28" t="s">
        <v>116</v>
      </c>
      <c r="H14" s="14">
        <f>NETWORKDAYS($F14,$G14,Feriados!$A$2:$A$1189)</f>
        <v>2511</v>
      </c>
      <c r="I14" s="14">
        <f t="shared" si="2"/>
        <v>3600</v>
      </c>
      <c r="J14" t="s">
        <v>651</v>
      </c>
      <c r="K14" s="29">
        <v>5.7500000000000002E-2</v>
      </c>
      <c r="L14" s="30">
        <v>32078.13</v>
      </c>
      <c r="M14" s="31">
        <v>44197</v>
      </c>
      <c r="N14" s="18">
        <f>NETWORKDAYS($F14,$M14,Feriados!$A$2:$A$1189)</f>
        <v>2440</v>
      </c>
      <c r="O14" s="30">
        <v>28548.17</v>
      </c>
      <c r="P14" s="31">
        <v>44562</v>
      </c>
      <c r="Q14" s="18">
        <f>NETWORKDAYS($F14,$P14,Feriados!$A$2:$A$1189)</f>
        <v>2691</v>
      </c>
      <c r="R14" s="17">
        <f t="shared" si="31"/>
        <v>31037.532844112913</v>
      </c>
      <c r="S14" s="26">
        <v>6.28</v>
      </c>
      <c r="T14" s="27">
        <v>44197</v>
      </c>
      <c r="U14" s="23">
        <f t="shared" si="32"/>
        <v>3496</v>
      </c>
      <c r="V14" s="26">
        <v>6.58</v>
      </c>
      <c r="W14" s="27">
        <v>44562</v>
      </c>
      <c r="X14" s="35">
        <f t="shared" si="33"/>
        <v>3856</v>
      </c>
      <c r="Y14" s="33">
        <f t="shared" si="34"/>
        <v>1.8066494772218058</v>
      </c>
      <c r="Z14" s="33">
        <f t="shared" si="35"/>
        <v>1.9789629713435362</v>
      </c>
      <c r="AA14" s="24">
        <f t="shared" si="36"/>
        <v>0.28888888888888886</v>
      </c>
      <c r="AB14" s="24">
        <f t="shared" si="37"/>
        <v>6.3727392974147312E-2</v>
      </c>
      <c r="AC14" s="25">
        <f t="shared" si="38"/>
        <v>0.12458788359311002</v>
      </c>
      <c r="AD14" s="25">
        <f t="shared" si="16"/>
        <v>6.3727392974147312E-2</v>
      </c>
      <c r="AE14" s="21">
        <f t="shared" si="17"/>
        <v>7.0297520713067607E-2</v>
      </c>
      <c r="AF14" s="21">
        <f t="shared" si="18"/>
        <v>6.4483573642899472E-3</v>
      </c>
      <c r="AG14" s="9">
        <f t="shared" si="10"/>
        <v>0.13103624095739996</v>
      </c>
      <c r="AK14" t="b">
        <f t="shared" si="11"/>
        <v>1</v>
      </c>
      <c r="AL14" t="b">
        <f t="shared" si="12"/>
        <v>1</v>
      </c>
      <c r="AM14" t="b">
        <f t="shared" si="13"/>
        <v>1</v>
      </c>
      <c r="AN14" t="b">
        <f t="shared" si="14"/>
        <v>1</v>
      </c>
    </row>
    <row r="15" spans="1:40" x14ac:dyDescent="0.35">
      <c r="A15">
        <f t="shared" si="30"/>
        <v>14</v>
      </c>
      <c r="B15" t="str">
        <f t="shared" si="0"/>
        <v>Braskem4094115/04/2021</v>
      </c>
      <c r="C15" t="s">
        <v>110</v>
      </c>
      <c r="D15" t="b">
        <f t="shared" si="1"/>
        <v>1</v>
      </c>
      <c r="E15" s="50">
        <v>40941</v>
      </c>
      <c r="F15" s="54">
        <f>VLOOKUP(A15,Base!B:K,10,0)</f>
        <v>40941</v>
      </c>
      <c r="G15" s="28" t="s">
        <v>116</v>
      </c>
      <c r="H15" s="14">
        <f>NETWORKDAYS($F15,$G15,Feriados!$A$2:$A$1189)</f>
        <v>2309</v>
      </c>
      <c r="I15" s="14">
        <f t="shared" si="2"/>
        <v>3313</v>
      </c>
      <c r="J15" t="s">
        <v>651</v>
      </c>
      <c r="K15" s="29">
        <v>5.7500000000000002E-2</v>
      </c>
      <c r="L15" s="30">
        <v>38643.699999999997</v>
      </c>
      <c r="M15" s="31">
        <v>44197</v>
      </c>
      <c r="N15" s="18">
        <f>NETWORKDAYS($F15,$M15,Feriados!$A$2:$A$1189)</f>
        <v>2238</v>
      </c>
      <c r="O15" s="30">
        <v>34541.46</v>
      </c>
      <c r="P15" s="31">
        <v>44562</v>
      </c>
      <c r="Q15" s="18">
        <f>NETWORKDAYS($F15,$P15,Feriados!$A$2:$A$1189)</f>
        <v>2489</v>
      </c>
      <c r="R15" s="17">
        <f t="shared" si="31"/>
        <v>37436.242552846037</v>
      </c>
      <c r="S15" s="26">
        <v>4.67</v>
      </c>
      <c r="T15" s="27">
        <v>44197</v>
      </c>
      <c r="U15" s="23">
        <f t="shared" si="32"/>
        <v>3209</v>
      </c>
      <c r="V15" s="26">
        <v>4.82</v>
      </c>
      <c r="W15" s="27">
        <v>44562</v>
      </c>
      <c r="X15" s="35">
        <f t="shared" si="33"/>
        <v>3569</v>
      </c>
      <c r="Y15" s="33">
        <f t="shared" si="34"/>
        <v>1.502080138968207</v>
      </c>
      <c r="Z15" s="33">
        <f t="shared" si="35"/>
        <v>1.5947076762067525</v>
      </c>
      <c r="AA15" s="24">
        <f t="shared" si="36"/>
        <v>0.28888888888888886</v>
      </c>
      <c r="AB15" s="24">
        <f t="shared" si="37"/>
        <v>4.7166587378527192E-2</v>
      </c>
      <c r="AC15" s="25">
        <f t="shared" si="38"/>
        <v>0.11319205052986447</v>
      </c>
      <c r="AD15" s="25">
        <f t="shared" si="16"/>
        <v>4.7166587378527192E-2</v>
      </c>
      <c r="AE15" s="21">
        <f t="shared" si="17"/>
        <v>7.0243275801941341E-2</v>
      </c>
      <c r="AF15" s="21">
        <f t="shared" si="18"/>
        <v>1.6699915905651563E-2</v>
      </c>
      <c r="AG15" s="9">
        <f t="shared" si="10"/>
        <v>0.12989196643551604</v>
      </c>
      <c r="AK15" t="b">
        <f t="shared" si="11"/>
        <v>1</v>
      </c>
      <c r="AL15" t="b">
        <f t="shared" si="12"/>
        <v>1</v>
      </c>
      <c r="AM15" t="b">
        <f t="shared" si="13"/>
        <v>1</v>
      </c>
      <c r="AN15" t="b">
        <f t="shared" si="14"/>
        <v>1</v>
      </c>
    </row>
    <row r="16" spans="1:40" x14ac:dyDescent="0.35">
      <c r="A16">
        <f t="shared" si="30"/>
        <v>15</v>
      </c>
      <c r="B16" t="str">
        <f t="shared" si="0"/>
        <v>Braskem4377031/01/2030</v>
      </c>
      <c r="C16" t="s">
        <v>110</v>
      </c>
      <c r="D16" t="b">
        <f t="shared" si="1"/>
        <v>1</v>
      </c>
      <c r="E16" s="50">
        <v>43770</v>
      </c>
      <c r="F16" s="54">
        <f>VLOOKUP(A16,Base!B:K,10,0)</f>
        <v>43770</v>
      </c>
      <c r="G16" s="28" t="s">
        <v>118</v>
      </c>
      <c r="H16" s="14">
        <f>NETWORKDAYS($F16,$G16,Feriados!$A$2:$A$1189)</f>
        <v>2572</v>
      </c>
      <c r="I16" s="14">
        <f t="shared" si="2"/>
        <v>3690</v>
      </c>
      <c r="J16" t="s">
        <v>651</v>
      </c>
      <c r="K16" s="29">
        <v>4.4999999999999998E-2</v>
      </c>
      <c r="L16" s="30">
        <v>51929.58</v>
      </c>
      <c r="M16" s="31">
        <v>47484</v>
      </c>
      <c r="N16" s="18">
        <f>NETWORKDAYS($F16,$M16,Feriados!$A$2:$A$1189)</f>
        <v>2550</v>
      </c>
      <c r="O16" s="30">
        <v>48498.78</v>
      </c>
      <c r="P16" s="31">
        <v>47849</v>
      </c>
      <c r="Q16" s="18">
        <f>NETWORKDAYS($F16,$P16,Feriados!$A$2:$A$1189)</f>
        <v>2803</v>
      </c>
      <c r="R16" s="17">
        <f t="shared" si="31"/>
        <v>51621.853387805015</v>
      </c>
      <c r="S16" s="26">
        <v>3.34</v>
      </c>
      <c r="T16" s="27">
        <v>47484</v>
      </c>
      <c r="U16" s="23">
        <f t="shared" si="32"/>
        <v>3660</v>
      </c>
      <c r="V16" s="26">
        <v>3.4</v>
      </c>
      <c r="W16" s="27">
        <v>47849</v>
      </c>
      <c r="X16" s="35">
        <f t="shared" si="33"/>
        <v>4020</v>
      </c>
      <c r="Y16" s="33">
        <f t="shared" si="34"/>
        <v>1.3965698059621854</v>
      </c>
      <c r="Z16" s="33">
        <f t="shared" si="35"/>
        <v>1.4525999207457401</v>
      </c>
      <c r="AA16" s="24">
        <f t="shared" si="36"/>
        <v>8.3333333333333329E-2</v>
      </c>
      <c r="AB16" s="24">
        <f t="shared" si="37"/>
        <v>3.3454457172351404E-2</v>
      </c>
      <c r="AC16" s="25">
        <f t="shared" si="38"/>
        <v>6.6930315950630037E-2</v>
      </c>
      <c r="AD16" s="25">
        <f t="shared" si="16"/>
        <v>3.3454457172351404E-2</v>
      </c>
      <c r="AE16" s="21">
        <f t="shared" si="17"/>
        <v>3.6550114380385912E-2</v>
      </c>
      <c r="AF16" s="21">
        <f t="shared" si="18"/>
        <v>1.5244251038439627E-2</v>
      </c>
      <c r="AG16" s="9">
        <f t="shared" si="10"/>
        <v>8.2174566989069664E-2</v>
      </c>
      <c r="AK16" t="b">
        <f t="shared" si="11"/>
        <v>1</v>
      </c>
      <c r="AL16" t="b">
        <f t="shared" si="12"/>
        <v>1</v>
      </c>
      <c r="AM16" t="b">
        <f t="shared" si="13"/>
        <v>1</v>
      </c>
      <c r="AN16" t="b">
        <f t="shared" si="14"/>
        <v>1</v>
      </c>
    </row>
    <row r="17" spans="1:40" x14ac:dyDescent="0.35">
      <c r="A17">
        <f t="shared" si="30"/>
        <v>16</v>
      </c>
      <c r="B17" t="str">
        <f t="shared" si="0"/>
        <v>Braskem4301810/01/2028</v>
      </c>
      <c r="C17" t="s">
        <v>110</v>
      </c>
      <c r="D17" t="b">
        <f t="shared" si="1"/>
        <v>1</v>
      </c>
      <c r="E17" s="50">
        <v>43018</v>
      </c>
      <c r="F17" s="54">
        <f>VLOOKUP(A17,Base!B:K,10,0)</f>
        <v>43018</v>
      </c>
      <c r="G17" s="28" t="s">
        <v>119</v>
      </c>
      <c r="H17" s="14">
        <f>NETWORKDAYS($F17,$G17,Feriados!$A$2:$A$1189)</f>
        <v>2574</v>
      </c>
      <c r="I17" s="14">
        <f t="shared" si="2"/>
        <v>3690</v>
      </c>
      <c r="J17" t="s">
        <v>651</v>
      </c>
      <c r="K17" s="29">
        <v>4.4999999999999998E-2</v>
      </c>
      <c r="L17" s="30">
        <v>37114.800000000003</v>
      </c>
      <c r="M17" s="31">
        <v>46753</v>
      </c>
      <c r="N17" s="18">
        <f>NETWORKDAYS($F17,$M17,Feriados!$A$2:$A$1189)</f>
        <v>2568</v>
      </c>
      <c r="O17" s="30">
        <v>33560.43</v>
      </c>
      <c r="P17" s="31">
        <v>47119</v>
      </c>
      <c r="Q17" s="18">
        <f>NETWORKDAYS($F17,$P17,Feriados!$A$2:$A$1189)</f>
        <v>2817</v>
      </c>
      <c r="R17" s="17">
        <f t="shared" si="31"/>
        <v>37024.878335048634</v>
      </c>
      <c r="S17" s="26">
        <v>4.8099999999999996</v>
      </c>
      <c r="T17" s="27">
        <v>46753</v>
      </c>
      <c r="U17" s="23">
        <f t="shared" si="32"/>
        <v>3681</v>
      </c>
      <c r="V17" s="26">
        <v>5.1100000000000003</v>
      </c>
      <c r="W17" s="27">
        <v>47119</v>
      </c>
      <c r="X17" s="35">
        <f t="shared" si="33"/>
        <v>4041</v>
      </c>
      <c r="Y17" s="33">
        <f t="shared" si="34"/>
        <v>1.6166567580295215</v>
      </c>
      <c r="Z17" s="33">
        <f t="shared" si="35"/>
        <v>1.7496625856744408</v>
      </c>
      <c r="AA17" s="24">
        <f t="shared" si="36"/>
        <v>2.5000000000000001E-2</v>
      </c>
      <c r="AB17" s="24">
        <f t="shared" si="37"/>
        <v>4.8182020032076389E-2</v>
      </c>
      <c r="AC17" s="25">
        <f t="shared" si="38"/>
        <v>0.10216185893858465</v>
      </c>
      <c r="AD17" s="25">
        <f t="shared" si="16"/>
        <v>4.8182020032076389E-2</v>
      </c>
      <c r="AE17" s="21">
        <f t="shared" si="17"/>
        <v>5.9692622320176802E-2</v>
      </c>
      <c r="AF17" s="21">
        <f t="shared" si="18"/>
        <v>4.7333622949210508E-3</v>
      </c>
      <c r="AG17" s="9">
        <f t="shared" si="10"/>
        <v>0.1068952212335057</v>
      </c>
      <c r="AK17" t="b">
        <f t="shared" si="11"/>
        <v>1</v>
      </c>
      <c r="AL17" t="b">
        <f t="shared" si="12"/>
        <v>1</v>
      </c>
      <c r="AM17" t="b">
        <f t="shared" si="13"/>
        <v>1</v>
      </c>
      <c r="AN17" t="b">
        <f t="shared" si="14"/>
        <v>1</v>
      </c>
    </row>
    <row r="18" spans="1:40" x14ac:dyDescent="0.35">
      <c r="A18">
        <f t="shared" si="30"/>
        <v>17</v>
      </c>
      <c r="B18" t="str">
        <f t="shared" si="0"/>
        <v>Braskem4377031/01/2050</v>
      </c>
      <c r="C18" t="s">
        <v>110</v>
      </c>
      <c r="D18" t="b">
        <f t="shared" si="1"/>
        <v>1</v>
      </c>
      <c r="E18" s="50">
        <v>43770</v>
      </c>
      <c r="F18" s="54">
        <f>VLOOKUP(A18,Base!B:K,10,0)</f>
        <v>43770</v>
      </c>
      <c r="G18" s="28" t="s">
        <v>120</v>
      </c>
      <c r="H18" s="14">
        <f>NETWORKDAYS($F18,$G18,Feriados!$A$2:$A$1189)</f>
        <v>7597</v>
      </c>
      <c r="I18" s="14">
        <f t="shared" si="2"/>
        <v>10890</v>
      </c>
      <c r="J18" t="s">
        <v>651</v>
      </c>
      <c r="K18" s="29">
        <v>5.8749999999999997E-2</v>
      </c>
      <c r="L18" s="30" t="s">
        <v>29</v>
      </c>
      <c r="M18" s="31" t="s">
        <v>29</v>
      </c>
      <c r="N18" s="18" t="s">
        <v>29</v>
      </c>
      <c r="O18" s="30">
        <v>48498.78</v>
      </c>
      <c r="P18" s="31">
        <v>47849</v>
      </c>
      <c r="Q18" s="18">
        <f>NETWORKDAYS($F18,$P18,Feriados!$A$2:$A$1189)</f>
        <v>2803</v>
      </c>
      <c r="R18" s="17" t="s">
        <v>29</v>
      </c>
      <c r="S18" s="26" t="s">
        <v>29</v>
      </c>
      <c r="T18" s="27" t="s">
        <v>29</v>
      </c>
      <c r="U18" s="23" t="s">
        <v>29</v>
      </c>
      <c r="V18" s="26" t="s">
        <v>29</v>
      </c>
      <c r="W18" s="27" t="s">
        <v>29</v>
      </c>
      <c r="X18" s="35" t="s">
        <v>29</v>
      </c>
      <c r="Y18" s="33" t="s">
        <v>29</v>
      </c>
      <c r="Z18" s="33" t="s">
        <v>29</v>
      </c>
      <c r="AA18" s="24" t="s">
        <v>29</v>
      </c>
      <c r="AB18" s="26">
        <v>3.4000000000000002E-2</v>
      </c>
      <c r="AC18" s="37">
        <f>($AG$1/$O18)^(252/Q18)-1</f>
        <v>6.7219998040283446E-2</v>
      </c>
      <c r="AD18" s="25">
        <f t="shared" si="16"/>
        <v>3.4000000000000002E-2</v>
      </c>
      <c r="AE18" s="21">
        <f t="shared" si="17"/>
        <v>4.2472616559634524E-2</v>
      </c>
      <c r="AF18" s="21">
        <f t="shared" si="18"/>
        <v>3.4199026263797672E-2</v>
      </c>
      <c r="AG18" s="9">
        <f t="shared" si="10"/>
        <v>0.10141902430408112</v>
      </c>
      <c r="AK18" t="b">
        <f t="shared" si="11"/>
        <v>0</v>
      </c>
      <c r="AL18" t="b">
        <f t="shared" si="12"/>
        <v>0</v>
      </c>
      <c r="AM18" t="b">
        <f t="shared" si="13"/>
        <v>0</v>
      </c>
      <c r="AN18" t="b">
        <f t="shared" si="14"/>
        <v>1</v>
      </c>
    </row>
    <row r="19" spans="1:40" x14ac:dyDescent="0.35">
      <c r="A19">
        <f t="shared" si="30"/>
        <v>18</v>
      </c>
      <c r="B19" t="str">
        <f t="shared" si="0"/>
        <v>Braskem4403523/01/2081</v>
      </c>
      <c r="C19" t="s">
        <v>110</v>
      </c>
      <c r="D19" t="b">
        <f t="shared" si="1"/>
        <v>1</v>
      </c>
      <c r="E19" s="50">
        <v>44035</v>
      </c>
      <c r="F19" s="54">
        <f>VLOOKUP(A19,Base!B:K,10,0)</f>
        <v>44035</v>
      </c>
      <c r="G19" s="28" t="s">
        <v>121</v>
      </c>
      <c r="H19" s="14">
        <f>NETWORKDAYS($F19,$G19,Feriados!$A$2:$A$1189)</f>
        <v>15200</v>
      </c>
      <c r="I19" s="14">
        <f t="shared" si="2"/>
        <v>21780</v>
      </c>
      <c r="J19" t="s">
        <v>651</v>
      </c>
      <c r="K19" s="29">
        <v>8.5000000000000006E-2</v>
      </c>
      <c r="L19" s="30" t="s">
        <v>29</v>
      </c>
      <c r="M19" s="31" t="s">
        <v>29</v>
      </c>
      <c r="N19" s="18" t="s">
        <v>29</v>
      </c>
      <c r="O19" s="30">
        <v>35016.35</v>
      </c>
      <c r="P19" s="31">
        <v>49310</v>
      </c>
      <c r="Q19" s="18">
        <f>NETWORKDAYS($F19,$P19,Feriados!$A$2:$A$1189)</f>
        <v>3628</v>
      </c>
      <c r="R19" s="17" t="s">
        <v>29</v>
      </c>
      <c r="S19" s="26" t="s">
        <v>29</v>
      </c>
      <c r="T19" s="27" t="s">
        <v>29</v>
      </c>
      <c r="U19" s="23" t="s">
        <v>29</v>
      </c>
      <c r="V19" s="26" t="s">
        <v>29</v>
      </c>
      <c r="W19" s="27" t="s">
        <v>29</v>
      </c>
      <c r="X19" s="35" t="s">
        <v>29</v>
      </c>
      <c r="Y19" s="33" t="s">
        <v>29</v>
      </c>
      <c r="Z19" s="33" t="s">
        <v>29</v>
      </c>
      <c r="AA19" s="24" t="s">
        <v>29</v>
      </c>
      <c r="AB19" s="26">
        <v>2.07E-2</v>
      </c>
      <c r="AC19" s="37">
        <f>($AG$1/$O19)^(252/Q19)-1</f>
        <v>7.5610008138217388E-2</v>
      </c>
      <c r="AD19" s="25">
        <f t="shared" si="16"/>
        <v>2.07E-2</v>
      </c>
      <c r="AE19" s="21">
        <f t="shared" si="17"/>
        <v>6.1227517976716994E-2</v>
      </c>
      <c r="AF19" s="21">
        <f t="shared" si="18"/>
        <v>7.0491951816031628E-2</v>
      </c>
      <c r="AG19" s="9">
        <f t="shared" si="10"/>
        <v>0.14610195995424902</v>
      </c>
      <c r="AK19" t="b">
        <f t="shared" si="11"/>
        <v>0</v>
      </c>
      <c r="AL19" t="b">
        <f t="shared" si="12"/>
        <v>0</v>
      </c>
      <c r="AM19" t="b">
        <f t="shared" si="13"/>
        <v>0</v>
      </c>
      <c r="AN19" t="b">
        <f t="shared" si="14"/>
        <v>1</v>
      </c>
    </row>
    <row r="20" spans="1:40" x14ac:dyDescent="0.35">
      <c r="A20">
        <f t="shared" si="30"/>
        <v>19</v>
      </c>
      <c r="B20" t="str">
        <f t="shared" si="0"/>
        <v>Braskem4301810/01/2023</v>
      </c>
      <c r="C20" t="s">
        <v>110</v>
      </c>
      <c r="D20" t="b">
        <f t="shared" si="1"/>
        <v>1</v>
      </c>
      <c r="E20" s="50">
        <v>43018</v>
      </c>
      <c r="F20" s="54">
        <f>VLOOKUP(A20,Base!B:K,10,0)</f>
        <v>43018</v>
      </c>
      <c r="G20" s="28" t="s">
        <v>122</v>
      </c>
      <c r="H20" s="14">
        <f>NETWORKDAYS($F20,$G20,Feriados!$A$2:$A$1189)</f>
        <v>1318</v>
      </c>
      <c r="I20" s="14">
        <f t="shared" si="2"/>
        <v>1890</v>
      </c>
      <c r="J20" t="s">
        <v>651</v>
      </c>
      <c r="K20" s="29">
        <v>3.5000000000000003E-2</v>
      </c>
      <c r="L20" s="30">
        <v>61982.91</v>
      </c>
      <c r="M20" s="31">
        <v>44927</v>
      </c>
      <c r="N20" s="18">
        <f>NETWORKDAYS($F20,$M20,Feriados!$A$2:$A$1189)</f>
        <v>1311</v>
      </c>
      <c r="O20" s="30">
        <v>59053.89</v>
      </c>
      <c r="P20" s="31">
        <v>45108</v>
      </c>
      <c r="Q20" s="18">
        <f>NETWORKDAYS($F20,$P20,Feriados!$A$2:$A$1189)</f>
        <v>1435</v>
      </c>
      <c r="R20" s="17">
        <f>$L20*(($O20/$L20)^(($H20-$N20)/($Q20-$N20)))</f>
        <v>61813.758931660428</v>
      </c>
      <c r="S20" s="26">
        <v>3.62</v>
      </c>
      <c r="T20" s="27">
        <v>44927</v>
      </c>
      <c r="U20" s="23">
        <f>DAYS360($F20,T20,0)</f>
        <v>1881</v>
      </c>
      <c r="V20" s="26">
        <v>3.74</v>
      </c>
      <c r="W20" s="27">
        <v>45108</v>
      </c>
      <c r="X20" s="35">
        <f>DAYS360($F20,W20,0)</f>
        <v>2061</v>
      </c>
      <c r="Y20" s="33">
        <f>(1+S20%)^(U20/360)</f>
        <v>1.2041837077769941</v>
      </c>
      <c r="Z20" s="33">
        <f>(1+V20%)^(X20/360)</f>
        <v>1.2339348919543032</v>
      </c>
      <c r="AA20" s="24">
        <f>(I20-U20)/(X20-U20)</f>
        <v>0.05</v>
      </c>
      <c r="AB20" s="24">
        <f>(Y20*((Z20/Y20)^AA20))^(360/I20)-1</f>
        <v>3.6265392778297212E-2</v>
      </c>
      <c r="AC20" s="25">
        <f>IFERROR(($AG$1/$R20)^(252/$H20)-1,"NA")</f>
        <v>9.6337488904531199E-2</v>
      </c>
      <c r="AD20" s="25">
        <f t="shared" si="16"/>
        <v>3.6265392778297212E-2</v>
      </c>
      <c r="AE20" s="21">
        <f t="shared" si="17"/>
        <v>6.0406393036227302E-2</v>
      </c>
      <c r="AF20" s="21">
        <f t="shared" si="18"/>
        <v>1.0791639435281386E-3</v>
      </c>
      <c r="AG20" s="9">
        <f t="shared" si="10"/>
        <v>9.7416652848059337E-2</v>
      </c>
      <c r="AK20" t="b">
        <f t="shared" si="11"/>
        <v>1</v>
      </c>
      <c r="AL20" t="b">
        <f t="shared" si="12"/>
        <v>1</v>
      </c>
      <c r="AM20" t="b">
        <f t="shared" si="13"/>
        <v>1</v>
      </c>
      <c r="AN20" t="b">
        <f t="shared" si="14"/>
        <v>1</v>
      </c>
    </row>
    <row r="21" spans="1:40" x14ac:dyDescent="0.35">
      <c r="A21">
        <f t="shared" si="30"/>
        <v>20</v>
      </c>
      <c r="B21" t="str">
        <f t="shared" si="0"/>
        <v>BRF4264229/09/2026</v>
      </c>
      <c r="C21" t="s">
        <v>124</v>
      </c>
      <c r="D21" t="b">
        <f t="shared" si="1"/>
        <v>1</v>
      </c>
      <c r="E21" s="50">
        <v>42642</v>
      </c>
      <c r="F21" s="54">
        <f>VLOOKUP(A21,Base!B:K,10,0)</f>
        <v>42642</v>
      </c>
      <c r="G21" s="28" t="s">
        <v>129</v>
      </c>
      <c r="H21" s="14">
        <f>NETWORKDAYS($F21,$G21,Feriados!$A$2:$A$1189)</f>
        <v>2511</v>
      </c>
      <c r="I21" s="14">
        <f t="shared" si="2"/>
        <v>3600</v>
      </c>
      <c r="J21" t="s">
        <v>651</v>
      </c>
      <c r="K21" s="29">
        <v>4.3499999999999997E-2</v>
      </c>
      <c r="L21" s="30">
        <v>35644.43</v>
      </c>
      <c r="M21" s="31">
        <v>46023</v>
      </c>
      <c r="N21" s="18">
        <f>NETWORKDAYS($F21,$M21,Feriados!$A$2:$A$1189)</f>
        <v>2325</v>
      </c>
      <c r="O21" s="30">
        <v>31698.720000000001</v>
      </c>
      <c r="P21" s="31">
        <v>46388</v>
      </c>
      <c r="Q21" s="18">
        <f>NETWORKDAYS($F21,$P21,Feriados!$A$2:$A$1189)</f>
        <v>2575</v>
      </c>
      <c r="R21" s="17">
        <f>$L21*(($O21/$L21)^(($H21-$N21)/($Q21-$N21)))</f>
        <v>32665.169229728639</v>
      </c>
      <c r="S21" s="26">
        <v>5</v>
      </c>
      <c r="T21" s="27">
        <v>46023</v>
      </c>
      <c r="U21" s="23">
        <f>DAYS360($F21,T21,0)</f>
        <v>3332</v>
      </c>
      <c r="V21" s="26">
        <v>5.45</v>
      </c>
      <c r="W21" s="27">
        <v>46388</v>
      </c>
      <c r="X21" s="35">
        <f>DAYS360($F21,W21,0)</f>
        <v>3692</v>
      </c>
      <c r="Y21" s="33">
        <f>(1+S21%)^(U21/360)</f>
        <v>1.5707921952060653</v>
      </c>
      <c r="Z21" s="33">
        <f>(1+V21%)^(X21/360)</f>
        <v>1.7232787129166027</v>
      </c>
      <c r="AA21" s="24">
        <f>(I21-U21)/(X21-U21)</f>
        <v>0.74444444444444446</v>
      </c>
      <c r="AB21" s="24">
        <f>(Y21*((Z21/Y21)^AA21))^(360/I21)-1</f>
        <v>5.3433872833946294E-2</v>
      </c>
      <c r="AC21" s="25">
        <f>IFERROR(($AG$1/$R21)^(252/$H21)-1,"NA")</f>
        <v>0.11883404195256042</v>
      </c>
      <c r="AD21" s="25">
        <f t="shared" si="16"/>
        <v>5.3433872833946294E-2</v>
      </c>
      <c r="AE21" s="21">
        <f t="shared" si="17"/>
        <v>7.1783109735468198E-2</v>
      </c>
      <c r="AF21" s="21">
        <f t="shared" si="18"/>
        <v>-3.8286906505957674E-4</v>
      </c>
      <c r="AG21" s="9">
        <f t="shared" si="10"/>
        <v>0.11845117288750084</v>
      </c>
      <c r="AK21" t="b">
        <f t="shared" si="11"/>
        <v>1</v>
      </c>
      <c r="AL21" t="b">
        <f t="shared" si="12"/>
        <v>1</v>
      </c>
      <c r="AM21" t="b">
        <f t="shared" si="13"/>
        <v>1</v>
      </c>
      <c r="AN21" t="b">
        <f t="shared" si="14"/>
        <v>1</v>
      </c>
    </row>
    <row r="22" spans="1:40" x14ac:dyDescent="0.35">
      <c r="A22">
        <f t="shared" si="30"/>
        <v>21</v>
      </c>
      <c r="B22" t="str">
        <f t="shared" si="0"/>
        <v>BRF4373224/01/2030</v>
      </c>
      <c r="C22" t="s">
        <v>124</v>
      </c>
      <c r="D22" t="b">
        <f t="shared" si="1"/>
        <v>1</v>
      </c>
      <c r="E22" s="50">
        <v>43732</v>
      </c>
      <c r="F22" s="54">
        <f>VLOOKUP(A22,Base!B:K,10,0)</f>
        <v>43732</v>
      </c>
      <c r="G22" s="28" t="s">
        <v>131</v>
      </c>
      <c r="H22" s="14">
        <f>NETWORKDAYS($F22,$G22,Feriados!$A$2:$A$1189)</f>
        <v>2595</v>
      </c>
      <c r="I22" s="14">
        <f t="shared" si="2"/>
        <v>3720</v>
      </c>
      <c r="J22" t="s">
        <v>651</v>
      </c>
      <c r="K22" s="29">
        <v>4.8750000000000002E-2</v>
      </c>
      <c r="L22" s="30">
        <v>48037.5</v>
      </c>
      <c r="M22" s="31">
        <v>47484</v>
      </c>
      <c r="N22" s="18">
        <f>NETWORKDAYS($F22,$M22,Feriados!$A$2:$A$1189)</f>
        <v>2578</v>
      </c>
      <c r="O22" s="30">
        <v>44553.14</v>
      </c>
      <c r="P22" s="31">
        <v>47849</v>
      </c>
      <c r="Q22" s="18">
        <f>NETWORKDAYS($F22,$P22,Feriados!$A$2:$A$1189)</f>
        <v>2831</v>
      </c>
      <c r="R22" s="17">
        <f>$L22*(($O22/$L22)^(($H22-$N22)/($Q22-$N22)))</f>
        <v>47795.061471477697</v>
      </c>
      <c r="S22" s="26">
        <v>3.06</v>
      </c>
      <c r="T22" s="27">
        <v>47484</v>
      </c>
      <c r="U22" s="23">
        <f>DAYS360($F22,T22,0)</f>
        <v>3697</v>
      </c>
      <c r="V22" s="26">
        <v>3.12</v>
      </c>
      <c r="W22" s="27">
        <v>47849</v>
      </c>
      <c r="X22" s="35">
        <f>DAYS360($F22,W22,0)</f>
        <v>4057</v>
      </c>
      <c r="Y22" s="33">
        <f>(1+S22%)^(U22/360)</f>
        <v>1.362788456579942</v>
      </c>
      <c r="Z22" s="33">
        <f>(1+V22%)^(X22/360)</f>
        <v>1.4137321003522392</v>
      </c>
      <c r="AA22" s="24">
        <f>(I22-U22)/(X22-U22)</f>
        <v>6.3888888888888884E-2</v>
      </c>
      <c r="AB22" s="24">
        <f>(Y22*((Z22/Y22)^AA22))^(360/I22)-1</f>
        <v>3.0641794686331103E-2</v>
      </c>
      <c r="AC22" s="25">
        <f>IFERROR(($AG$1/$R22)^(252/$H22)-1,"NA")</f>
        <v>7.432345843754451E-2</v>
      </c>
      <c r="AD22" s="25">
        <f t="shared" si="16"/>
        <v>3.0641794686331103E-2</v>
      </c>
      <c r="AE22" s="21">
        <f t="shared" si="17"/>
        <v>4.6005323982755808E-2</v>
      </c>
      <c r="AF22" s="21">
        <f t="shared" si="18"/>
        <v>2.11059573457959E-2</v>
      </c>
      <c r="AG22" s="9">
        <f t="shared" si="10"/>
        <v>9.542941578334041E-2</v>
      </c>
      <c r="AK22" t="b">
        <f t="shared" si="11"/>
        <v>1</v>
      </c>
      <c r="AL22" t="b">
        <f t="shared" si="12"/>
        <v>1</v>
      </c>
      <c r="AM22" t="b">
        <f t="shared" si="13"/>
        <v>1</v>
      </c>
      <c r="AN22" t="b">
        <f t="shared" si="14"/>
        <v>1</v>
      </c>
    </row>
    <row r="23" spans="1:40" x14ac:dyDescent="0.35">
      <c r="A23">
        <f t="shared" si="30"/>
        <v>22</v>
      </c>
      <c r="B23" t="str">
        <f t="shared" si="0"/>
        <v>BRF4409521/09/2050</v>
      </c>
      <c r="C23" t="s">
        <v>124</v>
      </c>
      <c r="D23" t="b">
        <f t="shared" si="1"/>
        <v>1</v>
      </c>
      <c r="E23" s="50">
        <v>44095</v>
      </c>
      <c r="F23" s="54">
        <f>VLOOKUP(A23,Base!B:K,10,0)</f>
        <v>44095</v>
      </c>
      <c r="G23" s="28" t="s">
        <v>132</v>
      </c>
      <c r="H23" s="14">
        <f>NETWORKDAYS($F23,$G23,Feriados!$A$2:$A$1189)</f>
        <v>7537</v>
      </c>
      <c r="I23" s="14">
        <f t="shared" si="2"/>
        <v>10800</v>
      </c>
      <c r="J23" t="s">
        <v>651</v>
      </c>
      <c r="K23" s="29">
        <v>5.7500000000000002E-2</v>
      </c>
      <c r="L23" s="30" t="s">
        <v>29</v>
      </c>
      <c r="M23" s="31" t="s">
        <v>29</v>
      </c>
      <c r="N23" s="18" t="s">
        <v>29</v>
      </c>
      <c r="O23" s="30">
        <v>31183.34</v>
      </c>
      <c r="P23" s="31">
        <v>49310</v>
      </c>
      <c r="Q23" s="18">
        <f>NETWORKDAYS($F23,$P23,Feriados!$A$2:$A$1189)</f>
        <v>3587</v>
      </c>
      <c r="R23" s="17" t="s">
        <v>29</v>
      </c>
      <c r="S23" s="26" t="s">
        <v>29</v>
      </c>
      <c r="T23" s="27" t="s">
        <v>29</v>
      </c>
      <c r="U23" s="23" t="s">
        <v>29</v>
      </c>
      <c r="V23" s="26" t="s">
        <v>29</v>
      </c>
      <c r="W23" s="27" t="s">
        <v>29</v>
      </c>
      <c r="X23" s="35" t="s">
        <v>29</v>
      </c>
      <c r="Y23" s="33" t="s">
        <v>29</v>
      </c>
      <c r="Z23" s="33" t="s">
        <v>29</v>
      </c>
      <c r="AA23" s="24" t="s">
        <v>29</v>
      </c>
      <c r="AB23" s="26">
        <v>2.12E-2</v>
      </c>
      <c r="AC23" s="37">
        <f>($AG$1/$O23)^(252/Q23)-1</f>
        <v>8.531000010546741E-2</v>
      </c>
      <c r="AD23" s="25">
        <f t="shared" si="16"/>
        <v>2.12E-2</v>
      </c>
      <c r="AE23" s="21">
        <f t="shared" si="17"/>
        <v>6.7593567850790182E-2</v>
      </c>
      <c r="AF23" s="21">
        <f t="shared" si="18"/>
        <v>4.023753387741702E-2</v>
      </c>
      <c r="AG23" s="9">
        <f t="shared" si="10"/>
        <v>0.12554753398288443</v>
      </c>
      <c r="AK23" t="b">
        <f t="shared" si="11"/>
        <v>0</v>
      </c>
      <c r="AL23" t="b">
        <f t="shared" si="12"/>
        <v>0</v>
      </c>
      <c r="AM23" t="b">
        <f t="shared" si="13"/>
        <v>0</v>
      </c>
      <c r="AN23" t="b">
        <f t="shared" si="14"/>
        <v>1</v>
      </c>
    </row>
    <row r="24" spans="1:40" x14ac:dyDescent="0.35">
      <c r="A24">
        <f t="shared" si="30"/>
        <v>23</v>
      </c>
      <c r="B24" t="str">
        <f t="shared" si="0"/>
        <v>BRF4178122/05/2024</v>
      </c>
      <c r="C24" t="s">
        <v>124</v>
      </c>
      <c r="D24" t="b">
        <f t="shared" si="1"/>
        <v>1</v>
      </c>
      <c r="E24" s="50">
        <v>41781</v>
      </c>
      <c r="F24" s="54">
        <f>VLOOKUP(A24,Base!B:K,10,0)</f>
        <v>41781</v>
      </c>
      <c r="G24" s="28" t="s">
        <v>133</v>
      </c>
      <c r="H24" s="14">
        <f>NETWORKDAYS($F24,$G24,Feriados!$A$2:$A$1189)</f>
        <v>2511</v>
      </c>
      <c r="I24" s="14">
        <f t="shared" si="2"/>
        <v>3600</v>
      </c>
      <c r="J24" t="s">
        <v>651</v>
      </c>
      <c r="K24" s="29">
        <v>4.7500000000000001E-2</v>
      </c>
      <c r="L24" s="30">
        <v>32606.22</v>
      </c>
      <c r="M24" s="31">
        <v>45292</v>
      </c>
      <c r="N24" s="18">
        <f>NETWORKDAYS($F24,$M24,Feriados!$A$2:$A$1189)</f>
        <v>2413</v>
      </c>
      <c r="O24" s="30">
        <v>28831.13</v>
      </c>
      <c r="P24" s="31">
        <v>45658</v>
      </c>
      <c r="Q24" s="18">
        <f>NETWORKDAYS($F24,$P24,Feriados!$A$2:$A$1189)</f>
        <v>2667</v>
      </c>
      <c r="R24" s="17">
        <f>$L24*(($O24/$L24)^(($H24-$N24)/($Q24-$N24)))</f>
        <v>31094.411280652112</v>
      </c>
      <c r="S24" s="26">
        <v>5.21</v>
      </c>
      <c r="T24" s="27">
        <v>45292</v>
      </c>
      <c r="U24" s="23">
        <f>DAYS360($F24,T24,0)</f>
        <v>3459</v>
      </c>
      <c r="V24" s="26">
        <v>5.67</v>
      </c>
      <c r="W24" s="27">
        <v>45658</v>
      </c>
      <c r="X24" s="35">
        <f>DAYS360($F24,W24,0)</f>
        <v>3819</v>
      </c>
      <c r="Y24" s="33">
        <f>(1+S24%)^(U24/360)</f>
        <v>1.6290379670435493</v>
      </c>
      <c r="Z24" s="33">
        <f>(1+V24%)^(X24/360)</f>
        <v>1.7950960705358614</v>
      </c>
      <c r="AA24" s="24">
        <f>(I24-U24)/(X24-U24)</f>
        <v>0.39166666666666666</v>
      </c>
      <c r="AB24" s="24">
        <f>(Y24*((Z24/Y24)^AA24))^(360/I24)-1</f>
        <v>5.4008831474506191E-2</v>
      </c>
      <c r="AC24" s="25">
        <f>IFERROR(($AG$1/$R24)^(252/$H24)-1,"NA")</f>
        <v>0.12438126464178123</v>
      </c>
      <c r="AD24" s="25">
        <f t="shared" si="16"/>
        <v>5.4008831474506191E-2</v>
      </c>
      <c r="AE24" s="21">
        <f t="shared" si="17"/>
        <v>7.669282064745464E-2</v>
      </c>
      <c r="AF24" s="21">
        <f t="shared" si="18"/>
        <v>3.0723252824105263E-3</v>
      </c>
      <c r="AG24" s="9">
        <f t="shared" si="10"/>
        <v>0.12745358992419176</v>
      </c>
      <c r="AK24" t="b">
        <f t="shared" si="11"/>
        <v>1</v>
      </c>
      <c r="AL24" t="b">
        <f t="shared" si="12"/>
        <v>1</v>
      </c>
      <c r="AM24" t="b">
        <f t="shared" si="13"/>
        <v>1</v>
      </c>
      <c r="AN24" t="b">
        <f t="shared" si="14"/>
        <v>1</v>
      </c>
    </row>
    <row r="25" spans="1:40" x14ac:dyDescent="0.35">
      <c r="A25">
        <f t="shared" si="30"/>
        <v>24</v>
      </c>
      <c r="B25" t="str">
        <f t="shared" si="0"/>
        <v>BRF4141622/05/2023</v>
      </c>
      <c r="C25" t="s">
        <v>124</v>
      </c>
      <c r="D25" t="b">
        <f t="shared" si="1"/>
        <v>1</v>
      </c>
      <c r="E25" s="50">
        <v>41416</v>
      </c>
      <c r="F25" s="54">
        <f>VLOOKUP(A25,Base!B:K,10,0)</f>
        <v>41416</v>
      </c>
      <c r="G25" s="28" t="s">
        <v>134</v>
      </c>
      <c r="H25" s="14">
        <f>NETWORKDAYS($F25,$G25,Feriados!$A$2:$A$1189)</f>
        <v>2512</v>
      </c>
      <c r="I25" s="14">
        <f t="shared" si="2"/>
        <v>3600</v>
      </c>
      <c r="J25" t="s">
        <v>651</v>
      </c>
      <c r="K25" s="29">
        <v>3.95E-2</v>
      </c>
      <c r="L25" s="30">
        <v>39580.559999999998</v>
      </c>
      <c r="M25" s="31">
        <v>44927</v>
      </c>
      <c r="N25" s="18">
        <f>NETWORKDAYS($F25,$M25,Feriados!$A$2:$A$1189)</f>
        <v>2416</v>
      </c>
      <c r="O25" s="30">
        <v>37741.82</v>
      </c>
      <c r="P25" s="31">
        <v>45108</v>
      </c>
      <c r="Q25" s="18">
        <f>NETWORKDAYS($F25,$P25,Feriados!$A$2:$A$1189)</f>
        <v>2540</v>
      </c>
      <c r="R25" s="17">
        <f>$L25*(($O25/$L25)^(($H25-$N25)/($Q25-$N25)))</f>
        <v>38149.407392526271</v>
      </c>
      <c r="S25" s="26">
        <v>4.57</v>
      </c>
      <c r="T25" s="27">
        <v>44927</v>
      </c>
      <c r="U25" s="23">
        <f>DAYS360($F25,T25,0)</f>
        <v>3459</v>
      </c>
      <c r="V25" s="26">
        <v>4.7699999999999996</v>
      </c>
      <c r="W25" s="27">
        <v>45292</v>
      </c>
      <c r="X25" s="35">
        <f>DAYS360($F25,W25,0)</f>
        <v>3819</v>
      </c>
      <c r="Y25" s="33">
        <f>(1+S25%)^(U25/360)</f>
        <v>1.5362785359917819</v>
      </c>
      <c r="Z25" s="33">
        <f>(1+V25%)^(X25/360)</f>
        <v>1.6393823182951301</v>
      </c>
      <c r="AA25" s="24">
        <f>(I25-U25)/(X25-U25)</f>
        <v>0.39166666666666666</v>
      </c>
      <c r="AB25" s="24">
        <f>(Y25*((Z25/Y25)^AA25))^(360/I25)-1</f>
        <v>4.6530522089786031E-2</v>
      </c>
      <c r="AC25" s="25">
        <f>IFERROR(($AG$1/$R25)^(252/$H25)-1,"NA")</f>
        <v>0.10150000772845025</v>
      </c>
      <c r="AD25" s="25">
        <f t="shared" si="16"/>
        <v>4.6530522089786031E-2</v>
      </c>
      <c r="AE25" s="21">
        <f t="shared" si="17"/>
        <v>6.0080513863939089E-2</v>
      </c>
      <c r="AF25" s="21">
        <f t="shared" si="18"/>
        <v>4.1188055372809451E-4</v>
      </c>
      <c r="AG25" s="9">
        <f t="shared" si="10"/>
        <v>0.10191188828217834</v>
      </c>
      <c r="AK25" t="b">
        <f t="shared" si="11"/>
        <v>1</v>
      </c>
      <c r="AL25" t="b">
        <f t="shared" si="12"/>
        <v>1</v>
      </c>
      <c r="AM25" t="b">
        <f t="shared" si="13"/>
        <v>1</v>
      </c>
      <c r="AN25" t="b">
        <f t="shared" si="14"/>
        <v>1</v>
      </c>
    </row>
    <row r="26" spans="1:40" x14ac:dyDescent="0.35">
      <c r="A26">
        <f t="shared" si="30"/>
        <v>25</v>
      </c>
      <c r="B26" t="str">
        <f t="shared" si="0"/>
        <v>BRF4106606/06/2022</v>
      </c>
      <c r="C26" t="s">
        <v>124</v>
      </c>
      <c r="D26" t="b">
        <f t="shared" si="1"/>
        <v>1</v>
      </c>
      <c r="E26" s="50">
        <v>41066</v>
      </c>
      <c r="F26" s="54">
        <f>VLOOKUP(A26,Base!B:K,10,0)</f>
        <v>41066</v>
      </c>
      <c r="G26" s="28" t="s">
        <v>135</v>
      </c>
      <c r="H26" s="14">
        <f>NETWORKDAYS($F26,$G26,Feriados!$A$2:$A$1189)</f>
        <v>2511</v>
      </c>
      <c r="I26" s="14">
        <f t="shared" si="2"/>
        <v>3600</v>
      </c>
      <c r="J26" t="s">
        <v>651</v>
      </c>
      <c r="K26" s="29">
        <v>5.8749999999999997E-2</v>
      </c>
      <c r="L26" s="30">
        <v>37755.03</v>
      </c>
      <c r="M26" s="31">
        <v>44562</v>
      </c>
      <c r="N26" s="18">
        <f>NETWORKDAYS($F26,$M26,Feriados!$A$2:$A$1189)</f>
        <v>2404</v>
      </c>
      <c r="O26" s="30">
        <v>33781.39</v>
      </c>
      <c r="P26" s="31">
        <v>44927</v>
      </c>
      <c r="Q26" s="18">
        <f>NETWORKDAYS($F26,$P26,Feriados!$A$2:$A$1189)</f>
        <v>2655</v>
      </c>
      <c r="R26" s="17">
        <f>$L26*(($O26/$L26)^(($H26-$N26)/($Q26-$N26)))</f>
        <v>36006.916290443514</v>
      </c>
      <c r="S26" s="26">
        <v>4.55</v>
      </c>
      <c r="T26" s="27">
        <v>44562</v>
      </c>
      <c r="U26" s="23">
        <f>DAYS360($F26,T26,0)</f>
        <v>3445</v>
      </c>
      <c r="V26" s="26">
        <v>4.6100000000000003</v>
      </c>
      <c r="W26" s="27">
        <v>44927</v>
      </c>
      <c r="X26" s="35">
        <f>DAYS360($F26,W26,0)</f>
        <v>3805</v>
      </c>
      <c r="Y26" s="33">
        <f>(1+S26%)^(U26/360)</f>
        <v>1.5308065083128608</v>
      </c>
      <c r="Z26" s="33">
        <f>(1+V26%)^(X26/360)</f>
        <v>1.6101927695718603</v>
      </c>
      <c r="AA26" s="24">
        <f>(I26-U26)/(X26-U26)</f>
        <v>0.43055555555555558</v>
      </c>
      <c r="AB26" s="24">
        <f>(Y26*((Z26/Y26)^AA26))^(360/I26)-1</f>
        <v>4.5773001299989957E-2</v>
      </c>
      <c r="AC26" s="25">
        <f>IFERROR(($AG$1/$R26)^(252/$H26)-1,"NA")</f>
        <v>0.10795062944542133</v>
      </c>
      <c r="AD26" s="25">
        <f t="shared" si="16"/>
        <v>4.5773001299989957E-2</v>
      </c>
      <c r="AE26" s="21">
        <f t="shared" si="17"/>
        <v>6.6827085470167358E-2</v>
      </c>
      <c r="AF26" s="21">
        <f t="shared" si="18"/>
        <v>1.9452624262604967E-2</v>
      </c>
      <c r="AG26" s="9">
        <f t="shared" si="10"/>
        <v>0.1274032537080263</v>
      </c>
      <c r="AK26" t="b">
        <f t="shared" si="11"/>
        <v>1</v>
      </c>
      <c r="AL26" t="b">
        <f t="shared" si="12"/>
        <v>1</v>
      </c>
      <c r="AM26" t="b">
        <f t="shared" si="13"/>
        <v>1</v>
      </c>
      <c r="AN26" t="b">
        <f t="shared" si="14"/>
        <v>1</v>
      </c>
    </row>
    <row r="27" spans="1:40" x14ac:dyDescent="0.35">
      <c r="A27">
        <f t="shared" si="30"/>
        <v>26</v>
      </c>
      <c r="B27" t="str">
        <f t="shared" si="0"/>
        <v>BRF4413021/09/2050</v>
      </c>
      <c r="C27" t="s">
        <v>124</v>
      </c>
      <c r="D27" t="b">
        <f t="shared" si="1"/>
        <v>1</v>
      </c>
      <c r="E27" s="50">
        <v>44130</v>
      </c>
      <c r="F27" s="54">
        <f>VLOOKUP(A27,Base!B:K,10,0)</f>
        <v>44130</v>
      </c>
      <c r="G27" s="28" t="s">
        <v>132</v>
      </c>
      <c r="H27" s="14">
        <f>NETWORKDAYS($F27,$G27,Feriados!$A$2:$A$1189)</f>
        <v>7513</v>
      </c>
      <c r="I27" s="14">
        <f t="shared" si="2"/>
        <v>10765</v>
      </c>
      <c r="J27" t="s">
        <v>651</v>
      </c>
      <c r="K27" s="29">
        <v>5.7500000000000002E-2</v>
      </c>
      <c r="L27" s="30" t="s">
        <v>29</v>
      </c>
      <c r="M27" s="31" t="s">
        <v>29</v>
      </c>
      <c r="N27" s="18" t="s">
        <v>29</v>
      </c>
      <c r="O27" s="30">
        <v>31182.79</v>
      </c>
      <c r="P27" s="31">
        <v>49310</v>
      </c>
      <c r="Q27" s="18">
        <f>NETWORKDAYS($F27,$P27,Feriados!$A$2:$A$1189)</f>
        <v>3563</v>
      </c>
      <c r="R27" s="17" t="s">
        <v>29</v>
      </c>
      <c r="S27" s="26" t="s">
        <v>29</v>
      </c>
      <c r="T27" s="27" t="s">
        <v>29</v>
      </c>
      <c r="U27" s="23" t="s">
        <v>29</v>
      </c>
      <c r="V27" s="26" t="s">
        <v>29</v>
      </c>
      <c r="W27" s="27" t="s">
        <v>29</v>
      </c>
      <c r="X27" s="35" t="s">
        <v>29</v>
      </c>
      <c r="Y27" s="33" t="s">
        <v>29</v>
      </c>
      <c r="Z27" s="33" t="s">
        <v>29</v>
      </c>
      <c r="AA27" s="24" t="s">
        <v>29</v>
      </c>
      <c r="AB27" s="26">
        <v>2.1600000000000001E-2</v>
      </c>
      <c r="AC27" s="37">
        <f>($AG$1/$O27)^(252/Q27)-1</f>
        <v>8.5910001647558687E-2</v>
      </c>
      <c r="AD27" s="25">
        <f t="shared" si="16"/>
        <v>2.1600000000000001E-2</v>
      </c>
      <c r="AE27" s="21">
        <f t="shared" si="17"/>
        <v>6.7911489224292909E-2</v>
      </c>
      <c r="AF27" s="21">
        <f t="shared" si="18"/>
        <v>3.9972371689434905E-2</v>
      </c>
      <c r="AG27" s="9">
        <f t="shared" si="10"/>
        <v>0.12588237333699359</v>
      </c>
      <c r="AK27" t="b">
        <f t="shared" si="11"/>
        <v>0</v>
      </c>
      <c r="AL27" t="b">
        <f t="shared" si="12"/>
        <v>0</v>
      </c>
      <c r="AM27" t="b">
        <f t="shared" si="13"/>
        <v>0</v>
      </c>
      <c r="AN27" t="b">
        <f t="shared" si="14"/>
        <v>1</v>
      </c>
    </row>
    <row r="28" spans="1:40" x14ac:dyDescent="0.35">
      <c r="A28">
        <f t="shared" si="30"/>
        <v>27</v>
      </c>
      <c r="B28" t="str">
        <f t="shared" si="0"/>
        <v>BRF4108606/06/2022</v>
      </c>
      <c r="C28" t="s">
        <v>124</v>
      </c>
      <c r="D28" t="b">
        <f t="shared" si="1"/>
        <v>1</v>
      </c>
      <c r="E28" s="50">
        <v>41086</v>
      </c>
      <c r="F28" s="54">
        <f>VLOOKUP(A28,Base!B:K,10,0)</f>
        <v>41086</v>
      </c>
      <c r="G28" s="28" t="s">
        <v>135</v>
      </c>
      <c r="H28" s="14">
        <f>NETWORKDAYS($F28,$G28,Feriados!$A$2:$A$1189)</f>
        <v>2498</v>
      </c>
      <c r="I28" s="14">
        <f t="shared" si="2"/>
        <v>3580</v>
      </c>
      <c r="J28" t="s">
        <v>651</v>
      </c>
      <c r="K28" s="29">
        <v>5.8749999999999997E-2</v>
      </c>
      <c r="L28" s="30">
        <v>40273.120000000003</v>
      </c>
      <c r="M28" s="31">
        <v>44562</v>
      </c>
      <c r="N28" s="18">
        <f>NETWORKDAYS($F28,$M28,Feriados!$A$2:$A$1189)</f>
        <v>2391</v>
      </c>
      <c r="O28" s="30">
        <v>36224.51</v>
      </c>
      <c r="P28" s="31">
        <v>44927</v>
      </c>
      <c r="Q28" s="18">
        <f>NETWORKDAYS($F28,$P28,Feriados!$A$2:$A$1189)</f>
        <v>2642</v>
      </c>
      <c r="R28" s="17">
        <f t="shared" ref="R28:R54" si="39">$L28*(($O28/$L28)^(($H28-$N28)/($Q28-$N28)))</f>
        <v>38494.641228361477</v>
      </c>
      <c r="S28" s="26">
        <v>4.62</v>
      </c>
      <c r="T28" s="27">
        <v>44562</v>
      </c>
      <c r="U28" s="23">
        <f t="shared" ref="U28:U54" si="40">DAYS360($F28,T28,0)</f>
        <v>3425</v>
      </c>
      <c r="V28" s="26">
        <v>4.67</v>
      </c>
      <c r="W28" s="27">
        <v>44927</v>
      </c>
      <c r="X28" s="35">
        <f t="shared" ref="X28:X54" si="41">DAYS360($F28,W28,0)</f>
        <v>3785</v>
      </c>
      <c r="Y28" s="33">
        <f t="shared" ref="Y28:Y54" si="42">(1+S28%)^(U28/360)</f>
        <v>1.5367818605468844</v>
      </c>
      <c r="Z28" s="33">
        <f t="shared" ref="Z28:Z54" si="43">(1+V28%)^(X28/360)</f>
        <v>1.6158783509106669</v>
      </c>
      <c r="AA28" s="24">
        <f t="shared" ref="AA28:AA54" si="44">(I28-U28)/(X28-U28)</f>
        <v>0.43055555555555558</v>
      </c>
      <c r="AB28" s="24">
        <f t="shared" ref="AB28:AB54" si="45">(Y28*((Z28/Y28)^AA28))^(360/I28)-1</f>
        <v>4.6427575513536379E-2</v>
      </c>
      <c r="AC28" s="25">
        <f t="shared" ref="AC28:AC54" si="46">IFERROR(($AG$1/$R28)^(252/$H28)-1,"NA")</f>
        <v>0.10109581561513736</v>
      </c>
      <c r="AD28" s="25">
        <f t="shared" si="16"/>
        <v>4.6427575513536379E-2</v>
      </c>
      <c r="AE28" s="21">
        <f t="shared" si="17"/>
        <v>5.972749565346458E-2</v>
      </c>
      <c r="AF28" s="21">
        <f t="shared" si="18"/>
        <v>1.8972618106170458E-2</v>
      </c>
      <c r="AG28" s="9">
        <f t="shared" si="10"/>
        <v>0.12006843372130782</v>
      </c>
      <c r="AK28" t="b">
        <f t="shared" si="11"/>
        <v>1</v>
      </c>
      <c r="AL28" t="b">
        <f t="shared" si="12"/>
        <v>1</v>
      </c>
      <c r="AM28" t="b">
        <f t="shared" si="13"/>
        <v>1</v>
      </c>
      <c r="AN28" t="b">
        <f t="shared" si="14"/>
        <v>1</v>
      </c>
    </row>
    <row r="29" spans="1:40" x14ac:dyDescent="0.35">
      <c r="A29">
        <f t="shared" si="30"/>
        <v>28</v>
      </c>
      <c r="B29" t="str">
        <f t="shared" si="0"/>
        <v>Cemig4307405/12/2024</v>
      </c>
      <c r="C29" t="s">
        <v>137</v>
      </c>
      <c r="D29" t="b">
        <f t="shared" si="1"/>
        <v>1</v>
      </c>
      <c r="E29" s="50">
        <v>43074</v>
      </c>
      <c r="F29" s="54">
        <f>VLOOKUP(A29,Base!B:K,10,0)</f>
        <v>43074</v>
      </c>
      <c r="G29" s="28" t="s">
        <v>160</v>
      </c>
      <c r="H29" s="14">
        <f>NETWORKDAYS($F29,$G29,Feriados!$A$2:$A$1189)</f>
        <v>1760</v>
      </c>
      <c r="I29" s="14">
        <f t="shared" si="2"/>
        <v>2520</v>
      </c>
      <c r="J29" t="s">
        <v>651</v>
      </c>
      <c r="K29" s="29">
        <v>9.2499999999999999E-2</v>
      </c>
      <c r="L29" s="30">
        <v>52557.21</v>
      </c>
      <c r="M29" s="31">
        <v>45292</v>
      </c>
      <c r="N29" s="18">
        <f>NETWORKDAYS($F29,$M29,Feriados!$A$2:$A$1189)</f>
        <v>1523</v>
      </c>
      <c r="O29" s="30">
        <v>49646.71</v>
      </c>
      <c r="P29" s="31">
        <v>45658</v>
      </c>
      <c r="Q29" s="18">
        <f>NETWORKDAYS($F29,$P29,Feriados!$A$2:$A$1189)</f>
        <v>1777</v>
      </c>
      <c r="R29" s="17">
        <f t="shared" si="39"/>
        <v>49836.372470010945</v>
      </c>
      <c r="S29" s="26">
        <v>3.76</v>
      </c>
      <c r="T29" s="27">
        <v>45474</v>
      </c>
      <c r="U29" s="23">
        <f t="shared" si="40"/>
        <v>2366</v>
      </c>
      <c r="V29" s="26">
        <v>3.85</v>
      </c>
      <c r="W29" s="27">
        <v>45658</v>
      </c>
      <c r="X29" s="35">
        <f t="shared" si="41"/>
        <v>2546</v>
      </c>
      <c r="Y29" s="33">
        <f t="shared" si="42"/>
        <v>1.27453709369859</v>
      </c>
      <c r="Z29" s="33">
        <f t="shared" si="43"/>
        <v>1.3062623817531049</v>
      </c>
      <c r="AA29" s="24">
        <f t="shared" si="44"/>
        <v>0.85555555555555551</v>
      </c>
      <c r="AB29" s="24">
        <f t="shared" si="45"/>
        <v>3.8377898703658486E-2</v>
      </c>
      <c r="AC29" s="25">
        <f t="shared" si="46"/>
        <v>0.10485644412504191</v>
      </c>
      <c r="AD29" s="25">
        <f t="shared" si="16"/>
        <v>3.8377898703658486E-2</v>
      </c>
      <c r="AE29" s="21">
        <f t="shared" si="17"/>
        <v>6.7847938689644893E-2</v>
      </c>
      <c r="AF29" s="21">
        <f t="shared" si="18"/>
        <v>5.5905388633823883E-2</v>
      </c>
      <c r="AG29" s="9">
        <f t="shared" si="10"/>
        <v>0.1607618327588658</v>
      </c>
      <c r="AK29" t="b">
        <f t="shared" si="11"/>
        <v>1</v>
      </c>
      <c r="AL29" t="b">
        <f t="shared" si="12"/>
        <v>1</v>
      </c>
      <c r="AM29" t="b">
        <f t="shared" si="13"/>
        <v>1</v>
      </c>
      <c r="AN29" t="b">
        <f t="shared" si="14"/>
        <v>1</v>
      </c>
    </row>
    <row r="30" spans="1:40" x14ac:dyDescent="0.35">
      <c r="A30">
        <f t="shared" si="30"/>
        <v>29</v>
      </c>
      <c r="B30" t="str">
        <f t="shared" si="0"/>
        <v>Cemig4329905/12/2024</v>
      </c>
      <c r="C30" t="s">
        <v>137</v>
      </c>
      <c r="D30" t="b">
        <f t="shared" si="1"/>
        <v>1</v>
      </c>
      <c r="E30" s="50">
        <v>43299</v>
      </c>
      <c r="F30" s="54">
        <f>VLOOKUP(A30,Base!B:K,10,0)</f>
        <v>43299</v>
      </c>
      <c r="G30" s="28" t="s">
        <v>160</v>
      </c>
      <c r="H30" s="14">
        <f>NETWORKDAYS($F30,$G30,Feriados!$A$2:$A$1189)</f>
        <v>1606</v>
      </c>
      <c r="I30" s="14">
        <f t="shared" si="2"/>
        <v>2297</v>
      </c>
      <c r="J30" t="s">
        <v>651</v>
      </c>
      <c r="K30" s="29">
        <v>9.2499999999999999E-2</v>
      </c>
      <c r="L30" s="30">
        <v>53505.47</v>
      </c>
      <c r="M30" s="31">
        <v>45474</v>
      </c>
      <c r="N30" s="18">
        <f>NETWORKDAYS($F30,$M30,Feriados!$A$2:$A$1189)</f>
        <v>1494</v>
      </c>
      <c r="O30" s="30">
        <v>50356.7</v>
      </c>
      <c r="P30" s="31">
        <v>45658</v>
      </c>
      <c r="Q30" s="18">
        <f>NETWORKDAYS($F30,$P30,Feriados!$A$2:$A$1189)</f>
        <v>1623</v>
      </c>
      <c r="R30" s="17">
        <f t="shared" si="39"/>
        <v>50760.810301474914</v>
      </c>
      <c r="S30" s="26">
        <v>5</v>
      </c>
      <c r="T30" s="27">
        <v>45474</v>
      </c>
      <c r="U30" s="23">
        <f t="shared" si="40"/>
        <v>2143</v>
      </c>
      <c r="V30" s="26">
        <v>5.09</v>
      </c>
      <c r="W30" s="27">
        <v>45658</v>
      </c>
      <c r="X30" s="35">
        <f t="shared" si="41"/>
        <v>2323</v>
      </c>
      <c r="Y30" s="33">
        <f t="shared" si="42"/>
        <v>1.3370116412055519</v>
      </c>
      <c r="Z30" s="33">
        <f t="shared" si="43"/>
        <v>1.3776245432120122</v>
      </c>
      <c r="AA30" s="24">
        <f t="shared" si="44"/>
        <v>0.85555555555555551</v>
      </c>
      <c r="AB30" s="24">
        <f t="shared" si="45"/>
        <v>5.0778670756451039E-2</v>
      </c>
      <c r="AC30" s="25">
        <f t="shared" si="46"/>
        <v>0.11225913562682099</v>
      </c>
      <c r="AD30" s="25">
        <f t="shared" si="16"/>
        <v>5.0778670756451039E-2</v>
      </c>
      <c r="AE30" s="21">
        <f t="shared" si="17"/>
        <v>6.4340392424100834E-2</v>
      </c>
      <c r="AF30" s="21">
        <f t="shared" si="18"/>
        <v>4.5432526897638104E-2</v>
      </c>
      <c r="AG30" s="9">
        <f t="shared" si="10"/>
        <v>0.1576916625244591</v>
      </c>
      <c r="AK30" t="b">
        <f t="shared" si="11"/>
        <v>1</v>
      </c>
      <c r="AL30" t="b">
        <f t="shared" si="12"/>
        <v>1</v>
      </c>
      <c r="AM30" t="b">
        <f t="shared" si="13"/>
        <v>1</v>
      </c>
      <c r="AN30" t="b">
        <f t="shared" si="14"/>
        <v>1</v>
      </c>
    </row>
    <row r="31" spans="1:40" x14ac:dyDescent="0.35">
      <c r="A31">
        <f t="shared" si="30"/>
        <v>30</v>
      </c>
      <c r="B31" t="str">
        <f t="shared" si="0"/>
        <v>Cia Brasileira de Alumínio4180717/06/2024</v>
      </c>
      <c r="C31" t="s">
        <v>162</v>
      </c>
      <c r="D31" t="b">
        <f t="shared" si="1"/>
        <v>1</v>
      </c>
      <c r="E31" s="50">
        <v>41807</v>
      </c>
      <c r="F31" s="54">
        <f>VLOOKUP(A31,Base!B:K,10,0)</f>
        <v>41807</v>
      </c>
      <c r="G31" s="28" t="s">
        <v>165</v>
      </c>
      <c r="H31" s="14">
        <f>NETWORKDAYS($F31,$G31,Feriados!$A$2:$A$1189)</f>
        <v>2510</v>
      </c>
      <c r="I31" s="14">
        <f t="shared" si="2"/>
        <v>3600</v>
      </c>
      <c r="J31" t="s">
        <v>651</v>
      </c>
      <c r="K31" s="29">
        <v>4.7500000000000001E-2</v>
      </c>
      <c r="L31" s="30">
        <v>33472.300000000003</v>
      </c>
      <c r="M31" s="31">
        <v>45292</v>
      </c>
      <c r="N31" s="18">
        <f>NETWORKDAYS($F31,$M31,Feriados!$A$2:$A$1189)</f>
        <v>2395</v>
      </c>
      <c r="O31" s="30">
        <v>29678.77</v>
      </c>
      <c r="P31" s="31">
        <v>45658</v>
      </c>
      <c r="Q31" s="18">
        <f>NETWORKDAYS($F31,$P31,Feriados!$A$2:$A$1189)</f>
        <v>2649</v>
      </c>
      <c r="R31" s="17">
        <f t="shared" si="39"/>
        <v>31698.137286730045</v>
      </c>
      <c r="S31" s="26">
        <v>5.19</v>
      </c>
      <c r="T31" s="27">
        <v>45292</v>
      </c>
      <c r="U31" s="23">
        <f t="shared" si="40"/>
        <v>3434</v>
      </c>
      <c r="V31" s="26">
        <v>5.65</v>
      </c>
      <c r="W31" s="27">
        <v>45658</v>
      </c>
      <c r="X31" s="35">
        <f t="shared" si="41"/>
        <v>3794</v>
      </c>
      <c r="Y31" s="33">
        <f t="shared" si="42"/>
        <v>1.6203613878753154</v>
      </c>
      <c r="Z31" s="33">
        <f t="shared" si="43"/>
        <v>1.7846704096016255</v>
      </c>
      <c r="AA31" s="24">
        <f t="shared" si="44"/>
        <v>0.46111111111111114</v>
      </c>
      <c r="AB31" s="24">
        <f t="shared" si="45"/>
        <v>5.4132908447095396E-2</v>
      </c>
      <c r="AC31" s="25">
        <f t="shared" si="46"/>
        <v>0.1222649956511952</v>
      </c>
      <c r="AD31" s="25">
        <f t="shared" si="16"/>
        <v>5.4132908447095396E-2</v>
      </c>
      <c r="AE31" s="21">
        <f t="shared" si="17"/>
        <v>7.4560868337071318E-2</v>
      </c>
      <c r="AF31" s="21">
        <f t="shared" si="18"/>
        <v>2.9739089651910078E-3</v>
      </c>
      <c r="AG31" s="9">
        <f t="shared" si="10"/>
        <v>0.1252389046163862</v>
      </c>
      <c r="AK31" t="b">
        <f t="shared" si="11"/>
        <v>1</v>
      </c>
      <c r="AL31" t="b">
        <f t="shared" si="12"/>
        <v>1</v>
      </c>
      <c r="AM31" t="b">
        <f t="shared" si="13"/>
        <v>1</v>
      </c>
      <c r="AN31" t="b">
        <f t="shared" si="14"/>
        <v>1</v>
      </c>
    </row>
    <row r="32" spans="1:40" x14ac:dyDescent="0.35">
      <c r="A32">
        <f t="shared" si="30"/>
        <v>31</v>
      </c>
      <c r="B32" t="str">
        <f t="shared" si="0"/>
        <v>Cielo4122916/11/2022</v>
      </c>
      <c r="C32" t="s">
        <v>167</v>
      </c>
      <c r="D32" t="b">
        <f t="shared" si="1"/>
        <v>1</v>
      </c>
      <c r="E32" s="50">
        <v>41229</v>
      </c>
      <c r="F32" s="54">
        <f>VLOOKUP(A32,Base!B:K,10,0)</f>
        <v>41229</v>
      </c>
      <c r="G32" s="28" t="s">
        <v>171</v>
      </c>
      <c r="H32" s="14">
        <f>NETWORKDAYS($F32,$G32,Feriados!$A$2:$A$1189)</f>
        <v>2511</v>
      </c>
      <c r="I32" s="14">
        <f t="shared" si="2"/>
        <v>3600</v>
      </c>
      <c r="J32" t="s">
        <v>651</v>
      </c>
      <c r="K32" s="29">
        <v>3.7499999999999999E-2</v>
      </c>
      <c r="L32" s="30">
        <v>80954.240000000005</v>
      </c>
      <c r="M32" s="31">
        <v>44835</v>
      </c>
      <c r="N32" s="18">
        <f>NETWORKDAYS($F32,$M32,Feriados!$A$2:$A$1189)</f>
        <v>2481</v>
      </c>
      <c r="O32" s="30">
        <v>79480.78</v>
      </c>
      <c r="P32" s="31">
        <v>44927</v>
      </c>
      <c r="Q32" s="18">
        <f>NETWORKDAYS($F32,$P32,Feriados!$A$2:$A$1189)</f>
        <v>2543</v>
      </c>
      <c r="R32" s="17">
        <f t="shared" si="39"/>
        <v>80237.895478181206</v>
      </c>
      <c r="S32" s="26">
        <v>2.5499999999999998</v>
      </c>
      <c r="T32" s="27">
        <v>44835</v>
      </c>
      <c r="U32" s="23">
        <f t="shared" si="40"/>
        <v>3555</v>
      </c>
      <c r="V32" s="26">
        <v>2.56</v>
      </c>
      <c r="W32" s="27">
        <v>44927</v>
      </c>
      <c r="X32" s="35">
        <f t="shared" si="41"/>
        <v>3645</v>
      </c>
      <c r="Y32" s="33">
        <f t="shared" si="42"/>
        <v>1.2823001378520826</v>
      </c>
      <c r="Z32" s="33">
        <f t="shared" si="43"/>
        <v>1.2916723805005166</v>
      </c>
      <c r="AA32" s="24">
        <f t="shared" si="44"/>
        <v>0.5</v>
      </c>
      <c r="AB32" s="24">
        <f t="shared" si="45"/>
        <v>2.5550623781332105E-2</v>
      </c>
      <c r="AC32" s="25">
        <f t="shared" si="46"/>
        <v>2.2342274798831996E-2</v>
      </c>
      <c r="AD32" s="25">
        <f t="shared" si="16"/>
        <v>2.5550623781332105E-2</v>
      </c>
      <c r="AE32" s="21">
        <f t="shared" si="17"/>
        <v>-7.3882632152966199E-4</v>
      </c>
      <c r="AF32" s="21">
        <f t="shared" si="18"/>
        <v>1.4076687668435506E-2</v>
      </c>
      <c r="AG32" s="9">
        <f t="shared" si="10"/>
        <v>3.6418962467267502E-2</v>
      </c>
      <c r="AK32" t="b">
        <f t="shared" si="11"/>
        <v>1</v>
      </c>
      <c r="AL32" t="b">
        <f t="shared" si="12"/>
        <v>1</v>
      </c>
      <c r="AM32" t="b">
        <f t="shared" si="13"/>
        <v>1</v>
      </c>
      <c r="AN32" t="b">
        <f t="shared" si="14"/>
        <v>1</v>
      </c>
    </row>
    <row r="33" spans="1:40" x14ac:dyDescent="0.35">
      <c r="A33">
        <f t="shared" si="30"/>
        <v>32</v>
      </c>
      <c r="B33" t="str">
        <f t="shared" si="0"/>
        <v>Cielo4122916/11/2022</v>
      </c>
      <c r="C33" t="s">
        <v>167</v>
      </c>
      <c r="D33" t="b">
        <f t="shared" si="1"/>
        <v>1</v>
      </c>
      <c r="E33" s="50">
        <v>41229</v>
      </c>
      <c r="F33" s="54">
        <f>VLOOKUP(A33,Base!B:K,10,0)</f>
        <v>41229</v>
      </c>
      <c r="G33" s="28" t="s">
        <v>171</v>
      </c>
      <c r="H33" s="14">
        <f>NETWORKDAYS($F33,$G33,Feriados!$A$2:$A$1189)</f>
        <v>2511</v>
      </c>
      <c r="I33" s="14">
        <f t="shared" si="2"/>
        <v>3600</v>
      </c>
      <c r="J33" t="s">
        <v>651</v>
      </c>
      <c r="K33" s="29">
        <v>3.7499999999999999E-2</v>
      </c>
      <c r="L33" s="30">
        <v>80954.240000000005</v>
      </c>
      <c r="M33" s="31">
        <v>44835</v>
      </c>
      <c r="N33" s="18">
        <f>NETWORKDAYS($F33,$M33,Feriados!$A$2:$A$1189)</f>
        <v>2481</v>
      </c>
      <c r="O33" s="30">
        <v>79480.78</v>
      </c>
      <c r="P33" s="31">
        <v>44927</v>
      </c>
      <c r="Q33" s="18">
        <f>NETWORKDAYS($F33,$P33,Feriados!$A$2:$A$1189)</f>
        <v>2543</v>
      </c>
      <c r="R33" s="17">
        <f t="shared" si="39"/>
        <v>80237.895478181206</v>
      </c>
      <c r="S33" s="26">
        <v>2.5499999999999998</v>
      </c>
      <c r="T33" s="27">
        <v>44835</v>
      </c>
      <c r="U33" s="23">
        <f t="shared" si="40"/>
        <v>3555</v>
      </c>
      <c r="V33" s="26">
        <v>2.56</v>
      </c>
      <c r="W33" s="27">
        <v>44927</v>
      </c>
      <c r="X33" s="35">
        <f t="shared" si="41"/>
        <v>3645</v>
      </c>
      <c r="Y33" s="33">
        <f t="shared" si="42"/>
        <v>1.2823001378520826</v>
      </c>
      <c r="Z33" s="33">
        <f t="shared" si="43"/>
        <v>1.2916723805005166</v>
      </c>
      <c r="AA33" s="24">
        <f t="shared" si="44"/>
        <v>0.5</v>
      </c>
      <c r="AB33" s="24">
        <f t="shared" si="45"/>
        <v>2.5550623781332105E-2</v>
      </c>
      <c r="AC33" s="25">
        <f t="shared" si="46"/>
        <v>2.2342274798831996E-2</v>
      </c>
      <c r="AD33" s="25">
        <f t="shared" si="16"/>
        <v>2.5550623781332105E-2</v>
      </c>
      <c r="AE33" s="21">
        <f t="shared" si="17"/>
        <v>-7.3882632152966199E-4</v>
      </c>
      <c r="AF33" s="21">
        <f t="shared" si="18"/>
        <v>1.4076687668435506E-2</v>
      </c>
      <c r="AG33" s="9">
        <f t="shared" si="10"/>
        <v>3.6418962467267502E-2</v>
      </c>
      <c r="AK33" t="b">
        <f t="shared" si="11"/>
        <v>1</v>
      </c>
      <c r="AL33" t="b">
        <f t="shared" si="12"/>
        <v>1</v>
      </c>
      <c r="AM33" t="b">
        <f t="shared" si="13"/>
        <v>1</v>
      </c>
      <c r="AN33" t="b">
        <f t="shared" si="14"/>
        <v>1</v>
      </c>
    </row>
    <row r="34" spans="1:40" x14ac:dyDescent="0.35">
      <c r="A34">
        <f t="shared" si="30"/>
        <v>33</v>
      </c>
      <c r="B34" t="str">
        <f t="shared" si="0"/>
        <v>Cosan4299820/09/2024</v>
      </c>
      <c r="C34" t="s">
        <v>174</v>
      </c>
      <c r="D34" t="b">
        <f t="shared" si="1"/>
        <v>1</v>
      </c>
      <c r="E34" s="50">
        <v>42998</v>
      </c>
      <c r="F34" s="54">
        <f>VLOOKUP(A34,Base!B:K,10,0)</f>
        <v>42998</v>
      </c>
      <c r="G34" s="28" t="s">
        <v>183</v>
      </c>
      <c r="H34" s="14">
        <f>NETWORKDAYS($F34,$G34,Feriados!$A$2:$A$1189)</f>
        <v>1758</v>
      </c>
      <c r="I34" s="14">
        <f t="shared" si="2"/>
        <v>2520</v>
      </c>
      <c r="J34" t="s">
        <v>651</v>
      </c>
      <c r="K34" s="29">
        <v>5.9500000000000004E-2</v>
      </c>
      <c r="L34" s="30">
        <v>53497.94</v>
      </c>
      <c r="M34" s="31">
        <v>45474</v>
      </c>
      <c r="N34" s="18">
        <f>NETWORKDAYS($F34,$M34,Feriados!$A$2:$A$1189)</f>
        <v>1699</v>
      </c>
      <c r="O34" s="30">
        <v>50720.67</v>
      </c>
      <c r="P34" s="31">
        <v>45658</v>
      </c>
      <c r="Q34" s="18">
        <f>NETWORKDAYS($F34,$P34,Feriados!$A$2:$A$1189)</f>
        <v>1828</v>
      </c>
      <c r="R34" s="17">
        <f t="shared" si="39"/>
        <v>52209.330561227536</v>
      </c>
      <c r="S34" s="26">
        <v>3.81</v>
      </c>
      <c r="T34" s="27">
        <v>45292</v>
      </c>
      <c r="U34" s="23">
        <f t="shared" si="40"/>
        <v>2261</v>
      </c>
      <c r="V34" s="26">
        <v>4.07</v>
      </c>
      <c r="W34" s="27">
        <v>45658</v>
      </c>
      <c r="X34" s="35">
        <f t="shared" si="41"/>
        <v>2621</v>
      </c>
      <c r="Y34" s="33">
        <f t="shared" si="42"/>
        <v>1.2647105503976932</v>
      </c>
      <c r="Z34" s="33">
        <f t="shared" si="43"/>
        <v>1.3370254145099445</v>
      </c>
      <c r="AA34" s="24">
        <f t="shared" si="44"/>
        <v>0.71944444444444444</v>
      </c>
      <c r="AB34" s="24">
        <f t="shared" si="45"/>
        <v>4.0044913592651499E-2</v>
      </c>
      <c r="AC34" s="25">
        <f t="shared" si="46"/>
        <v>9.7638453377698387E-2</v>
      </c>
      <c r="AD34" s="25">
        <f t="shared" si="16"/>
        <v>4.0044913592651499E-2</v>
      </c>
      <c r="AE34" s="21">
        <f t="shared" si="17"/>
        <v>5.943921003846464E-2</v>
      </c>
      <c r="AF34" s="21">
        <f t="shared" si="18"/>
        <v>2.2628024356858401E-2</v>
      </c>
      <c r="AG34" s="9">
        <f t="shared" si="10"/>
        <v>0.12026647773455679</v>
      </c>
      <c r="AK34" t="b">
        <f t="shared" si="11"/>
        <v>1</v>
      </c>
      <c r="AL34" t="b">
        <f t="shared" si="12"/>
        <v>1</v>
      </c>
      <c r="AM34" t="b">
        <f t="shared" si="13"/>
        <v>1</v>
      </c>
      <c r="AN34" t="b">
        <f t="shared" si="14"/>
        <v>1</v>
      </c>
    </row>
    <row r="35" spans="1:40" x14ac:dyDescent="0.35">
      <c r="A35">
        <f t="shared" si="30"/>
        <v>34</v>
      </c>
      <c r="B35" t="str">
        <f t="shared" ref="B35:B46" si="47">C35&amp;F35&amp;G35</f>
        <v>Cosan4254120/01/2027</v>
      </c>
      <c r="C35" t="s">
        <v>174</v>
      </c>
      <c r="D35" t="b">
        <f t="shared" ref="D35:D67" si="48">E35=F35</f>
        <v>1</v>
      </c>
      <c r="E35" s="50">
        <v>42541</v>
      </c>
      <c r="F35" s="54">
        <f>VLOOKUP(A35,Base!B:K,10,0)</f>
        <v>42541</v>
      </c>
      <c r="G35" s="28" t="s">
        <v>185</v>
      </c>
      <c r="H35" s="14">
        <f>NETWORKDAYS($F35,$G35,Feriados!$A$2:$A$1189)</f>
        <v>2660</v>
      </c>
      <c r="I35" s="14">
        <f t="shared" ref="I35:I67" si="49">DAYS360(F35,G35,0)</f>
        <v>3810</v>
      </c>
      <c r="J35" t="s">
        <v>651</v>
      </c>
      <c r="K35" s="29">
        <v>7.0000000000000007E-2</v>
      </c>
      <c r="L35" s="30">
        <v>27724.86</v>
      </c>
      <c r="M35" s="31">
        <v>46388</v>
      </c>
      <c r="N35" s="18">
        <f>NETWORKDAYS($F35,$M35,Feriados!$A$2:$A$1189)</f>
        <v>2647</v>
      </c>
      <c r="O35" s="30">
        <v>21758.62</v>
      </c>
      <c r="P35" s="31">
        <v>47119</v>
      </c>
      <c r="Q35" s="18">
        <f>NETWORKDAYS($F35,$P35,Feriados!$A$2:$A$1189)</f>
        <v>3147</v>
      </c>
      <c r="R35" s="17">
        <f t="shared" si="39"/>
        <v>27550.733982509755</v>
      </c>
      <c r="S35" s="26">
        <v>6.46</v>
      </c>
      <c r="T35" s="27">
        <v>46388</v>
      </c>
      <c r="U35" s="23">
        <f t="shared" si="40"/>
        <v>3791</v>
      </c>
      <c r="V35" s="26">
        <v>6.77</v>
      </c>
      <c r="W35" s="27">
        <v>46753</v>
      </c>
      <c r="X35" s="35">
        <f t="shared" si="41"/>
        <v>4151</v>
      </c>
      <c r="Y35" s="33">
        <f t="shared" si="42"/>
        <v>1.9332523498477086</v>
      </c>
      <c r="Z35" s="33">
        <f t="shared" si="43"/>
        <v>2.1283133723035284</v>
      </c>
      <c r="AA35" s="24">
        <f t="shared" si="44"/>
        <v>5.2777777777777778E-2</v>
      </c>
      <c r="AB35" s="24">
        <f t="shared" si="45"/>
        <v>6.477801037482922E-2</v>
      </c>
      <c r="AC35" s="25">
        <f t="shared" si="46"/>
        <v>0.12990001692536701</v>
      </c>
      <c r="AD35" s="25">
        <f t="shared" ref="AD35:AD67" si="50">+AB35</f>
        <v>6.477801037482922E-2</v>
      </c>
      <c r="AE35" s="21">
        <f t="shared" ref="AE35:AE67" si="51">IFERROR((((1+$AC35)^($H35/252))/(1+$AD35*$I35/360))^(252/$H35)-1,"NA")</f>
        <v>7.5372203422065631E-2</v>
      </c>
      <c r="AF35" s="21">
        <f t="shared" ref="AF35:AF67" si="52">IFERROR(((((1+$K35)*(1+AE35))^($H35/252))/((1+$AC35)^($H35/252)))^(252/$H35)-1,"NA")</f>
        <v>1.8362899748158856E-2</v>
      </c>
      <c r="AG35" s="9">
        <f t="shared" ref="AG35:AG67" si="53">AC35+AF35</f>
        <v>0.14826291667352587</v>
      </c>
      <c r="AK35" t="b">
        <f t="shared" ref="AK35:AK67" si="54">N35&lt;$H35</f>
        <v>1</v>
      </c>
      <c r="AL35" t="b">
        <f t="shared" ref="AL35:AL67" si="55">Q35&gt;$H35</f>
        <v>1</v>
      </c>
      <c r="AM35" t="b">
        <f t="shared" ref="AM35:AM67" si="56">U35&lt;$I35</f>
        <v>1</v>
      </c>
      <c r="AN35" t="b">
        <f t="shared" ref="AN35:AN67" si="57">X35&gt;$I35</f>
        <v>1</v>
      </c>
    </row>
    <row r="36" spans="1:40" x14ac:dyDescent="0.35">
      <c r="A36">
        <f t="shared" si="30"/>
        <v>35</v>
      </c>
      <c r="B36" t="str">
        <f t="shared" si="47"/>
        <v>Cosan4134714/03/2023</v>
      </c>
      <c r="C36" t="s">
        <v>174</v>
      </c>
      <c r="D36" t="b">
        <f t="shared" si="48"/>
        <v>1</v>
      </c>
      <c r="E36" s="50">
        <v>41347</v>
      </c>
      <c r="F36" s="54">
        <f>VLOOKUP(A36,Base!B:K,10,0)</f>
        <v>41347</v>
      </c>
      <c r="G36" s="28" t="s">
        <v>186</v>
      </c>
      <c r="H36" s="14">
        <f>NETWORKDAYS($F36,$G36,Feriados!$A$2:$A$1189)</f>
        <v>2513</v>
      </c>
      <c r="I36" s="14">
        <f t="shared" si="49"/>
        <v>3600</v>
      </c>
      <c r="J36" t="s">
        <v>651</v>
      </c>
      <c r="K36" s="29">
        <v>0.05</v>
      </c>
      <c r="L36" s="30">
        <v>39569.96</v>
      </c>
      <c r="M36" s="31">
        <v>44927</v>
      </c>
      <c r="N36" s="18">
        <f>NETWORKDAYS($F36,$M36,Feriados!$A$2:$A$1189)</f>
        <v>2463</v>
      </c>
      <c r="O36" s="30">
        <v>37765.480000000003</v>
      </c>
      <c r="P36" s="31">
        <v>45108</v>
      </c>
      <c r="Q36" s="18">
        <f>NETWORKDAYS($F36,$P36,Feriados!$A$2:$A$1189)</f>
        <v>2587</v>
      </c>
      <c r="R36" s="17">
        <f t="shared" si="39"/>
        <v>38832.198705880095</v>
      </c>
      <c r="S36" s="26">
        <v>4.18</v>
      </c>
      <c r="T36" s="27">
        <v>44927</v>
      </c>
      <c r="U36" s="23">
        <f t="shared" si="40"/>
        <v>3527</v>
      </c>
      <c r="V36" s="26">
        <v>4.4000000000000004</v>
      </c>
      <c r="W36" s="27">
        <v>45292</v>
      </c>
      <c r="X36" s="35">
        <f t="shared" si="41"/>
        <v>3887</v>
      </c>
      <c r="Y36" s="33">
        <f t="shared" si="42"/>
        <v>1.4936101607210615</v>
      </c>
      <c r="Z36" s="33">
        <f t="shared" si="43"/>
        <v>1.5918914118833347</v>
      </c>
      <c r="AA36" s="24">
        <f t="shared" si="44"/>
        <v>0.20277777777777778</v>
      </c>
      <c r="AB36" s="24">
        <f t="shared" si="45"/>
        <v>4.2281279344121181E-2</v>
      </c>
      <c r="AC36" s="25">
        <f t="shared" si="46"/>
        <v>9.949999842182522E-2</v>
      </c>
      <c r="AD36" s="25">
        <f t="shared" si="50"/>
        <v>4.2281279344121181E-2</v>
      </c>
      <c r="AE36" s="21">
        <f t="shared" si="51"/>
        <v>6.1299103503047903E-2</v>
      </c>
      <c r="AF36" s="21">
        <f t="shared" si="52"/>
        <v>1.3518927037481143E-2</v>
      </c>
      <c r="AG36" s="9">
        <f t="shared" si="53"/>
        <v>0.11301892545930636</v>
      </c>
      <c r="AK36" t="b">
        <f t="shared" si="54"/>
        <v>1</v>
      </c>
      <c r="AL36" t="b">
        <f t="shared" si="55"/>
        <v>1</v>
      </c>
      <c r="AM36" t="b">
        <f t="shared" si="56"/>
        <v>1</v>
      </c>
      <c r="AN36" t="b">
        <f t="shared" si="57"/>
        <v>1</v>
      </c>
    </row>
    <row r="37" spans="1:40" x14ac:dyDescent="0.35">
      <c r="A37">
        <f t="shared" si="30"/>
        <v>36</v>
      </c>
      <c r="B37" t="str">
        <f t="shared" si="47"/>
        <v>Cosan4256920/01/2027</v>
      </c>
      <c r="C37" t="s">
        <v>174</v>
      </c>
      <c r="D37" t="b">
        <f t="shared" si="48"/>
        <v>1</v>
      </c>
      <c r="E37" s="50">
        <v>42569</v>
      </c>
      <c r="F37" s="54">
        <f>VLOOKUP(A37,Base!B:K,10,0)</f>
        <v>42569</v>
      </c>
      <c r="G37" s="28" t="s">
        <v>185</v>
      </c>
      <c r="H37" s="14">
        <f>NETWORKDAYS($F37,$G37,Feriados!$A$2:$A$1189)</f>
        <v>2640</v>
      </c>
      <c r="I37" s="14">
        <f t="shared" si="49"/>
        <v>3782</v>
      </c>
      <c r="J37" t="s">
        <v>651</v>
      </c>
      <c r="K37" s="29">
        <v>7.0000000000000007E-2</v>
      </c>
      <c r="L37" s="30">
        <v>30287.68</v>
      </c>
      <c r="M37" s="31">
        <v>46388</v>
      </c>
      <c r="N37" s="18">
        <f>NETWORKDAYS($F37,$M37,Feriados!$A$2:$A$1189)</f>
        <v>2627</v>
      </c>
      <c r="O37" s="30">
        <v>26968.86</v>
      </c>
      <c r="P37" s="31">
        <v>46753</v>
      </c>
      <c r="Q37" s="18">
        <f>NETWORKDAYS($F37,$P37,Feriados!$A$2:$A$1189)</f>
        <v>2878</v>
      </c>
      <c r="R37" s="17">
        <f t="shared" si="39"/>
        <v>30106.16742671399</v>
      </c>
      <c r="S37" s="26">
        <v>7.03</v>
      </c>
      <c r="T37" s="27">
        <v>46388</v>
      </c>
      <c r="U37" s="23">
        <f t="shared" si="40"/>
        <v>3763</v>
      </c>
      <c r="V37" s="26">
        <v>7.65</v>
      </c>
      <c r="W37" s="27">
        <v>47119</v>
      </c>
      <c r="X37" s="35">
        <f t="shared" si="41"/>
        <v>4483</v>
      </c>
      <c r="Y37" s="33">
        <f t="shared" si="42"/>
        <v>2.0342986013319422</v>
      </c>
      <c r="Z37" s="33">
        <f t="shared" si="43"/>
        <v>2.5041691049452099</v>
      </c>
      <c r="AA37" s="24">
        <f t="shared" si="44"/>
        <v>2.6388888888888889E-2</v>
      </c>
      <c r="AB37" s="24">
        <f t="shared" si="45"/>
        <v>7.0493394618095007E-2</v>
      </c>
      <c r="AC37" s="25">
        <f t="shared" si="46"/>
        <v>0.12141072393921948</v>
      </c>
      <c r="AD37" s="25">
        <f t="shared" si="50"/>
        <v>7.0493394618095007E-2</v>
      </c>
      <c r="AE37" s="21">
        <f t="shared" si="51"/>
        <v>6.3627490585645763E-2</v>
      </c>
      <c r="AF37" s="21">
        <f t="shared" si="52"/>
        <v>1.4865820908918748E-2</v>
      </c>
      <c r="AG37" s="9">
        <f t="shared" si="53"/>
        <v>0.13627654484813823</v>
      </c>
      <c r="AK37" t="b">
        <f t="shared" si="54"/>
        <v>1</v>
      </c>
      <c r="AL37" t="b">
        <f t="shared" si="55"/>
        <v>1</v>
      </c>
      <c r="AM37" t="b">
        <f t="shared" si="56"/>
        <v>1</v>
      </c>
      <c r="AN37" t="b">
        <f t="shared" si="57"/>
        <v>1</v>
      </c>
    </row>
    <row r="38" spans="1:40" x14ac:dyDescent="0.35">
      <c r="A38">
        <f t="shared" si="30"/>
        <v>37</v>
      </c>
      <c r="B38" t="str">
        <f t="shared" si="47"/>
        <v>Cosan4367720/09/2029</v>
      </c>
      <c r="C38" t="s">
        <v>174</v>
      </c>
      <c r="D38" t="b">
        <f t="shared" si="48"/>
        <v>1</v>
      </c>
      <c r="E38" s="50">
        <v>43677</v>
      </c>
      <c r="F38" s="54">
        <f>VLOOKUP(A38,Base!B:K,10,0)</f>
        <v>43677</v>
      </c>
      <c r="G38" s="28" t="s">
        <v>188</v>
      </c>
      <c r="H38" s="14">
        <f>NETWORKDAYS($F38,$G38,Feriados!$A$2:$A$1189)</f>
        <v>2549</v>
      </c>
      <c r="I38" s="14">
        <f t="shared" si="49"/>
        <v>3650</v>
      </c>
      <c r="J38" t="s">
        <v>651</v>
      </c>
      <c r="K38" s="29">
        <v>5.5E-2</v>
      </c>
      <c r="L38" s="30">
        <v>50874.83</v>
      </c>
      <c r="M38" s="31">
        <v>47119</v>
      </c>
      <c r="N38" s="18">
        <f>NETWORKDAYS($F38,$M38,Feriados!$A$2:$A$1189)</f>
        <v>2367</v>
      </c>
      <c r="O38" s="30">
        <v>47141.79</v>
      </c>
      <c r="P38" s="31">
        <v>47484</v>
      </c>
      <c r="Q38" s="18">
        <f>NETWORKDAYS($F38,$P38,Feriados!$A$2:$A$1189)</f>
        <v>2617</v>
      </c>
      <c r="R38" s="17">
        <f t="shared" si="39"/>
        <v>48129.175991051728</v>
      </c>
      <c r="S38" s="26">
        <v>2.94</v>
      </c>
      <c r="T38" s="27">
        <v>47119</v>
      </c>
      <c r="U38" s="23">
        <f t="shared" si="40"/>
        <v>3391</v>
      </c>
      <c r="V38" s="26">
        <v>3.03</v>
      </c>
      <c r="W38" s="27">
        <v>47484</v>
      </c>
      <c r="X38" s="35">
        <f t="shared" si="41"/>
        <v>3751</v>
      </c>
      <c r="Y38" s="33">
        <f t="shared" si="42"/>
        <v>1.3138198914423611</v>
      </c>
      <c r="Z38" s="33">
        <f t="shared" si="43"/>
        <v>1.3648173983287646</v>
      </c>
      <c r="AA38" s="24">
        <f t="shared" si="44"/>
        <v>0.71944444444444444</v>
      </c>
      <c r="AB38" s="24">
        <f t="shared" si="45"/>
        <v>3.00653413324663E-2</v>
      </c>
      <c r="AC38" s="25">
        <f t="shared" si="46"/>
        <v>7.4973685261000123E-2</v>
      </c>
      <c r="AD38" s="25">
        <f t="shared" si="50"/>
        <v>3.00653413324663E-2</v>
      </c>
      <c r="AE38" s="21">
        <f t="shared" si="51"/>
        <v>4.7065700715033243E-2</v>
      </c>
      <c r="AF38" s="21">
        <f t="shared" si="52"/>
        <v>2.7610563309885761E-2</v>
      </c>
      <c r="AG38" s="9">
        <f t="shared" si="53"/>
        <v>0.10258424857088588</v>
      </c>
      <c r="AK38" t="b">
        <f t="shared" si="54"/>
        <v>1</v>
      </c>
      <c r="AL38" t="b">
        <f t="shared" si="55"/>
        <v>1</v>
      </c>
      <c r="AM38" t="b">
        <f t="shared" si="56"/>
        <v>1</v>
      </c>
      <c r="AN38" t="b">
        <f t="shared" si="57"/>
        <v>1</v>
      </c>
    </row>
    <row r="39" spans="1:40" x14ac:dyDescent="0.35">
      <c r="A39">
        <f t="shared" si="30"/>
        <v>38</v>
      </c>
      <c r="B39" t="str">
        <f t="shared" si="47"/>
        <v>CSN4385828/01/2028</v>
      </c>
      <c r="C39" t="s">
        <v>190</v>
      </c>
      <c r="D39" t="b">
        <f t="shared" si="48"/>
        <v>1</v>
      </c>
      <c r="E39" s="50">
        <v>43858</v>
      </c>
      <c r="F39" s="54">
        <f>VLOOKUP(A39,Base!B:K,10,0)</f>
        <v>43858</v>
      </c>
      <c r="G39" s="28" t="s">
        <v>194</v>
      </c>
      <c r="H39" s="14">
        <f>NETWORKDAYS($F39,$G39,Feriados!$A$2:$A$1189)</f>
        <v>2012</v>
      </c>
      <c r="I39" s="14">
        <f t="shared" si="49"/>
        <v>2880</v>
      </c>
      <c r="J39" t="s">
        <v>651</v>
      </c>
      <c r="K39" s="29">
        <v>6.7500000000000004E-2</v>
      </c>
      <c r="L39" s="30">
        <v>59626.19</v>
      </c>
      <c r="M39" s="31">
        <v>46753</v>
      </c>
      <c r="N39" s="18">
        <f>NETWORKDAYS($F39,$M39,Feriados!$A$2:$A$1189)</f>
        <v>1992</v>
      </c>
      <c r="O39" s="30">
        <v>55246.58</v>
      </c>
      <c r="P39" s="31">
        <v>47119</v>
      </c>
      <c r="Q39" s="18">
        <f>NETWORKDAYS($F39,$P39,Feriados!$A$2:$A$1189)</f>
        <v>2241</v>
      </c>
      <c r="R39" s="17">
        <f t="shared" si="39"/>
        <v>59261.942400385393</v>
      </c>
      <c r="S39" s="26">
        <v>2.71</v>
      </c>
      <c r="T39" s="27">
        <v>46753</v>
      </c>
      <c r="U39" s="23">
        <f t="shared" si="40"/>
        <v>2853</v>
      </c>
      <c r="V39" s="26">
        <v>2.79</v>
      </c>
      <c r="W39" s="27">
        <v>47119</v>
      </c>
      <c r="X39" s="35">
        <f t="shared" si="41"/>
        <v>3213</v>
      </c>
      <c r="Y39" s="33">
        <f t="shared" si="42"/>
        <v>1.2360353144981091</v>
      </c>
      <c r="Z39" s="33">
        <f t="shared" si="43"/>
        <v>1.2783844507210793</v>
      </c>
      <c r="AA39" s="24">
        <f t="shared" si="44"/>
        <v>7.4999999999999997E-2</v>
      </c>
      <c r="AB39" s="24">
        <f t="shared" si="45"/>
        <v>2.7166913624539379E-2</v>
      </c>
      <c r="AC39" s="25">
        <f t="shared" si="46"/>
        <v>6.7725173180873233E-2</v>
      </c>
      <c r="AD39" s="25">
        <f t="shared" si="50"/>
        <v>2.7166913624539379E-2</v>
      </c>
      <c r="AE39" s="21">
        <f t="shared" si="51"/>
        <v>4.1746330606205584E-2</v>
      </c>
      <c r="AF39" s="21">
        <f t="shared" si="52"/>
        <v>4.1526636118506266E-2</v>
      </c>
      <c r="AG39" s="9">
        <f t="shared" si="53"/>
        <v>0.1092518092993795</v>
      </c>
      <c r="AK39" t="b">
        <f t="shared" si="54"/>
        <v>1</v>
      </c>
      <c r="AL39" t="b">
        <f t="shared" si="55"/>
        <v>1</v>
      </c>
      <c r="AM39" t="b">
        <f t="shared" si="56"/>
        <v>1</v>
      </c>
      <c r="AN39" t="b">
        <f t="shared" si="57"/>
        <v>1</v>
      </c>
    </row>
    <row r="40" spans="1:40" x14ac:dyDescent="0.35">
      <c r="A40">
        <f t="shared" si="30"/>
        <v>39</v>
      </c>
      <c r="B40" t="str">
        <f t="shared" si="47"/>
        <v>CSN4415128/01/2028</v>
      </c>
      <c r="C40" t="s">
        <v>190</v>
      </c>
      <c r="D40" t="b">
        <f t="shared" si="48"/>
        <v>1</v>
      </c>
      <c r="E40" s="50">
        <v>44151</v>
      </c>
      <c r="F40" s="54">
        <f>VLOOKUP(A40,Base!B:K,10,0)</f>
        <v>44151</v>
      </c>
      <c r="G40" s="28" t="s">
        <v>194</v>
      </c>
      <c r="H40" s="14">
        <f>NETWORKDAYS($F40,$G40,Feriados!$A$2:$A$1189)</f>
        <v>1812</v>
      </c>
      <c r="I40" s="14">
        <f t="shared" si="49"/>
        <v>2592</v>
      </c>
      <c r="J40" t="s">
        <v>651</v>
      </c>
      <c r="K40" s="29">
        <v>6.7500000000000004E-2</v>
      </c>
      <c r="L40" s="30">
        <v>58813.51</v>
      </c>
      <c r="M40" s="31">
        <v>46753</v>
      </c>
      <c r="N40" s="18">
        <f>NETWORKDAYS($F40,$M40,Feriados!$A$2:$A$1189)</f>
        <v>1792</v>
      </c>
      <c r="O40" s="30">
        <v>53979.21</v>
      </c>
      <c r="P40" s="31">
        <v>47119</v>
      </c>
      <c r="Q40" s="18">
        <f>NETWORKDAYS($F40,$P40,Feriados!$A$2:$A$1189)</f>
        <v>2041</v>
      </c>
      <c r="R40" s="17">
        <f t="shared" si="39"/>
        <v>58409.714694683003</v>
      </c>
      <c r="S40" s="26">
        <v>1.76</v>
      </c>
      <c r="T40" s="27">
        <v>46753</v>
      </c>
      <c r="U40" s="23">
        <f t="shared" si="40"/>
        <v>2565</v>
      </c>
      <c r="V40" s="26">
        <v>1.72</v>
      </c>
      <c r="W40" s="27">
        <v>47119</v>
      </c>
      <c r="X40" s="35">
        <f t="shared" si="41"/>
        <v>2925</v>
      </c>
      <c r="Y40" s="33">
        <f t="shared" si="42"/>
        <v>1.1323660117176089</v>
      </c>
      <c r="Z40" s="33">
        <f t="shared" si="43"/>
        <v>1.1486206134191927</v>
      </c>
      <c r="AA40" s="24">
        <f t="shared" si="44"/>
        <v>7.4999999999999997E-2</v>
      </c>
      <c r="AB40" s="24">
        <f t="shared" si="45"/>
        <v>1.7566139741217679E-2</v>
      </c>
      <c r="AC40" s="25">
        <f t="shared" si="46"/>
        <v>7.7644667437079429E-2</v>
      </c>
      <c r="AD40" s="25">
        <f t="shared" si="50"/>
        <v>1.7566139741217679E-2</v>
      </c>
      <c r="AE40" s="21">
        <f t="shared" si="51"/>
        <v>5.9942863692879156E-2</v>
      </c>
      <c r="AF40" s="21">
        <f t="shared" si="52"/>
        <v>4.9964836445694827E-2</v>
      </c>
      <c r="AG40" s="9">
        <f t="shared" si="53"/>
        <v>0.12760950388277426</v>
      </c>
      <c r="AK40" t="b">
        <f t="shared" si="54"/>
        <v>1</v>
      </c>
      <c r="AL40" t="b">
        <f t="shared" si="55"/>
        <v>1</v>
      </c>
      <c r="AM40" t="b">
        <f t="shared" si="56"/>
        <v>1</v>
      </c>
      <c r="AN40" t="b">
        <f t="shared" si="57"/>
        <v>1</v>
      </c>
    </row>
    <row r="41" spans="1:40" x14ac:dyDescent="0.35">
      <c r="A41">
        <f t="shared" si="30"/>
        <v>40</v>
      </c>
      <c r="B41" t="str">
        <f t="shared" si="47"/>
        <v>CSN4435710/06/2031</v>
      </c>
      <c r="C41" t="s">
        <v>190</v>
      </c>
      <c r="D41" t="b">
        <f t="shared" si="48"/>
        <v>1</v>
      </c>
      <c r="E41" s="50">
        <v>44357</v>
      </c>
      <c r="F41" s="54">
        <f>VLOOKUP(A41,Base!B:K,10,0)</f>
        <v>44357</v>
      </c>
      <c r="G41" s="28" t="s">
        <v>197</v>
      </c>
      <c r="H41" s="14">
        <f>NETWORKDAYS($F41,$G41,Feriados!$A$2:$A$1189)</f>
        <v>2512</v>
      </c>
      <c r="I41" s="14">
        <f t="shared" si="49"/>
        <v>3600</v>
      </c>
      <c r="J41" t="s">
        <v>651</v>
      </c>
      <c r="K41" s="29">
        <v>4.6249999999999999E-2</v>
      </c>
      <c r="L41" s="30">
        <v>43773.61</v>
      </c>
      <c r="M41" s="31">
        <v>47849</v>
      </c>
      <c r="N41" s="18">
        <f>NETWORKDAYS($F41,$M41,Feriados!$A$2:$A$1189)</f>
        <v>2403</v>
      </c>
      <c r="O41" s="30">
        <v>36141.410000000003</v>
      </c>
      <c r="P41" s="31">
        <v>48580</v>
      </c>
      <c r="Q41" s="18">
        <f>NETWORKDAYS($F41,$P41,Feriados!$A$2:$A$1189)</f>
        <v>2908</v>
      </c>
      <c r="R41" s="17">
        <f t="shared" si="39"/>
        <v>42000.336970390017</v>
      </c>
      <c r="S41" s="26">
        <v>2.1</v>
      </c>
      <c r="T41" s="27">
        <v>47849</v>
      </c>
      <c r="U41" s="23">
        <f t="shared" si="40"/>
        <v>3441</v>
      </c>
      <c r="V41" s="26">
        <v>2.27</v>
      </c>
      <c r="W41" s="27">
        <v>48580</v>
      </c>
      <c r="X41" s="35">
        <f t="shared" si="41"/>
        <v>4161</v>
      </c>
      <c r="Y41" s="33">
        <f t="shared" si="42"/>
        <v>1.2197506309839834</v>
      </c>
      <c r="Z41" s="33">
        <f t="shared" si="43"/>
        <v>1.2962046994420735</v>
      </c>
      <c r="AA41" s="24">
        <f t="shared" si="44"/>
        <v>0.22083333333333333</v>
      </c>
      <c r="AB41" s="24">
        <f t="shared" si="45"/>
        <v>2.1433650318918529E-2</v>
      </c>
      <c r="AC41" s="25">
        <f t="shared" si="46"/>
        <v>9.0924526274256845E-2</v>
      </c>
      <c r="AD41" s="25">
        <f t="shared" si="50"/>
        <v>2.1433650318918529E-2</v>
      </c>
      <c r="AE41" s="21">
        <f t="shared" si="51"/>
        <v>6.9877221422982805E-2</v>
      </c>
      <c r="AF41" s="21">
        <f t="shared" si="52"/>
        <v>2.6064604795942081E-2</v>
      </c>
      <c r="AG41" s="9">
        <f t="shared" si="53"/>
        <v>0.11698913107019893</v>
      </c>
      <c r="AK41" t="b">
        <f t="shared" si="54"/>
        <v>1</v>
      </c>
      <c r="AL41" t="b">
        <f t="shared" si="55"/>
        <v>1</v>
      </c>
      <c r="AM41" t="b">
        <f t="shared" si="56"/>
        <v>1</v>
      </c>
      <c r="AN41" t="b">
        <f t="shared" si="57"/>
        <v>1</v>
      </c>
    </row>
    <row r="42" spans="1:40" x14ac:dyDescent="0.35">
      <c r="A42">
        <f t="shared" si="30"/>
        <v>41</v>
      </c>
      <c r="B42" t="str">
        <f t="shared" si="47"/>
        <v>CSN4357217/04/2026</v>
      </c>
      <c r="C42" t="s">
        <v>190</v>
      </c>
      <c r="D42" t="b">
        <f t="shared" si="48"/>
        <v>1</v>
      </c>
      <c r="E42" s="50">
        <v>43572</v>
      </c>
      <c r="F42" s="54">
        <f>VLOOKUP(A42,Base!B:K,10,0)</f>
        <v>43572</v>
      </c>
      <c r="G42" s="28" t="s">
        <v>198</v>
      </c>
      <c r="H42" s="14">
        <f>NETWORKDAYS($F42,$G42,Feriados!$A$2:$A$1189)</f>
        <v>1762</v>
      </c>
      <c r="I42" s="14">
        <f t="shared" si="49"/>
        <v>2520</v>
      </c>
      <c r="J42" t="s">
        <v>651</v>
      </c>
      <c r="K42" s="29">
        <v>7.6249999999999998E-2</v>
      </c>
      <c r="L42" s="30">
        <v>56090.11</v>
      </c>
      <c r="M42" s="31">
        <v>46023</v>
      </c>
      <c r="N42" s="18">
        <f>NETWORKDAYS($F42,$M42,Feriados!$A$2:$A$1189)</f>
        <v>1689</v>
      </c>
      <c r="O42" s="30">
        <v>53647.02</v>
      </c>
      <c r="P42" s="31">
        <v>46204</v>
      </c>
      <c r="Q42" s="18">
        <f>NETWORKDAYS($F42,$P42,Feriados!$A$2:$A$1189)</f>
        <v>1812</v>
      </c>
      <c r="R42" s="17">
        <f t="shared" si="39"/>
        <v>54627.040345285517</v>
      </c>
      <c r="S42" s="26">
        <v>3.93</v>
      </c>
      <c r="T42" s="27">
        <v>46023</v>
      </c>
      <c r="U42" s="23">
        <f t="shared" si="40"/>
        <v>2414</v>
      </c>
      <c r="V42" s="26">
        <v>3.98</v>
      </c>
      <c r="W42" s="27">
        <v>46204</v>
      </c>
      <c r="X42" s="35">
        <f t="shared" si="41"/>
        <v>2594</v>
      </c>
      <c r="Y42" s="33">
        <f t="shared" si="42"/>
        <v>1.294962577017065</v>
      </c>
      <c r="Z42" s="33">
        <f t="shared" si="43"/>
        <v>1.3247466194372526</v>
      </c>
      <c r="AA42" s="24">
        <f t="shared" si="44"/>
        <v>0.58888888888888891</v>
      </c>
      <c r="AB42" s="24">
        <f t="shared" si="45"/>
        <v>3.9603062123050981E-2</v>
      </c>
      <c r="AC42" s="25">
        <f t="shared" si="46"/>
        <v>9.0324497704272311E-2</v>
      </c>
      <c r="AD42" s="25">
        <f t="shared" si="50"/>
        <v>3.9603062123050981E-2</v>
      </c>
      <c r="AE42" s="21">
        <f t="shared" si="51"/>
        <v>5.2828549385341095E-2</v>
      </c>
      <c r="AF42" s="21">
        <f t="shared" si="52"/>
        <v>3.9238069640534556E-2</v>
      </c>
      <c r="AG42" s="9">
        <f t="shared" si="53"/>
        <v>0.12956256734480687</v>
      </c>
      <c r="AK42" t="b">
        <f t="shared" si="54"/>
        <v>1</v>
      </c>
      <c r="AL42" t="b">
        <f t="shared" si="55"/>
        <v>1</v>
      </c>
      <c r="AM42" t="b">
        <f t="shared" si="56"/>
        <v>1</v>
      </c>
      <c r="AN42" t="b">
        <f t="shared" si="57"/>
        <v>1</v>
      </c>
    </row>
    <row r="43" spans="1:40" x14ac:dyDescent="0.35">
      <c r="A43">
        <f t="shared" si="30"/>
        <v>42</v>
      </c>
      <c r="B43" t="str">
        <f t="shared" si="47"/>
        <v>CSN4314013/02/2023</v>
      </c>
      <c r="C43" t="s">
        <v>190</v>
      </c>
      <c r="D43" t="b">
        <f t="shared" si="48"/>
        <v>1</v>
      </c>
      <c r="E43" s="50">
        <v>43140</v>
      </c>
      <c r="F43" s="54">
        <f>VLOOKUP(A43,Base!B:K,10,0)</f>
        <v>43140</v>
      </c>
      <c r="G43" s="28" t="s">
        <v>199</v>
      </c>
      <c r="H43" s="14">
        <f>NETWORKDAYS($F43,$G43,Feriados!$A$2:$A$1189)</f>
        <v>1259</v>
      </c>
      <c r="I43" s="14">
        <f t="shared" si="49"/>
        <v>1804</v>
      </c>
      <c r="J43" t="s">
        <v>651</v>
      </c>
      <c r="K43" s="29">
        <v>7.6249999999999998E-2</v>
      </c>
      <c r="L43" s="30">
        <v>64167.99</v>
      </c>
      <c r="M43" s="31">
        <v>44927</v>
      </c>
      <c r="N43" s="18">
        <f>NETWORKDAYS($F43,$M43,Feriados!$A$2:$A$1189)</f>
        <v>1228</v>
      </c>
      <c r="O43" s="30">
        <v>60986.43</v>
      </c>
      <c r="P43" s="31">
        <v>45108</v>
      </c>
      <c r="Q43" s="18">
        <f>NETWORKDAYS($F43,$P43,Feriados!$A$2:$A$1189)</f>
        <v>1352</v>
      </c>
      <c r="R43" s="17">
        <f t="shared" si="39"/>
        <v>63357.368318736786</v>
      </c>
      <c r="S43" s="26">
        <v>3.96</v>
      </c>
      <c r="T43" s="27">
        <v>44927</v>
      </c>
      <c r="U43" s="23">
        <f t="shared" si="40"/>
        <v>1762</v>
      </c>
      <c r="V43" s="26">
        <v>4.0599999999999996</v>
      </c>
      <c r="W43" s="27">
        <v>45108</v>
      </c>
      <c r="X43" s="35">
        <f t="shared" si="41"/>
        <v>1942</v>
      </c>
      <c r="Y43" s="33">
        <f t="shared" si="42"/>
        <v>1.2093472616381022</v>
      </c>
      <c r="Z43" s="33">
        <f t="shared" si="43"/>
        <v>1.2394716997764648</v>
      </c>
      <c r="AA43" s="24">
        <f t="shared" si="44"/>
        <v>0.23333333333333334</v>
      </c>
      <c r="AB43" s="24">
        <f t="shared" si="45"/>
        <v>3.9851092145351874E-2</v>
      </c>
      <c r="AC43" s="25">
        <f t="shared" si="46"/>
        <v>9.5650546871956621E-2</v>
      </c>
      <c r="AD43" s="25">
        <f t="shared" si="50"/>
        <v>3.9851092145351874E-2</v>
      </c>
      <c r="AE43" s="21">
        <f t="shared" si="51"/>
        <v>5.6440625391590116E-2</v>
      </c>
      <c r="AF43" s="21">
        <f t="shared" si="52"/>
        <v>3.7734363683545658E-2</v>
      </c>
      <c r="AG43" s="9">
        <f t="shared" si="53"/>
        <v>0.13338491055550228</v>
      </c>
      <c r="AK43" t="b">
        <f t="shared" si="54"/>
        <v>1</v>
      </c>
      <c r="AL43" t="b">
        <f t="shared" si="55"/>
        <v>1</v>
      </c>
      <c r="AM43" t="b">
        <f t="shared" si="56"/>
        <v>1</v>
      </c>
      <c r="AN43" t="b">
        <f t="shared" si="57"/>
        <v>1</v>
      </c>
    </row>
    <row r="44" spans="1:40" x14ac:dyDescent="0.35">
      <c r="A44">
        <f t="shared" si="30"/>
        <v>43</v>
      </c>
      <c r="B44" t="str">
        <f t="shared" si="47"/>
        <v>CSN4364813/02/2023</v>
      </c>
      <c r="C44" t="s">
        <v>190</v>
      </c>
      <c r="D44" t="b">
        <f t="shared" si="48"/>
        <v>1</v>
      </c>
      <c r="E44" s="50">
        <v>43648</v>
      </c>
      <c r="F44" s="54">
        <f>VLOOKUP(A44,Base!B:K,10,0)</f>
        <v>43648</v>
      </c>
      <c r="G44" s="28" t="s">
        <v>199</v>
      </c>
      <c r="H44" s="14">
        <f>NETWORKDAYS($F44,$G44,Feriados!$A$2:$A$1189)</f>
        <v>913</v>
      </c>
      <c r="I44" s="14">
        <f t="shared" si="49"/>
        <v>1301</v>
      </c>
      <c r="J44" t="s">
        <v>651</v>
      </c>
      <c r="K44" s="29">
        <v>7.6249999999999998E-2</v>
      </c>
      <c r="L44" s="30">
        <v>79824.639999999999</v>
      </c>
      <c r="M44" s="31">
        <v>44927</v>
      </c>
      <c r="N44" s="18">
        <f>NETWORKDAYS($F44,$M44,Feriados!$A$2:$A$1189)</f>
        <v>882</v>
      </c>
      <c r="O44" s="30">
        <v>78329.539999999994</v>
      </c>
      <c r="P44" s="31">
        <v>45017</v>
      </c>
      <c r="Q44" s="18">
        <f>NETWORKDAYS($F44,$P44,Feriados!$A$2:$A$1189)</f>
        <v>945</v>
      </c>
      <c r="R44" s="17">
        <f t="shared" si="39"/>
        <v>79085.423050593032</v>
      </c>
      <c r="S44" s="26">
        <v>2.57</v>
      </c>
      <c r="T44" s="27">
        <v>44927</v>
      </c>
      <c r="U44" s="23">
        <f t="shared" si="40"/>
        <v>1259</v>
      </c>
      <c r="V44" s="26">
        <v>2.59</v>
      </c>
      <c r="W44" s="27">
        <v>45017</v>
      </c>
      <c r="X44" s="35">
        <f t="shared" si="41"/>
        <v>1349</v>
      </c>
      <c r="Y44" s="33">
        <f t="shared" si="42"/>
        <v>1.092799863796563</v>
      </c>
      <c r="Z44" s="33">
        <f t="shared" si="43"/>
        <v>1.1005582013594317</v>
      </c>
      <c r="AA44" s="24">
        <f t="shared" si="44"/>
        <v>0.46666666666666667</v>
      </c>
      <c r="AB44" s="24">
        <f t="shared" si="45"/>
        <v>2.5796771969153864E-2</v>
      </c>
      <c r="AC44" s="25">
        <f t="shared" si="46"/>
        <v>6.6907385166874667E-2</v>
      </c>
      <c r="AD44" s="25">
        <f t="shared" si="50"/>
        <v>2.5796771969153864E-2</v>
      </c>
      <c r="AE44" s="21">
        <f t="shared" si="51"/>
        <v>4.097953738267579E-2</v>
      </c>
      <c r="AF44" s="21">
        <f t="shared" si="52"/>
        <v>5.0095109176576447E-2</v>
      </c>
      <c r="AG44" s="9">
        <f t="shared" si="53"/>
        <v>0.11700249434345111</v>
      </c>
      <c r="AK44" t="b">
        <f t="shared" si="54"/>
        <v>1</v>
      </c>
      <c r="AL44" t="b">
        <f t="shared" si="55"/>
        <v>1</v>
      </c>
      <c r="AM44" t="b">
        <f t="shared" si="56"/>
        <v>1</v>
      </c>
      <c r="AN44" t="b">
        <f t="shared" si="57"/>
        <v>1</v>
      </c>
    </row>
    <row r="45" spans="1:40" x14ac:dyDescent="0.35">
      <c r="A45">
        <f t="shared" si="30"/>
        <v>44</v>
      </c>
      <c r="B45" t="str">
        <f t="shared" si="47"/>
        <v>CSN4094221/07/2020</v>
      </c>
      <c r="C45" t="s">
        <v>190</v>
      </c>
      <c r="D45" t="b">
        <f t="shared" si="48"/>
        <v>1</v>
      </c>
      <c r="E45" s="50">
        <v>40942</v>
      </c>
      <c r="F45" s="54">
        <f>VLOOKUP(A45,Base!B:K,10,0)</f>
        <v>40942</v>
      </c>
      <c r="G45" s="28" t="s">
        <v>200</v>
      </c>
      <c r="H45" s="14">
        <f>NETWORKDAYS($F45,$G45,Feriados!$A$2:$A$1189)</f>
        <v>2124</v>
      </c>
      <c r="I45" s="14">
        <f t="shared" si="49"/>
        <v>3048</v>
      </c>
      <c r="J45" t="s">
        <v>651</v>
      </c>
      <c r="K45" s="29">
        <v>6.5000000000000002E-2</v>
      </c>
      <c r="L45" s="30">
        <v>40918.99</v>
      </c>
      <c r="M45" s="31">
        <v>44013</v>
      </c>
      <c r="N45" s="18">
        <f>NETWORKDAYS($F45,$M45,Feriados!$A$2:$A$1189)</f>
        <v>2110</v>
      </c>
      <c r="O45" s="30">
        <v>39678.050000000003</v>
      </c>
      <c r="P45" s="31">
        <v>44835</v>
      </c>
      <c r="Q45" s="18">
        <f>NETWORKDAYS($F45,$P45,Feriados!$A$2:$A$1189)</f>
        <v>2677</v>
      </c>
      <c r="R45" s="17">
        <f t="shared" si="39"/>
        <v>40887.887107207418</v>
      </c>
      <c r="S45" s="26">
        <v>4.5199999999999996</v>
      </c>
      <c r="T45" s="27">
        <v>43831</v>
      </c>
      <c r="U45" s="23">
        <f t="shared" si="40"/>
        <v>2848</v>
      </c>
      <c r="V45" s="26">
        <v>4.72</v>
      </c>
      <c r="W45" s="27">
        <v>44197</v>
      </c>
      <c r="X45" s="35">
        <f t="shared" si="41"/>
        <v>3208</v>
      </c>
      <c r="Y45" s="33">
        <f t="shared" si="42"/>
        <v>1.4186935525082485</v>
      </c>
      <c r="Z45" s="33">
        <f t="shared" si="43"/>
        <v>1.5082949953144409</v>
      </c>
      <c r="AA45" s="24">
        <f t="shared" si="44"/>
        <v>0.55555555555555558</v>
      </c>
      <c r="AB45" s="24">
        <f t="shared" si="45"/>
        <v>4.6368972929013985E-2</v>
      </c>
      <c r="AC45" s="25">
        <f t="shared" si="46"/>
        <v>0.11194162577256117</v>
      </c>
      <c r="AD45" s="25">
        <f t="shared" si="50"/>
        <v>4.6368972929013985E-2</v>
      </c>
      <c r="AE45" s="21">
        <f t="shared" si="51"/>
        <v>6.9099648584245665E-2</v>
      </c>
      <c r="AF45" s="21">
        <f t="shared" si="52"/>
        <v>2.3966635794522739E-2</v>
      </c>
      <c r="AG45" s="9">
        <f t="shared" si="53"/>
        <v>0.13590826156708391</v>
      </c>
      <c r="AK45" t="b">
        <f t="shared" si="54"/>
        <v>1</v>
      </c>
      <c r="AL45" t="b">
        <f t="shared" si="55"/>
        <v>1</v>
      </c>
      <c r="AM45" t="b">
        <f t="shared" si="56"/>
        <v>1</v>
      </c>
      <c r="AN45" t="b">
        <f t="shared" si="57"/>
        <v>1</v>
      </c>
    </row>
    <row r="46" spans="1:40" x14ac:dyDescent="0.35">
      <c r="A46">
        <f t="shared" si="30"/>
        <v>45</v>
      </c>
      <c r="B46" t="str">
        <f t="shared" si="47"/>
        <v>CSN4357213/02/2023</v>
      </c>
      <c r="C46" t="s">
        <v>190</v>
      </c>
      <c r="D46" t="b">
        <f t="shared" si="48"/>
        <v>1</v>
      </c>
      <c r="E46" s="50">
        <v>43572</v>
      </c>
      <c r="F46" s="54">
        <f>VLOOKUP(A46,Base!B:K,10,0)</f>
        <v>43572</v>
      </c>
      <c r="G46" s="28" t="s">
        <v>199</v>
      </c>
      <c r="H46" s="14">
        <f>NETWORKDAYS($F46,$G46,Feriados!$A$2:$A$1189)</f>
        <v>964</v>
      </c>
      <c r="I46" s="14">
        <f t="shared" si="49"/>
        <v>1376</v>
      </c>
      <c r="J46" t="s">
        <v>651</v>
      </c>
      <c r="K46" s="29">
        <v>7.6249999999999998E-2</v>
      </c>
      <c r="L46" s="30">
        <v>74412.14</v>
      </c>
      <c r="M46" s="31">
        <v>44927</v>
      </c>
      <c r="N46" s="18">
        <f>NETWORKDAYS($F46,$M46,Feriados!$A$2:$A$1189)</f>
        <v>933</v>
      </c>
      <c r="O46" s="30">
        <v>72694.81</v>
      </c>
      <c r="P46" s="31">
        <v>45017</v>
      </c>
      <c r="Q46" s="18">
        <f>NETWORKDAYS($F46,$P46,Feriados!$A$2:$A$1189)</f>
        <v>996</v>
      </c>
      <c r="R46" s="17">
        <f t="shared" si="39"/>
        <v>73562.093347979084</v>
      </c>
      <c r="S46" s="26">
        <v>3.72</v>
      </c>
      <c r="T46" s="27">
        <v>44927</v>
      </c>
      <c r="U46" s="23">
        <f t="shared" si="40"/>
        <v>1334</v>
      </c>
      <c r="V46" s="26">
        <v>3.79</v>
      </c>
      <c r="W46" s="27">
        <v>45017</v>
      </c>
      <c r="X46" s="35">
        <f t="shared" si="41"/>
        <v>1424</v>
      </c>
      <c r="Y46" s="33">
        <f t="shared" si="42"/>
        <v>1.1449312387845874</v>
      </c>
      <c r="Z46" s="33">
        <f t="shared" si="43"/>
        <v>1.1585213056802075</v>
      </c>
      <c r="AA46" s="24">
        <f t="shared" si="44"/>
        <v>0.46666666666666667</v>
      </c>
      <c r="AB46" s="24">
        <f t="shared" si="45"/>
        <v>3.753800305110766E-2</v>
      </c>
      <c r="AC46" s="25">
        <f t="shared" si="46"/>
        <v>8.3572718795828616E-2</v>
      </c>
      <c r="AD46" s="25">
        <f t="shared" si="50"/>
        <v>3.753800305110766E-2</v>
      </c>
      <c r="AE46" s="21">
        <f t="shared" si="51"/>
        <v>4.6252780324206988E-2</v>
      </c>
      <c r="AF46" s="21">
        <f t="shared" si="52"/>
        <v>3.9182267411901339E-2</v>
      </c>
      <c r="AG46" s="9">
        <f t="shared" si="53"/>
        <v>0.12275498620772995</v>
      </c>
      <c r="AK46" t="b">
        <f t="shared" si="54"/>
        <v>1</v>
      </c>
      <c r="AL46" t="b">
        <f t="shared" si="55"/>
        <v>1</v>
      </c>
      <c r="AM46" t="b">
        <f t="shared" si="56"/>
        <v>1</v>
      </c>
      <c r="AN46" t="b">
        <f t="shared" si="57"/>
        <v>1</v>
      </c>
    </row>
    <row r="47" spans="1:40" x14ac:dyDescent="0.35">
      <c r="A47">
        <f t="shared" si="30"/>
        <v>46</v>
      </c>
      <c r="B47" t="str">
        <f t="shared" ref="B47" si="58">C47&amp;F47&amp;G47</f>
        <v>CSN4459548312</v>
      </c>
      <c r="C47" t="s">
        <v>190</v>
      </c>
      <c r="D47" t="b">
        <f t="shared" ref="D47" si="59">E47=F47</f>
        <v>1</v>
      </c>
      <c r="E47" s="50">
        <v>44595</v>
      </c>
      <c r="F47" s="54">
        <f>VLOOKUP(A47,Base!B:K,10,0)</f>
        <v>44595</v>
      </c>
      <c r="G47" s="28">
        <v>48312</v>
      </c>
      <c r="H47" s="14">
        <f>NETWORKDAYS($F47,$G47,Feriados!$A$2:$A$1189)</f>
        <v>2557</v>
      </c>
      <c r="I47" s="14">
        <f t="shared" ref="I47" si="60">DAYS360(F47,G47,0)</f>
        <v>3665</v>
      </c>
      <c r="J47" t="s">
        <v>651</v>
      </c>
      <c r="K47" s="29">
        <v>5.8749999999999997E-2</v>
      </c>
      <c r="L47" s="30">
        <v>35183.53</v>
      </c>
      <c r="M47" s="31">
        <v>48214</v>
      </c>
      <c r="N47" s="18">
        <f>NETWORKDAYS($F47,$M47,Feriados!$A$2:$A$1189)</f>
        <v>2490</v>
      </c>
      <c r="O47" s="30">
        <v>31654.1</v>
      </c>
      <c r="P47" s="31">
        <v>48580</v>
      </c>
      <c r="Q47" s="18">
        <f>NETWORKDAYS($F47,$P47,Feriados!$A$2:$A$1189)</f>
        <v>2742</v>
      </c>
      <c r="R47" s="17">
        <f t="shared" si="39"/>
        <v>34208.44468829265</v>
      </c>
      <c r="S47" s="26">
        <v>2.74</v>
      </c>
      <c r="T47" s="27">
        <v>48214</v>
      </c>
      <c r="U47" s="23">
        <f t="shared" si="40"/>
        <v>3568</v>
      </c>
      <c r="V47" s="26">
        <v>2.84</v>
      </c>
      <c r="W47" s="27">
        <v>48580</v>
      </c>
      <c r="X47" s="35">
        <f t="shared" ref="X47" si="61">DAYS360($F47,W47,0)</f>
        <v>3928</v>
      </c>
      <c r="Y47" s="33">
        <f t="shared" ref="Y47" si="62">(1+S47%)^(U47/360)</f>
        <v>1.3072302747016291</v>
      </c>
      <c r="Z47" s="33">
        <f t="shared" ref="Z47" si="63">(1+V47%)^(X47/360)</f>
        <v>1.3573807159827278</v>
      </c>
      <c r="AA47" s="24">
        <f t="shared" ref="AA47" si="64">(I47-U47)/(X47-U47)</f>
        <v>0.26944444444444443</v>
      </c>
      <c r="AB47" s="24">
        <f t="shared" ref="AB47" si="65">(Y47*((Z47/Y47)^AA47))^(360/I47)-1</f>
        <v>2.7688679849571907E-2</v>
      </c>
      <c r="AC47" s="25">
        <f t="shared" si="46"/>
        <v>0.11150790105359221</v>
      </c>
      <c r="AD47" s="25">
        <f t="shared" ref="AD47" si="66">+AB47</f>
        <v>2.7688679849571907E-2</v>
      </c>
      <c r="AE47" s="21">
        <f t="shared" si="51"/>
        <v>8.4635133334206136E-2</v>
      </c>
      <c r="AF47" s="21">
        <f t="shared" ref="AF47" si="67">IFERROR(((((1+$K47)*(1+AE47))^($H47/252))/((1+$AC47)^($H47/252)))^(252/$H47)-1,"NA")</f>
        <v>3.3152752516711015E-2</v>
      </c>
      <c r="AG47" s="9">
        <f t="shared" ref="AG47" si="68">AC47+AF47</f>
        <v>0.14466065357030322</v>
      </c>
    </row>
    <row r="48" spans="1:40" x14ac:dyDescent="0.35">
      <c r="A48">
        <f t="shared" si="30"/>
        <v>47</v>
      </c>
      <c r="B48" t="str">
        <f t="shared" ref="B48:B102" si="69">C48&amp;F48&amp;G48</f>
        <v>Eldorado4253716/06/2021</v>
      </c>
      <c r="C48" t="s">
        <v>202</v>
      </c>
      <c r="D48" t="b">
        <f t="shared" si="48"/>
        <v>1</v>
      </c>
      <c r="E48" s="50">
        <v>42537</v>
      </c>
      <c r="F48" s="54">
        <f>VLOOKUP(A48,Base!B:K,10,0)</f>
        <v>42537</v>
      </c>
      <c r="G48" s="28" t="s">
        <v>206</v>
      </c>
      <c r="H48" s="14">
        <f>NETWORKDAYS($F48,$G48,Feriados!$A$2:$A$1189)</f>
        <v>1254</v>
      </c>
      <c r="I48" s="14">
        <f t="shared" si="49"/>
        <v>1800</v>
      </c>
      <c r="J48" t="s">
        <v>651</v>
      </c>
      <c r="K48" s="29">
        <v>8.6249999999999993E-2</v>
      </c>
      <c r="L48" s="30">
        <v>56479.4</v>
      </c>
      <c r="M48" s="31">
        <v>44287</v>
      </c>
      <c r="N48" s="18">
        <f>NETWORKDAYS($F48,$M48,Feriados!$A$2:$A$1189)</f>
        <v>1203</v>
      </c>
      <c r="O48" s="30">
        <v>54785.71</v>
      </c>
      <c r="P48" s="31">
        <v>44378</v>
      </c>
      <c r="Q48" s="18">
        <f>NETWORKDAYS($F48,$P48,Feriados!$A$2:$A$1189)</f>
        <v>1265</v>
      </c>
      <c r="R48" s="17">
        <f t="shared" si="39"/>
        <v>55082.452855252443</v>
      </c>
      <c r="S48" s="26">
        <v>4.75</v>
      </c>
      <c r="T48" s="27">
        <v>44287</v>
      </c>
      <c r="U48" s="23">
        <f t="shared" si="40"/>
        <v>1725</v>
      </c>
      <c r="V48" s="26">
        <v>4.8600000000000003</v>
      </c>
      <c r="W48" s="27">
        <v>44378</v>
      </c>
      <c r="X48" s="35">
        <f t="shared" si="41"/>
        <v>1815</v>
      </c>
      <c r="Y48" s="33">
        <f t="shared" si="42"/>
        <v>1.2490257778662377</v>
      </c>
      <c r="Z48" s="33">
        <f t="shared" si="43"/>
        <v>1.2703050095849155</v>
      </c>
      <c r="AA48" s="24">
        <f t="shared" si="44"/>
        <v>0.83333333333333337</v>
      </c>
      <c r="AB48" s="24">
        <f t="shared" si="45"/>
        <v>4.8424228071324515E-2</v>
      </c>
      <c r="AC48" s="25">
        <f t="shared" si="46"/>
        <v>0.12731472528139709</v>
      </c>
      <c r="AD48" s="25">
        <f t="shared" si="50"/>
        <v>4.8424228071324515E-2</v>
      </c>
      <c r="AE48" s="21">
        <f t="shared" si="51"/>
        <v>7.9250553829935066E-2</v>
      </c>
      <c r="AF48" s="21">
        <f t="shared" si="52"/>
        <v>3.9936663477124101E-2</v>
      </c>
      <c r="AG48" s="9">
        <f t="shared" si="53"/>
        <v>0.16725138875852119</v>
      </c>
      <c r="AK48" t="b">
        <f t="shared" si="54"/>
        <v>1</v>
      </c>
      <c r="AL48" t="b">
        <f t="shared" si="55"/>
        <v>1</v>
      </c>
      <c r="AM48" t="b">
        <f t="shared" si="56"/>
        <v>1</v>
      </c>
      <c r="AN48" t="b">
        <f t="shared" si="57"/>
        <v>1</v>
      </c>
    </row>
    <row r="49" spans="1:40" x14ac:dyDescent="0.35">
      <c r="A49">
        <f t="shared" si="30"/>
        <v>48</v>
      </c>
      <c r="B49" t="str">
        <f t="shared" si="69"/>
        <v>Eletrobras4386504/02/2030</v>
      </c>
      <c r="C49" t="s">
        <v>208</v>
      </c>
      <c r="D49" t="b">
        <f t="shared" si="48"/>
        <v>1</v>
      </c>
      <c r="E49" s="50">
        <v>43865</v>
      </c>
      <c r="F49" s="54">
        <f>VLOOKUP(A49,Base!B:K,10,0)</f>
        <v>43865</v>
      </c>
      <c r="G49" s="28" t="s">
        <v>216</v>
      </c>
      <c r="H49" s="14">
        <f>NETWORKDAYS($F49,$G49,Feriados!$A$2:$A$1189)</f>
        <v>2510</v>
      </c>
      <c r="I49" s="14">
        <f t="shared" si="49"/>
        <v>3600</v>
      </c>
      <c r="J49" t="s">
        <v>651</v>
      </c>
      <c r="K49" s="29">
        <v>4.6249999999999999E-2</v>
      </c>
      <c r="L49" s="30">
        <v>52040.03</v>
      </c>
      <c r="M49" s="31">
        <v>47484</v>
      </c>
      <c r="N49" s="18">
        <f>NETWORKDAYS($F49,$M49,Feriados!$A$2:$A$1189)</f>
        <v>2486</v>
      </c>
      <c r="O49" s="30">
        <v>48078.400000000001</v>
      </c>
      <c r="P49" s="31">
        <v>47849</v>
      </c>
      <c r="Q49" s="18">
        <f>NETWORKDAYS($F49,$P49,Feriados!$A$2:$A$1189)</f>
        <v>2739</v>
      </c>
      <c r="R49" s="17">
        <f t="shared" si="39"/>
        <v>51650.612965321488</v>
      </c>
      <c r="S49" s="26">
        <v>2.82</v>
      </c>
      <c r="T49" s="27">
        <v>47484</v>
      </c>
      <c r="U49" s="23">
        <f t="shared" si="40"/>
        <v>3567</v>
      </c>
      <c r="V49" s="26">
        <v>3</v>
      </c>
      <c r="W49" s="27">
        <v>47849</v>
      </c>
      <c r="X49" s="35">
        <f t="shared" si="41"/>
        <v>3927</v>
      </c>
      <c r="Y49" s="33">
        <f t="shared" si="42"/>
        <v>1.3172520466482367</v>
      </c>
      <c r="Z49" s="33">
        <f t="shared" si="43"/>
        <v>1.380488287054938</v>
      </c>
      <c r="AA49" s="24">
        <f t="shared" si="44"/>
        <v>9.166666666666666E-2</v>
      </c>
      <c r="AB49" s="24">
        <f t="shared" si="45"/>
        <v>2.8379845864558551E-2</v>
      </c>
      <c r="AC49" s="25">
        <f t="shared" si="46"/>
        <v>6.8579318656780019E-2</v>
      </c>
      <c r="AD49" s="25">
        <f t="shared" si="50"/>
        <v>2.8379845864558551E-2</v>
      </c>
      <c r="AE49" s="21">
        <f t="shared" si="51"/>
        <v>4.2110696755623289E-2</v>
      </c>
      <c r="AF49" s="21">
        <f t="shared" si="52"/>
        <v>2.033447348682027E-2</v>
      </c>
      <c r="AG49" s="9">
        <f t="shared" si="53"/>
        <v>8.891379214360029E-2</v>
      </c>
      <c r="AK49" t="b">
        <f t="shared" si="54"/>
        <v>1</v>
      </c>
      <c r="AL49" t="b">
        <f t="shared" si="55"/>
        <v>1</v>
      </c>
      <c r="AM49" t="b">
        <f t="shared" si="56"/>
        <v>1</v>
      </c>
      <c r="AN49" t="b">
        <f t="shared" si="57"/>
        <v>1</v>
      </c>
    </row>
    <row r="50" spans="1:40" x14ac:dyDescent="0.35">
      <c r="A50">
        <f t="shared" si="30"/>
        <v>49</v>
      </c>
      <c r="B50" t="str">
        <f t="shared" si="69"/>
        <v>Eletrobras4386504/02/2025</v>
      </c>
      <c r="C50" t="s">
        <v>208</v>
      </c>
      <c r="D50" t="b">
        <f t="shared" si="48"/>
        <v>1</v>
      </c>
      <c r="E50" s="50">
        <v>43865</v>
      </c>
      <c r="F50" s="54">
        <f>VLOOKUP(A50,Base!B:K,10,0)</f>
        <v>43865</v>
      </c>
      <c r="G50" s="28" t="s">
        <v>217</v>
      </c>
      <c r="H50" s="14">
        <f>NETWORKDAYS($F50,$G50,Feriados!$A$2:$A$1189)</f>
        <v>1257</v>
      </c>
      <c r="I50" s="14">
        <f t="shared" si="49"/>
        <v>1800</v>
      </c>
      <c r="J50" t="s">
        <v>651</v>
      </c>
      <c r="K50" s="29">
        <v>3.6249999999999998E-2</v>
      </c>
      <c r="L50" s="30">
        <v>74813.17</v>
      </c>
      <c r="M50" s="31">
        <v>45658</v>
      </c>
      <c r="N50" s="18">
        <f>NETWORKDAYS($F50,$M50,Feriados!$A$2:$A$1189)</f>
        <v>1233</v>
      </c>
      <c r="O50" s="30">
        <v>72346.740000000005</v>
      </c>
      <c r="P50" s="31">
        <v>45839</v>
      </c>
      <c r="Q50" s="18">
        <f>NETWORKDAYS($F50,$P50,Feriados!$A$2:$A$1189)</f>
        <v>1356</v>
      </c>
      <c r="R50" s="17">
        <f t="shared" si="39"/>
        <v>74325.400647878967</v>
      </c>
      <c r="S50" s="26">
        <v>2.34</v>
      </c>
      <c r="T50" s="27">
        <v>45658</v>
      </c>
      <c r="U50" s="23">
        <f t="shared" si="40"/>
        <v>1767</v>
      </c>
      <c r="V50" s="26">
        <v>2.36</v>
      </c>
      <c r="W50" s="27">
        <v>45839</v>
      </c>
      <c r="X50" s="35">
        <f t="shared" si="41"/>
        <v>1947</v>
      </c>
      <c r="Y50" s="33">
        <f t="shared" si="42"/>
        <v>1.1202275100862078</v>
      </c>
      <c r="Z50" s="33">
        <f t="shared" si="43"/>
        <v>1.1344566779917991</v>
      </c>
      <c r="AA50" s="24">
        <f t="shared" si="44"/>
        <v>0.18333333333333332</v>
      </c>
      <c r="AB50" s="24">
        <f t="shared" si="45"/>
        <v>2.3439658004568154E-2</v>
      </c>
      <c r="AC50" s="25">
        <f t="shared" si="46"/>
        <v>6.1289965212615538E-2</v>
      </c>
      <c r="AD50" s="25">
        <f t="shared" si="50"/>
        <v>2.3439658004568154E-2</v>
      </c>
      <c r="AE50" s="21">
        <f t="shared" si="51"/>
        <v>3.797054988505022E-2</v>
      </c>
      <c r="AF50" s="21">
        <f t="shared" si="52"/>
        <v>1.3480780535695791E-2</v>
      </c>
      <c r="AG50" s="9">
        <f t="shared" si="53"/>
        <v>7.4770745748311329E-2</v>
      </c>
      <c r="AK50" t="b">
        <f t="shared" si="54"/>
        <v>1</v>
      </c>
      <c r="AL50" t="b">
        <f t="shared" si="55"/>
        <v>1</v>
      </c>
      <c r="AM50" t="b">
        <f t="shared" si="56"/>
        <v>1</v>
      </c>
      <c r="AN50" t="b">
        <f t="shared" si="57"/>
        <v>1</v>
      </c>
    </row>
    <row r="51" spans="1:40" x14ac:dyDescent="0.35">
      <c r="A51">
        <f t="shared" si="30"/>
        <v>50</v>
      </c>
      <c r="B51" t="str">
        <f t="shared" si="69"/>
        <v>Eletrobras4084327/10/2021</v>
      </c>
      <c r="C51" t="s">
        <v>208</v>
      </c>
      <c r="D51" t="b">
        <f t="shared" si="48"/>
        <v>1</v>
      </c>
      <c r="E51" s="50">
        <v>40843</v>
      </c>
      <c r="F51" s="54">
        <f>VLOOKUP(A51,Base!B:K,10,0)</f>
        <v>40843</v>
      </c>
      <c r="G51" s="28" t="s">
        <v>218</v>
      </c>
      <c r="H51" s="14">
        <f>NETWORKDAYS($F51,$G51,Feriados!$A$2:$A$1189)</f>
        <v>2512</v>
      </c>
      <c r="I51" s="14">
        <f t="shared" si="49"/>
        <v>3600</v>
      </c>
      <c r="J51" t="s">
        <v>651</v>
      </c>
      <c r="K51" s="29">
        <v>5.7500000000000002E-2</v>
      </c>
      <c r="L51" s="30">
        <v>37450.82</v>
      </c>
      <c r="M51" s="31">
        <v>44197</v>
      </c>
      <c r="N51" s="18">
        <f>NETWORKDAYS($F51,$M51,Feriados!$A$2:$A$1189)</f>
        <v>2306</v>
      </c>
      <c r="O51" s="30">
        <v>33653.800000000003</v>
      </c>
      <c r="P51" s="31">
        <v>44562</v>
      </c>
      <c r="Q51" s="18">
        <f>NETWORKDAYS($F51,$P51,Feriados!$A$2:$A$1189)</f>
        <v>2557</v>
      </c>
      <c r="R51" s="17">
        <f t="shared" si="39"/>
        <v>34305.023007895237</v>
      </c>
      <c r="S51" s="26">
        <v>5.69</v>
      </c>
      <c r="T51" s="27">
        <v>44197</v>
      </c>
      <c r="U51" s="23">
        <f t="shared" si="40"/>
        <v>3304</v>
      </c>
      <c r="V51" s="26">
        <v>5.88</v>
      </c>
      <c r="W51" s="27">
        <v>44562</v>
      </c>
      <c r="X51" s="35">
        <f t="shared" si="41"/>
        <v>3664</v>
      </c>
      <c r="Y51" s="33">
        <f t="shared" si="42"/>
        <v>1.6617962479369308</v>
      </c>
      <c r="Z51" s="33">
        <f t="shared" si="43"/>
        <v>1.7887543054408503</v>
      </c>
      <c r="AA51" s="24">
        <f t="shared" si="44"/>
        <v>0.82222222222222219</v>
      </c>
      <c r="AB51" s="24">
        <f t="shared" si="45"/>
        <v>5.8489762039164894E-2</v>
      </c>
      <c r="AC51" s="25">
        <f t="shared" si="46"/>
        <v>0.11329998638235317</v>
      </c>
      <c r="AD51" s="25">
        <f t="shared" si="50"/>
        <v>5.8489762039164894E-2</v>
      </c>
      <c r="AE51" s="21">
        <f t="shared" si="51"/>
        <v>6.3037017022879116E-2</v>
      </c>
      <c r="AF51" s="21">
        <f t="shared" si="52"/>
        <v>9.7562734682465901E-3</v>
      </c>
      <c r="AG51" s="9">
        <f t="shared" si="53"/>
        <v>0.12305625985059976</v>
      </c>
      <c r="AK51" t="b">
        <f t="shared" si="54"/>
        <v>1</v>
      </c>
      <c r="AL51" t="b">
        <f t="shared" si="55"/>
        <v>1</v>
      </c>
      <c r="AM51" t="b">
        <f t="shared" si="56"/>
        <v>1</v>
      </c>
      <c r="AN51" t="b">
        <f t="shared" si="57"/>
        <v>1</v>
      </c>
    </row>
    <row r="52" spans="1:40" x14ac:dyDescent="0.35">
      <c r="A52">
        <f t="shared" si="30"/>
        <v>51</v>
      </c>
      <c r="B52" t="str">
        <f t="shared" si="69"/>
        <v>Equatorial4069703/06/2016</v>
      </c>
      <c r="C52" t="s">
        <v>221</v>
      </c>
      <c r="D52" t="b">
        <f t="shared" si="48"/>
        <v>1</v>
      </c>
      <c r="E52" s="50">
        <v>40697</v>
      </c>
      <c r="F52" s="54">
        <f>VLOOKUP(A52,Base!B:K,10,0)</f>
        <v>40697</v>
      </c>
      <c r="G52" s="28" t="s">
        <v>226</v>
      </c>
      <c r="H52" s="14">
        <f>NETWORKDAYS($F52,$G52,Feriados!$A$2:$A$1189)</f>
        <v>1258</v>
      </c>
      <c r="I52" s="14">
        <f t="shared" si="49"/>
        <v>1800</v>
      </c>
      <c r="J52" t="s">
        <v>651</v>
      </c>
      <c r="K52" s="29">
        <v>0.105</v>
      </c>
      <c r="L52" s="30">
        <v>57035.17</v>
      </c>
      <c r="M52" s="31">
        <v>42461</v>
      </c>
      <c r="N52" s="18">
        <f>NETWORKDAYS($F52,$M52,Feriados!$A$2:$A$1189)</f>
        <v>1215</v>
      </c>
      <c r="O52" s="30">
        <v>55439.7</v>
      </c>
      <c r="P52" s="31">
        <v>42552</v>
      </c>
      <c r="Q52" s="18">
        <f>NETWORKDAYS($F52,$P52,Feriados!$A$2:$A$1189)</f>
        <v>1278</v>
      </c>
      <c r="R52" s="17">
        <f t="shared" si="39"/>
        <v>55941.302749063878</v>
      </c>
      <c r="S52" s="26">
        <v>4.22</v>
      </c>
      <c r="T52" s="27">
        <v>42461</v>
      </c>
      <c r="U52" s="23">
        <f t="shared" si="40"/>
        <v>1738</v>
      </c>
      <c r="V52" s="26">
        <v>4.28</v>
      </c>
      <c r="W52" s="27">
        <v>42552</v>
      </c>
      <c r="X52" s="35">
        <f t="shared" si="41"/>
        <v>1828</v>
      </c>
      <c r="Y52" s="33">
        <f t="shared" si="42"/>
        <v>1.2208541144937164</v>
      </c>
      <c r="Z52" s="33">
        <f t="shared" si="43"/>
        <v>1.2371454082656363</v>
      </c>
      <c r="AA52" s="24">
        <f t="shared" si="44"/>
        <v>0.68888888888888888</v>
      </c>
      <c r="AB52" s="24">
        <f t="shared" si="45"/>
        <v>4.2619726675321878E-2</v>
      </c>
      <c r="AC52" s="25">
        <f t="shared" si="46"/>
        <v>0.1233981310814547</v>
      </c>
      <c r="AD52" s="25">
        <f t="shared" si="50"/>
        <v>4.2619726675321878E-2</v>
      </c>
      <c r="AE52" s="21">
        <f t="shared" si="51"/>
        <v>8.0756355959107129E-2</v>
      </c>
      <c r="AF52" s="21">
        <f t="shared" si="52"/>
        <v>6.3056578334491187E-2</v>
      </c>
      <c r="AG52" s="9">
        <f t="shared" si="53"/>
        <v>0.18645470941594589</v>
      </c>
      <c r="AK52" t="b">
        <f t="shared" si="54"/>
        <v>1</v>
      </c>
      <c r="AL52" t="b">
        <f t="shared" si="55"/>
        <v>1</v>
      </c>
      <c r="AM52" t="b">
        <f t="shared" si="56"/>
        <v>1</v>
      </c>
      <c r="AN52" t="b">
        <f t="shared" si="57"/>
        <v>1</v>
      </c>
    </row>
    <row r="53" spans="1:40" x14ac:dyDescent="0.35">
      <c r="A53">
        <f t="shared" si="30"/>
        <v>52</v>
      </c>
      <c r="B53" t="str">
        <f t="shared" si="69"/>
        <v>Gerdau4303224/10/2027</v>
      </c>
      <c r="C53" t="s">
        <v>228</v>
      </c>
      <c r="D53" t="b">
        <f t="shared" si="48"/>
        <v>1</v>
      </c>
      <c r="E53" s="50">
        <v>43032</v>
      </c>
      <c r="F53" s="54">
        <f>VLOOKUP(A53,Base!B:K,10,0)</f>
        <v>43032</v>
      </c>
      <c r="G53" s="28" t="s">
        <v>233</v>
      </c>
      <c r="H53" s="14">
        <f>NETWORKDAYS($F53,$G53,Feriados!$A$2:$A$1189)</f>
        <v>2511</v>
      </c>
      <c r="I53" s="14">
        <f t="shared" si="49"/>
        <v>3600</v>
      </c>
      <c r="J53" t="s">
        <v>651</v>
      </c>
      <c r="K53" s="29">
        <v>4.8750000000000002E-2</v>
      </c>
      <c r="L53" s="30">
        <v>41289.19</v>
      </c>
      <c r="M53" s="31">
        <v>46388</v>
      </c>
      <c r="N53" s="18">
        <f>NETWORKDAYS($F53,$M53,Feriados!$A$2:$A$1189)</f>
        <v>2308</v>
      </c>
      <c r="O53" s="30">
        <v>37278.28</v>
      </c>
      <c r="P53" s="31">
        <v>46753</v>
      </c>
      <c r="Q53" s="18">
        <f>NETWORKDAYS($F53,$P53,Feriados!$A$2:$A$1189)</f>
        <v>2559</v>
      </c>
      <c r="R53" s="17">
        <f t="shared" si="39"/>
        <v>38013.947714195798</v>
      </c>
      <c r="S53" s="26">
        <v>4.3899999999999997</v>
      </c>
      <c r="T53" s="27">
        <v>46388</v>
      </c>
      <c r="U53" s="23">
        <f t="shared" si="40"/>
        <v>3307</v>
      </c>
      <c r="V53" s="26">
        <v>4.68</v>
      </c>
      <c r="W53" s="27">
        <v>46753</v>
      </c>
      <c r="X53" s="35">
        <f t="shared" si="41"/>
        <v>3667</v>
      </c>
      <c r="Y53" s="33">
        <f t="shared" si="42"/>
        <v>1.4838934110502722</v>
      </c>
      <c r="Z53" s="33">
        <f t="shared" si="43"/>
        <v>1.5934336985574213</v>
      </c>
      <c r="AA53" s="24">
        <f t="shared" si="44"/>
        <v>0.81388888888888888</v>
      </c>
      <c r="AB53" s="24">
        <f t="shared" si="45"/>
        <v>4.6303634855581866E-2</v>
      </c>
      <c r="AC53" s="25">
        <f t="shared" si="46"/>
        <v>0.10193571879438457</v>
      </c>
      <c r="AD53" s="25">
        <f t="shared" si="50"/>
        <v>4.6303634855581866E-2</v>
      </c>
      <c r="AE53" s="21">
        <f t="shared" si="51"/>
        <v>6.0648587492340367E-2</v>
      </c>
      <c r="AF53" s="21">
        <f t="shared" si="52"/>
        <v>9.4556217395396214E-3</v>
      </c>
      <c r="AG53" s="9">
        <f t="shared" si="53"/>
        <v>0.11139134053392419</v>
      </c>
      <c r="AK53" t="b">
        <f t="shared" si="54"/>
        <v>1</v>
      </c>
      <c r="AL53" t="b">
        <f t="shared" si="55"/>
        <v>1</v>
      </c>
      <c r="AM53" t="b">
        <f t="shared" si="56"/>
        <v>1</v>
      </c>
      <c r="AN53" t="b">
        <f t="shared" si="57"/>
        <v>1</v>
      </c>
    </row>
    <row r="54" spans="1:40" x14ac:dyDescent="0.35">
      <c r="A54">
        <f t="shared" si="30"/>
        <v>53</v>
      </c>
      <c r="B54" t="str">
        <f t="shared" si="69"/>
        <v>Gerdau4137915/04/2023</v>
      </c>
      <c r="C54" t="s">
        <v>228</v>
      </c>
      <c r="D54" t="b">
        <f t="shared" si="48"/>
        <v>1</v>
      </c>
      <c r="E54" s="50">
        <v>41379</v>
      </c>
      <c r="F54" s="54">
        <f>VLOOKUP(A54,Base!B:K,10,0)</f>
        <v>41379</v>
      </c>
      <c r="G54" s="28" t="s">
        <v>234</v>
      </c>
      <c r="H54" s="14">
        <f>NETWORKDAYS($F54,$G54,Feriados!$A$2:$A$1189)</f>
        <v>2514</v>
      </c>
      <c r="I54" s="14">
        <f t="shared" si="49"/>
        <v>3600</v>
      </c>
      <c r="J54" t="s">
        <v>651</v>
      </c>
      <c r="K54" s="29">
        <v>4.7500000000000001E-2</v>
      </c>
      <c r="L54" s="30">
        <v>40343.86</v>
      </c>
      <c r="M54" s="31">
        <v>44927</v>
      </c>
      <c r="N54" s="18">
        <f>NETWORKDAYS($F54,$M54,Feriados!$A$2:$A$1189)</f>
        <v>2442</v>
      </c>
      <c r="O54" s="30">
        <v>38526.51</v>
      </c>
      <c r="P54" s="31">
        <v>45108</v>
      </c>
      <c r="Q54" s="18">
        <f>NETWORKDAYS($F54,$P54,Feriados!$A$2:$A$1189)</f>
        <v>2566</v>
      </c>
      <c r="R54" s="17">
        <f t="shared" si="39"/>
        <v>39278.439177695611</v>
      </c>
      <c r="S54" s="26">
        <v>3.72</v>
      </c>
      <c r="T54" s="27">
        <v>44927</v>
      </c>
      <c r="U54" s="23">
        <f t="shared" si="40"/>
        <v>3496</v>
      </c>
      <c r="V54" s="26">
        <v>3.89</v>
      </c>
      <c r="W54" s="27">
        <v>45292</v>
      </c>
      <c r="X54" s="35">
        <f t="shared" si="41"/>
        <v>3856</v>
      </c>
      <c r="Y54" s="33">
        <f t="shared" si="42"/>
        <v>1.4257473683449562</v>
      </c>
      <c r="Z54" s="33">
        <f t="shared" si="43"/>
        <v>1.5049540422972627</v>
      </c>
      <c r="AA54" s="24">
        <f t="shared" si="44"/>
        <v>0.28888888888888886</v>
      </c>
      <c r="AB54" s="24">
        <f t="shared" si="45"/>
        <v>3.772573714375782E-2</v>
      </c>
      <c r="AC54" s="25">
        <f t="shared" si="46"/>
        <v>9.8199997524403004E-2</v>
      </c>
      <c r="AD54" s="25">
        <f t="shared" si="50"/>
        <v>3.772573714375782E-2</v>
      </c>
      <c r="AE54" s="21">
        <f t="shared" si="51"/>
        <v>6.3522665777202114E-2</v>
      </c>
      <c r="AF54" s="21">
        <f t="shared" si="52"/>
        <v>1.4423597626045614E-2</v>
      </c>
      <c r="AG54" s="9">
        <f t="shared" si="53"/>
        <v>0.11262359515044862</v>
      </c>
      <c r="AK54" t="b">
        <f t="shared" si="54"/>
        <v>1</v>
      </c>
      <c r="AL54" t="b">
        <f t="shared" si="55"/>
        <v>1</v>
      </c>
      <c r="AM54" t="b">
        <f t="shared" si="56"/>
        <v>1</v>
      </c>
      <c r="AN54" t="b">
        <f t="shared" si="57"/>
        <v>1</v>
      </c>
    </row>
    <row r="55" spans="1:40" x14ac:dyDescent="0.35">
      <c r="A55">
        <f t="shared" si="30"/>
        <v>54</v>
      </c>
      <c r="B55" t="str">
        <f t="shared" si="69"/>
        <v>Gerdau4174516/04/2044</v>
      </c>
      <c r="C55" t="s">
        <v>228</v>
      </c>
      <c r="D55" t="b">
        <f t="shared" si="48"/>
        <v>1</v>
      </c>
      <c r="E55" s="50">
        <v>41745</v>
      </c>
      <c r="F55" s="54">
        <f>VLOOKUP(A55,Base!B:K,10,0)</f>
        <v>41745</v>
      </c>
      <c r="G55" s="28" t="s">
        <v>236</v>
      </c>
      <c r="H55" s="14">
        <f>NETWORKDAYS($F55,$G55,Feriados!$A$2:$A$1189)</f>
        <v>7536</v>
      </c>
      <c r="I55" s="14">
        <f t="shared" si="49"/>
        <v>10800</v>
      </c>
      <c r="J55" t="s">
        <v>651</v>
      </c>
      <c r="K55" s="29">
        <v>7.2499999999999995E-2</v>
      </c>
      <c r="L55" s="30" t="s">
        <v>29</v>
      </c>
      <c r="M55" s="31" t="s">
        <v>29</v>
      </c>
      <c r="N55" s="18" t="s">
        <v>29</v>
      </c>
      <c r="O55" s="30">
        <v>23748.33</v>
      </c>
      <c r="P55" s="31">
        <v>46023</v>
      </c>
      <c r="Q55" s="18">
        <f>NETWORKDAYS($F55,$P55,Feriados!$A$2:$A$1189)</f>
        <v>2943</v>
      </c>
      <c r="R55" s="17" t="s">
        <v>29</v>
      </c>
      <c r="S55" s="26" t="s">
        <v>29</v>
      </c>
      <c r="T55" s="27" t="s">
        <v>29</v>
      </c>
      <c r="U55" s="23" t="s">
        <v>29</v>
      </c>
      <c r="V55" s="26" t="s">
        <v>29</v>
      </c>
      <c r="W55" s="27" t="s">
        <v>29</v>
      </c>
      <c r="X55" s="35" t="s">
        <v>29</v>
      </c>
      <c r="Y55" s="33" t="s">
        <v>29</v>
      </c>
      <c r="Z55" s="33" t="s">
        <v>29</v>
      </c>
      <c r="AA55" s="24" t="s">
        <v>29</v>
      </c>
      <c r="AB55" s="26">
        <v>6.2E-2</v>
      </c>
      <c r="AC55" s="37">
        <f>($AG$1/$O55)^(252/Q55)-1</f>
        <v>0.1310000166112586</v>
      </c>
      <c r="AD55" s="25">
        <f t="shared" si="50"/>
        <v>6.2E-2</v>
      </c>
      <c r="AE55" s="21">
        <f t="shared" si="51"/>
        <v>9.1948016374938213E-2</v>
      </c>
      <c r="AF55" s="21">
        <f t="shared" si="52"/>
        <v>3.5467931354284499E-2</v>
      </c>
      <c r="AG55" s="9">
        <f t="shared" si="53"/>
        <v>0.16646794796554309</v>
      </c>
      <c r="AK55" t="b">
        <f t="shared" si="54"/>
        <v>0</v>
      </c>
      <c r="AL55" t="b">
        <f t="shared" si="55"/>
        <v>0</v>
      </c>
      <c r="AM55" t="b">
        <f t="shared" si="56"/>
        <v>0</v>
      </c>
      <c r="AN55" t="b">
        <f t="shared" si="57"/>
        <v>1</v>
      </c>
    </row>
    <row r="56" spans="1:40" x14ac:dyDescent="0.35">
      <c r="A56">
        <f t="shared" si="30"/>
        <v>55</v>
      </c>
      <c r="B56" t="str">
        <f t="shared" si="69"/>
        <v>Gerdau4176829/04/2024</v>
      </c>
      <c r="C56" t="s">
        <v>228</v>
      </c>
      <c r="D56" t="b">
        <f t="shared" si="48"/>
        <v>1</v>
      </c>
      <c r="E56" s="50">
        <v>41768</v>
      </c>
      <c r="F56" s="54">
        <f>VLOOKUP(A56,Base!B:K,10,0)</f>
        <v>41768</v>
      </c>
      <c r="G56" s="28" t="s">
        <v>237</v>
      </c>
      <c r="H56" s="14">
        <f>NETWORKDAYS($F56,$G56,Feriados!$A$2:$A$1189)</f>
        <v>2504</v>
      </c>
      <c r="I56" s="14">
        <f t="shared" si="49"/>
        <v>3590</v>
      </c>
      <c r="J56" t="s">
        <v>651</v>
      </c>
      <c r="K56" s="29">
        <v>5.8929999999999996E-2</v>
      </c>
      <c r="L56" s="30">
        <v>32155.439999999999</v>
      </c>
      <c r="M56" s="31">
        <v>45292</v>
      </c>
      <c r="N56" s="18">
        <f>NETWORKDAYS($F56,$M56,Feriados!$A$2:$A$1189)</f>
        <v>2422</v>
      </c>
      <c r="O56" s="30">
        <v>30229.35</v>
      </c>
      <c r="P56" s="31">
        <v>45474</v>
      </c>
      <c r="Q56" s="18">
        <f>NETWORKDAYS($F56,$P56,Feriados!$A$2:$A$1189)</f>
        <v>2547</v>
      </c>
      <c r="R56" s="17">
        <f t="shared" ref="R56:R70" si="70">$L56*(($O56/$L56)^(($H56-$N56)/($Q56-$N56)))</f>
        <v>30878.545256795045</v>
      </c>
      <c r="S56" s="26">
        <v>5.2</v>
      </c>
      <c r="T56" s="27">
        <v>45292</v>
      </c>
      <c r="U56" s="23">
        <f t="shared" ref="U56:U70" si="71">DAYS360($F56,T56,0)</f>
        <v>3472</v>
      </c>
      <c r="V56" s="26">
        <v>5.69</v>
      </c>
      <c r="W56" s="27">
        <v>45658</v>
      </c>
      <c r="X56" s="35">
        <f t="shared" ref="X56:X70" si="72">DAYS360($F56,W56,0)</f>
        <v>3832</v>
      </c>
      <c r="Y56" s="33">
        <f t="shared" ref="Y56:Y70" si="73">(1+S56%)^(U56/360)</f>
        <v>1.6305329502671575</v>
      </c>
      <c r="Z56" s="33">
        <f t="shared" ref="Z56:Z70" si="74">(1+V56%)^(X56/360)</f>
        <v>1.8023016943685712</v>
      </c>
      <c r="AA56" s="24">
        <f t="shared" ref="AA56:AA70" si="75">(I56-U56)/(X56-U56)</f>
        <v>0.32777777777777778</v>
      </c>
      <c r="AB56" s="24">
        <f t="shared" ref="AB56:AB70" si="76">(Y56*((Z56/Y56)^AA56))^(360/I56)-1</f>
        <v>5.3711789137079968E-2</v>
      </c>
      <c r="AC56" s="25">
        <f t="shared" ref="AC56:AC70" si="77">IFERROR(($AG$1/$R56)^(252/$H56)-1,"NA")</f>
        <v>0.12553865470324599</v>
      </c>
      <c r="AD56" s="25">
        <f t="shared" si="50"/>
        <v>5.3711789137079968E-2</v>
      </c>
      <c r="AE56" s="21">
        <f t="shared" si="51"/>
        <v>7.798530273772708E-2</v>
      </c>
      <c r="AF56" s="21">
        <f t="shared" si="52"/>
        <v>1.4190824862453599E-2</v>
      </c>
      <c r="AG56" s="9">
        <f t="shared" si="53"/>
        <v>0.13972947956569959</v>
      </c>
      <c r="AK56" t="b">
        <f t="shared" si="54"/>
        <v>1</v>
      </c>
      <c r="AL56" t="b">
        <f t="shared" si="55"/>
        <v>1</v>
      </c>
      <c r="AM56" t="b">
        <f t="shared" si="56"/>
        <v>1</v>
      </c>
      <c r="AN56" t="b">
        <f t="shared" si="57"/>
        <v>1</v>
      </c>
    </row>
    <row r="57" spans="1:40" x14ac:dyDescent="0.35">
      <c r="A57">
        <f t="shared" si="30"/>
        <v>56</v>
      </c>
      <c r="B57" t="str">
        <f t="shared" si="69"/>
        <v>Gerdau4175829/04/2024</v>
      </c>
      <c r="C57" t="s">
        <v>228</v>
      </c>
      <c r="D57" t="b">
        <f t="shared" si="48"/>
        <v>1</v>
      </c>
      <c r="E57" s="50">
        <v>41758</v>
      </c>
      <c r="F57" s="54">
        <f>VLOOKUP(A57,Base!B:K,10,0)</f>
        <v>41758</v>
      </c>
      <c r="G57" s="28" t="s">
        <v>237</v>
      </c>
      <c r="H57" s="14">
        <f>NETWORKDAYS($F57,$G57,Feriados!$A$2:$A$1189)</f>
        <v>2511</v>
      </c>
      <c r="I57" s="14">
        <f t="shared" si="49"/>
        <v>3600</v>
      </c>
      <c r="J57" t="s">
        <v>651</v>
      </c>
      <c r="K57" s="29">
        <v>5.8929999999999996E-2</v>
      </c>
      <c r="L57" s="30">
        <v>31326.35</v>
      </c>
      <c r="M57" s="31">
        <v>45292</v>
      </c>
      <c r="N57" s="18">
        <f>NETWORKDAYS($F57,$M57,Feriados!$A$2:$A$1189)</f>
        <v>2429</v>
      </c>
      <c r="O57" s="30">
        <v>29423.48</v>
      </c>
      <c r="P57" s="31">
        <v>45474</v>
      </c>
      <c r="Q57" s="18">
        <f>NETWORKDAYS($F57,$P57,Feriados!$A$2:$A$1189)</f>
        <v>2554</v>
      </c>
      <c r="R57" s="17">
        <f t="shared" si="70"/>
        <v>30064.657304106833</v>
      </c>
      <c r="S57" s="26">
        <v>5.47</v>
      </c>
      <c r="T57" s="27">
        <v>45292</v>
      </c>
      <c r="U57" s="23">
        <f t="shared" si="71"/>
        <v>3482</v>
      </c>
      <c r="V57" s="26">
        <v>5.96</v>
      </c>
      <c r="W57" s="27">
        <v>45658</v>
      </c>
      <c r="X57" s="35">
        <f t="shared" si="72"/>
        <v>3842</v>
      </c>
      <c r="Y57" s="33">
        <f t="shared" si="73"/>
        <v>1.6738182763039076</v>
      </c>
      <c r="Z57" s="33">
        <f t="shared" si="74"/>
        <v>1.8548998816122448</v>
      </c>
      <c r="AA57" s="24">
        <f t="shared" si="75"/>
        <v>0.32777777777777778</v>
      </c>
      <c r="AB57" s="24">
        <f t="shared" si="76"/>
        <v>5.6411495215721752E-2</v>
      </c>
      <c r="AC57" s="25">
        <f t="shared" si="77"/>
        <v>0.12818793452513222</v>
      </c>
      <c r="AD57" s="25">
        <f t="shared" si="50"/>
        <v>5.6411495215721752E-2</v>
      </c>
      <c r="AE57" s="21">
        <f t="shared" si="51"/>
        <v>7.8660942919025034E-2</v>
      </c>
      <c r="AF57" s="21">
        <f t="shared" si="52"/>
        <v>1.2443403559372346E-2</v>
      </c>
      <c r="AG57" s="9">
        <f t="shared" si="53"/>
        <v>0.14063133808450456</v>
      </c>
      <c r="AK57" t="b">
        <f t="shared" si="54"/>
        <v>1</v>
      </c>
      <c r="AL57" t="b">
        <f t="shared" si="55"/>
        <v>1</v>
      </c>
      <c r="AM57" t="b">
        <f t="shared" si="56"/>
        <v>1</v>
      </c>
      <c r="AN57" t="b">
        <f t="shared" si="57"/>
        <v>1</v>
      </c>
    </row>
    <row r="58" spans="1:40" x14ac:dyDescent="0.35">
      <c r="A58">
        <f t="shared" si="30"/>
        <v>57</v>
      </c>
      <c r="B58" t="str">
        <f t="shared" si="69"/>
        <v>Gerdau4379021/01/2030</v>
      </c>
      <c r="C58" t="s">
        <v>228</v>
      </c>
      <c r="D58" t="b">
        <f t="shared" si="48"/>
        <v>1</v>
      </c>
      <c r="E58" s="50">
        <v>43790</v>
      </c>
      <c r="F58" s="54">
        <f>VLOOKUP(A58,Base!B:K,10,0)</f>
        <v>43790</v>
      </c>
      <c r="G58" s="28" t="s">
        <v>240</v>
      </c>
      <c r="H58" s="14">
        <f>NETWORKDAYS($F58,$G58,Feriados!$A$2:$A$1189)</f>
        <v>2551</v>
      </c>
      <c r="I58" s="14">
        <f t="shared" si="49"/>
        <v>3660</v>
      </c>
      <c r="J58" t="s">
        <v>651</v>
      </c>
      <c r="K58" s="29">
        <v>4.2500000000000003E-2</v>
      </c>
      <c r="L58" s="30">
        <v>49847.91</v>
      </c>
      <c r="M58" s="31">
        <v>47484</v>
      </c>
      <c r="N58" s="18">
        <f>NETWORKDAYS($F58,$M58,Feriados!$A$2:$A$1189)</f>
        <v>2537</v>
      </c>
      <c r="O58" s="30">
        <v>46351.03</v>
      </c>
      <c r="P58" s="31">
        <v>47849</v>
      </c>
      <c r="Q58" s="18">
        <f>NETWORKDAYS($F58,$P58,Feriados!$A$2:$A$1189)</f>
        <v>2790</v>
      </c>
      <c r="R58" s="17">
        <f t="shared" si="70"/>
        <v>49647.687614359747</v>
      </c>
      <c r="S58" s="26">
        <v>3.42</v>
      </c>
      <c r="T58" s="27">
        <v>47484</v>
      </c>
      <c r="U58" s="23">
        <f t="shared" si="71"/>
        <v>3640</v>
      </c>
      <c r="V58" s="26">
        <v>3.48</v>
      </c>
      <c r="W58" s="27">
        <v>47849</v>
      </c>
      <c r="X58" s="35">
        <f t="shared" si="72"/>
        <v>4000</v>
      </c>
      <c r="Y58" s="33">
        <f t="shared" si="73"/>
        <v>1.404973265306646</v>
      </c>
      <c r="Z58" s="33">
        <f t="shared" si="74"/>
        <v>1.4624173600119736</v>
      </c>
      <c r="AA58" s="24">
        <f t="shared" si="75"/>
        <v>5.5555555555555552E-2</v>
      </c>
      <c r="AB58" s="24">
        <f t="shared" si="76"/>
        <v>3.4236419950289143E-2</v>
      </c>
      <c r="AC58" s="25">
        <f t="shared" si="77"/>
        <v>7.1619359884607103E-2</v>
      </c>
      <c r="AD58" s="25">
        <f t="shared" si="50"/>
        <v>3.4236419950289143E-2</v>
      </c>
      <c r="AE58" s="21">
        <f t="shared" si="51"/>
        <v>4.0463682754686481E-2</v>
      </c>
      <c r="AF58" s="21">
        <f t="shared" si="52"/>
        <v>1.2190923266410802E-2</v>
      </c>
      <c r="AG58" s="9">
        <f t="shared" si="53"/>
        <v>8.3810283151017906E-2</v>
      </c>
      <c r="AK58" t="b">
        <f t="shared" si="54"/>
        <v>1</v>
      </c>
      <c r="AL58" t="b">
        <f t="shared" si="55"/>
        <v>1</v>
      </c>
      <c r="AM58" t="b">
        <f t="shared" si="56"/>
        <v>1</v>
      </c>
      <c r="AN58" t="b">
        <f t="shared" si="57"/>
        <v>1</v>
      </c>
    </row>
    <row r="59" spans="1:40" x14ac:dyDescent="0.35">
      <c r="A59">
        <f t="shared" si="30"/>
        <v>58</v>
      </c>
      <c r="B59" t="str">
        <f t="shared" si="69"/>
        <v>Gol Linhas Aéreas4313331/01/2025</v>
      </c>
      <c r="C59" t="s">
        <v>242</v>
      </c>
      <c r="D59" t="b">
        <f t="shared" si="48"/>
        <v>1</v>
      </c>
      <c r="E59" s="50">
        <v>43133</v>
      </c>
      <c r="F59" s="54">
        <f>VLOOKUP(A59,Base!B:K,10,0)</f>
        <v>43133</v>
      </c>
      <c r="G59" s="28" t="s">
        <v>249</v>
      </c>
      <c r="H59" s="14">
        <f>NETWORKDAYS($F59,$G59,Feriados!$A$2:$A$1189)</f>
        <v>1758</v>
      </c>
      <c r="I59" s="14">
        <f t="shared" si="49"/>
        <v>2519</v>
      </c>
      <c r="J59" t="s">
        <v>651</v>
      </c>
      <c r="K59" s="29">
        <v>7.0000000000000007E-2</v>
      </c>
      <c r="L59" s="30">
        <v>52090.06</v>
      </c>
      <c r="M59" s="31">
        <v>45658</v>
      </c>
      <c r="N59" s="18">
        <f>NETWORKDAYS($F59,$M59,Feriados!$A$2:$A$1189)</f>
        <v>1736</v>
      </c>
      <c r="O59" s="30">
        <v>47061.99</v>
      </c>
      <c r="P59" s="31">
        <v>46023</v>
      </c>
      <c r="Q59" s="18">
        <f>NETWORKDAYS($F59,$P59,Feriados!$A$2:$A$1189)</f>
        <v>1989</v>
      </c>
      <c r="R59" s="17">
        <f t="shared" si="70"/>
        <v>51632.293498143299</v>
      </c>
      <c r="S59" s="26">
        <v>4.17</v>
      </c>
      <c r="T59" s="27">
        <v>45658</v>
      </c>
      <c r="U59" s="23">
        <f t="shared" si="71"/>
        <v>2489</v>
      </c>
      <c r="V59" s="26">
        <v>4.33</v>
      </c>
      <c r="W59" s="27">
        <v>46023</v>
      </c>
      <c r="X59" s="35">
        <f t="shared" si="72"/>
        <v>2849</v>
      </c>
      <c r="Y59" s="33">
        <f t="shared" si="73"/>
        <v>1.3263886856461429</v>
      </c>
      <c r="Z59" s="33">
        <f t="shared" si="74"/>
        <v>1.3985835691555004</v>
      </c>
      <c r="AA59" s="24">
        <f t="shared" si="75"/>
        <v>8.3333333333333329E-2</v>
      </c>
      <c r="AB59" s="24">
        <f t="shared" si="76"/>
        <v>4.1850695788576919E-2</v>
      </c>
      <c r="AC59" s="25">
        <f t="shared" si="77"/>
        <v>9.9388516339866229E-2</v>
      </c>
      <c r="AD59" s="25">
        <f t="shared" si="50"/>
        <v>4.1850695788576919E-2</v>
      </c>
      <c r="AE59" s="21">
        <f t="shared" si="51"/>
        <v>5.9648697265475947E-2</v>
      </c>
      <c r="AF59" s="21">
        <f t="shared" si="52"/>
        <v>3.1322493570187238E-2</v>
      </c>
      <c r="AG59" s="9">
        <f t="shared" si="53"/>
        <v>0.13071100991005347</v>
      </c>
      <c r="AK59" t="b">
        <f t="shared" si="54"/>
        <v>1</v>
      </c>
      <c r="AL59" t="b">
        <f t="shared" si="55"/>
        <v>1</v>
      </c>
      <c r="AM59" t="b">
        <f t="shared" si="56"/>
        <v>1</v>
      </c>
      <c r="AN59" t="b">
        <f t="shared" si="57"/>
        <v>1</v>
      </c>
    </row>
    <row r="60" spans="1:40" x14ac:dyDescent="0.35">
      <c r="A60">
        <f t="shared" si="30"/>
        <v>59</v>
      </c>
      <c r="B60" t="str">
        <f t="shared" si="69"/>
        <v>Gol Linhas Aéreas4308031/01/2025</v>
      </c>
      <c r="C60" t="s">
        <v>242</v>
      </c>
      <c r="D60" t="b">
        <f t="shared" si="48"/>
        <v>1</v>
      </c>
      <c r="E60" s="50">
        <v>43080</v>
      </c>
      <c r="F60" s="54">
        <f>VLOOKUP(A60,Base!B:K,10,0)</f>
        <v>43080</v>
      </c>
      <c r="G60" s="28" t="s">
        <v>249</v>
      </c>
      <c r="H60" s="14">
        <f>NETWORKDAYS($F60,$G60,Feriados!$A$2:$A$1189)</f>
        <v>1795</v>
      </c>
      <c r="I60" s="14">
        <f t="shared" si="49"/>
        <v>2570</v>
      </c>
      <c r="J60" t="s">
        <v>651</v>
      </c>
      <c r="K60" s="29">
        <v>7.0000000000000007E-2</v>
      </c>
      <c r="L60" s="30">
        <v>49440.85</v>
      </c>
      <c r="M60" s="31">
        <v>45658</v>
      </c>
      <c r="N60" s="18">
        <f>NETWORKDAYS($F60,$M60,Feriados!$A$2:$A$1189)</f>
        <v>1773</v>
      </c>
      <c r="O60" s="30">
        <v>44372.91</v>
      </c>
      <c r="P60" s="31">
        <v>46023</v>
      </c>
      <c r="Q60" s="18">
        <f>NETWORKDAYS($F60,$P60,Feriados!$A$2:$A$1189)</f>
        <v>2026</v>
      </c>
      <c r="R60" s="17">
        <f t="shared" si="70"/>
        <v>48978.079655065136</v>
      </c>
      <c r="S60" s="26">
        <v>3.89</v>
      </c>
      <c r="T60" s="27">
        <v>45658</v>
      </c>
      <c r="U60" s="23">
        <f t="shared" si="71"/>
        <v>2540</v>
      </c>
      <c r="V60" s="26">
        <v>4.1399999999999997</v>
      </c>
      <c r="W60" s="27">
        <v>46023</v>
      </c>
      <c r="X60" s="35">
        <f t="shared" si="72"/>
        <v>2900</v>
      </c>
      <c r="Y60" s="33">
        <f t="shared" si="73"/>
        <v>1.3089919856198613</v>
      </c>
      <c r="Z60" s="33">
        <f t="shared" si="74"/>
        <v>1.3864982979906013</v>
      </c>
      <c r="AA60" s="24">
        <f t="shared" si="75"/>
        <v>8.3333333333333329E-2</v>
      </c>
      <c r="AB60" s="24">
        <f t="shared" si="76"/>
        <v>3.9134828442426217E-2</v>
      </c>
      <c r="AC60" s="25">
        <f t="shared" si="77"/>
        <v>0.10540301612799929</v>
      </c>
      <c r="AD60" s="25">
        <f t="shared" si="50"/>
        <v>3.9134828442426217E-2</v>
      </c>
      <c r="AE60" s="21">
        <f t="shared" si="51"/>
        <v>6.7822380193949039E-2</v>
      </c>
      <c r="AF60" s="21">
        <f t="shared" si="52"/>
        <v>3.3622968399086073E-2</v>
      </c>
      <c r="AG60" s="9">
        <f t="shared" si="53"/>
        <v>0.13902598452708537</v>
      </c>
      <c r="AK60" t="b">
        <f t="shared" si="54"/>
        <v>1</v>
      </c>
      <c r="AL60" t="b">
        <f t="shared" si="55"/>
        <v>1</v>
      </c>
      <c r="AM60" t="b">
        <f t="shared" si="56"/>
        <v>1</v>
      </c>
      <c r="AN60" t="b">
        <f t="shared" si="57"/>
        <v>1</v>
      </c>
    </row>
    <row r="61" spans="1:40" x14ac:dyDescent="0.35">
      <c r="A61">
        <f t="shared" si="30"/>
        <v>60</v>
      </c>
      <c r="B61" t="str">
        <f t="shared" si="69"/>
        <v>Gol Linhas Aéreas4418830/06/2026</v>
      </c>
      <c r="C61" t="s">
        <v>242</v>
      </c>
      <c r="D61" t="b">
        <f t="shared" si="48"/>
        <v>1</v>
      </c>
      <c r="E61" s="50">
        <v>44188</v>
      </c>
      <c r="F61" s="54">
        <f>VLOOKUP(A61,Base!B:K,10,0)</f>
        <v>44188</v>
      </c>
      <c r="G61" s="28" t="s">
        <v>251</v>
      </c>
      <c r="H61" s="14">
        <f>NETWORKDAYS($F61,$G61,Feriados!$A$2:$A$1189)</f>
        <v>1386</v>
      </c>
      <c r="I61" s="14">
        <f t="shared" si="49"/>
        <v>1987</v>
      </c>
      <c r="J61" t="s">
        <v>651</v>
      </c>
      <c r="K61" s="29">
        <v>0.08</v>
      </c>
      <c r="L61" s="30">
        <v>74094.06</v>
      </c>
      <c r="M61" s="31">
        <v>46023</v>
      </c>
      <c r="N61" s="18">
        <f>NETWORKDAYS($F61,$M61,Feriados!$A$2:$A$1189)</f>
        <v>1264</v>
      </c>
      <c r="O61" s="30">
        <v>68306.27</v>
      </c>
      <c r="P61" s="31">
        <v>46388</v>
      </c>
      <c r="Q61" s="18">
        <f>NETWORKDAYS($F61,$P61,Feriados!$A$2:$A$1189)</f>
        <v>1514</v>
      </c>
      <c r="R61" s="17">
        <f t="shared" si="70"/>
        <v>71210.798471275266</v>
      </c>
      <c r="S61" s="26">
        <v>1.06</v>
      </c>
      <c r="T61" s="27">
        <v>46023</v>
      </c>
      <c r="U61" s="23">
        <f t="shared" si="71"/>
        <v>1808</v>
      </c>
      <c r="V61" s="26">
        <v>1.1599999999999999</v>
      </c>
      <c r="W61" s="27">
        <v>46388</v>
      </c>
      <c r="X61" s="35">
        <f t="shared" si="72"/>
        <v>2168</v>
      </c>
      <c r="Y61" s="33">
        <f t="shared" si="73"/>
        <v>1.0543826030455774</v>
      </c>
      <c r="Z61" s="33">
        <f t="shared" si="74"/>
        <v>1.0719245835536715</v>
      </c>
      <c r="AA61" s="24">
        <f t="shared" si="75"/>
        <v>0.49722222222222223</v>
      </c>
      <c r="AB61" s="24">
        <f t="shared" si="76"/>
        <v>1.1142392502326626E-2</v>
      </c>
      <c r="AC61" s="25">
        <f t="shared" si="77"/>
        <v>6.3677185935968605E-2</v>
      </c>
      <c r="AD61" s="25">
        <f t="shared" si="50"/>
        <v>1.1142392502326626E-2</v>
      </c>
      <c r="AE61" s="21">
        <f t="shared" si="51"/>
        <v>5.2197174220060871E-2</v>
      </c>
      <c r="AF61" s="21">
        <f t="shared" si="52"/>
        <v>6.8343820082715778E-2</v>
      </c>
      <c r="AG61" s="9">
        <f t="shared" si="53"/>
        <v>0.13202100601868438</v>
      </c>
      <c r="AK61" t="b">
        <f t="shared" si="54"/>
        <v>1</v>
      </c>
      <c r="AL61" t="b">
        <f t="shared" si="55"/>
        <v>1</v>
      </c>
      <c r="AM61" t="b">
        <f t="shared" si="56"/>
        <v>1</v>
      </c>
      <c r="AN61" t="b">
        <f t="shared" si="57"/>
        <v>1</v>
      </c>
    </row>
    <row r="62" spans="1:40" x14ac:dyDescent="0.35">
      <c r="A62">
        <f t="shared" si="30"/>
        <v>61</v>
      </c>
      <c r="B62" t="str">
        <f t="shared" si="69"/>
        <v>Gol Linhas Aéreas4432730/06/2026</v>
      </c>
      <c r="C62" t="s">
        <v>242</v>
      </c>
      <c r="D62" t="b">
        <f t="shared" si="48"/>
        <v>1</v>
      </c>
      <c r="E62" s="50">
        <v>44327</v>
      </c>
      <c r="F62" s="54">
        <f>VLOOKUP(A62,Base!B:K,10,0)</f>
        <v>44327</v>
      </c>
      <c r="G62" s="28" t="s">
        <v>251</v>
      </c>
      <c r="H62" s="14">
        <f>NETWORKDAYS($F62,$G62,Feriados!$A$2:$A$1189)</f>
        <v>1293</v>
      </c>
      <c r="I62" s="14">
        <f t="shared" si="49"/>
        <v>1849</v>
      </c>
      <c r="J62" t="s">
        <v>651</v>
      </c>
      <c r="K62" s="29">
        <v>0.08</v>
      </c>
      <c r="L62" s="30">
        <v>67291.839999999997</v>
      </c>
      <c r="M62" s="31">
        <v>46113</v>
      </c>
      <c r="N62" s="18">
        <f>NETWORKDAYS($F62,$M62,Feriados!$A$2:$A$1189)</f>
        <v>1233</v>
      </c>
      <c r="O62" s="30">
        <v>62604.7</v>
      </c>
      <c r="P62" s="31">
        <v>46388</v>
      </c>
      <c r="Q62" s="18">
        <f>NETWORKDAYS($F62,$P62,Feriados!$A$2:$A$1189)</f>
        <v>1421</v>
      </c>
      <c r="R62" s="17">
        <f t="shared" si="70"/>
        <v>65759.021217628193</v>
      </c>
      <c r="S62" s="26">
        <v>1.66</v>
      </c>
      <c r="T62" s="27">
        <v>46113</v>
      </c>
      <c r="U62" s="23">
        <f t="shared" si="71"/>
        <v>1760</v>
      </c>
      <c r="V62" s="26">
        <v>1.81</v>
      </c>
      <c r="W62" s="27">
        <v>46388</v>
      </c>
      <c r="X62" s="35">
        <f t="shared" si="72"/>
        <v>2030</v>
      </c>
      <c r="Y62" s="33">
        <f t="shared" si="73"/>
        <v>1.0838172792816092</v>
      </c>
      <c r="Z62" s="33">
        <f t="shared" si="74"/>
        <v>1.1064439314778591</v>
      </c>
      <c r="AA62" s="24">
        <f t="shared" si="75"/>
        <v>0.32962962962962961</v>
      </c>
      <c r="AB62" s="24">
        <f t="shared" si="76"/>
        <v>1.7142590637052812E-2</v>
      </c>
      <c r="AC62" s="25">
        <f t="shared" si="77"/>
        <v>8.5124831131835554E-2</v>
      </c>
      <c r="AD62" s="25">
        <f t="shared" si="50"/>
        <v>1.7142590637052812E-2</v>
      </c>
      <c r="AE62" s="21">
        <f t="shared" si="51"/>
        <v>6.7424811409330765E-2</v>
      </c>
      <c r="AF62" s="21">
        <f t="shared" si="52"/>
        <v>6.2383573989025498E-2</v>
      </c>
      <c r="AG62" s="9">
        <f t="shared" si="53"/>
        <v>0.14750840512086105</v>
      </c>
      <c r="AK62" t="b">
        <f t="shared" si="54"/>
        <v>1</v>
      </c>
      <c r="AL62" t="b">
        <f t="shared" si="55"/>
        <v>1</v>
      </c>
      <c r="AM62" t="b">
        <f t="shared" si="56"/>
        <v>1</v>
      </c>
      <c r="AN62" t="b">
        <f t="shared" si="57"/>
        <v>1</v>
      </c>
    </row>
    <row r="63" spans="1:40" x14ac:dyDescent="0.35">
      <c r="A63">
        <f t="shared" si="30"/>
        <v>62</v>
      </c>
      <c r="B63" t="str">
        <f t="shared" si="69"/>
        <v>Gol Linhas Aéreas4446730/06/2026</v>
      </c>
      <c r="C63" t="s">
        <v>242</v>
      </c>
      <c r="D63" t="b">
        <f t="shared" si="48"/>
        <v>1</v>
      </c>
      <c r="E63" s="50">
        <v>44467</v>
      </c>
      <c r="F63" s="54">
        <f>VLOOKUP(A63,Base!B:K,10,0)</f>
        <v>44467</v>
      </c>
      <c r="G63" s="28" t="s">
        <v>251</v>
      </c>
      <c r="H63" s="14">
        <f>NETWORKDAYS($F63,$G63,Feriados!$A$2:$A$1189)</f>
        <v>1195</v>
      </c>
      <c r="I63" s="14">
        <f t="shared" si="49"/>
        <v>1712</v>
      </c>
      <c r="J63" t="s">
        <v>651</v>
      </c>
      <c r="K63" s="29">
        <v>0.08</v>
      </c>
      <c r="L63" s="30">
        <v>63755.27</v>
      </c>
      <c r="M63" s="31">
        <v>46113</v>
      </c>
      <c r="N63" s="18">
        <f>NETWORKDAYS($F63,$M63,Feriados!$A$2:$A$1189)</f>
        <v>1135</v>
      </c>
      <c r="O63" s="30">
        <v>58727.7</v>
      </c>
      <c r="P63" s="31">
        <v>46388</v>
      </c>
      <c r="Q63" s="18">
        <f>NETWORKDAYS($F63,$P63,Feriados!$A$2:$A$1189)</f>
        <v>1323</v>
      </c>
      <c r="R63" s="17">
        <f t="shared" si="70"/>
        <v>62105.642412032881</v>
      </c>
      <c r="S63" s="26">
        <v>1.59</v>
      </c>
      <c r="T63" s="27">
        <v>46113</v>
      </c>
      <c r="U63" s="23">
        <f t="shared" si="71"/>
        <v>1623</v>
      </c>
      <c r="V63" s="26">
        <v>1.77</v>
      </c>
      <c r="W63" s="27">
        <v>46388</v>
      </c>
      <c r="X63" s="35">
        <f t="shared" si="72"/>
        <v>1893</v>
      </c>
      <c r="Y63" s="33">
        <f t="shared" si="73"/>
        <v>1.0737085533649897</v>
      </c>
      <c r="Z63" s="33">
        <f t="shared" si="74"/>
        <v>1.0966481601344915</v>
      </c>
      <c r="AA63" s="24">
        <f t="shared" si="75"/>
        <v>0.32962962962962961</v>
      </c>
      <c r="AB63" s="24">
        <f t="shared" si="76"/>
        <v>1.6555694066156201E-2</v>
      </c>
      <c r="AC63" s="25">
        <f t="shared" si="77"/>
        <v>0.10566673953170769</v>
      </c>
      <c r="AD63" s="25">
        <f t="shared" si="50"/>
        <v>1.6555694066156201E-2</v>
      </c>
      <c r="AE63" s="21">
        <f t="shared" si="51"/>
        <v>8.8136850008336598E-2</v>
      </c>
      <c r="AF63" s="21">
        <f t="shared" si="52"/>
        <v>6.287704603173716E-2</v>
      </c>
      <c r="AG63" s="9">
        <f t="shared" si="53"/>
        <v>0.16854378556344485</v>
      </c>
      <c r="AK63" t="b">
        <f t="shared" si="54"/>
        <v>1</v>
      </c>
      <c r="AL63" t="b">
        <f t="shared" si="55"/>
        <v>1</v>
      </c>
      <c r="AM63" t="b">
        <f t="shared" si="56"/>
        <v>1</v>
      </c>
      <c r="AN63" t="b">
        <f t="shared" si="57"/>
        <v>1</v>
      </c>
    </row>
    <row r="64" spans="1:40" x14ac:dyDescent="0.35">
      <c r="A64">
        <f t="shared" si="30"/>
        <v>63</v>
      </c>
      <c r="B64" t="str">
        <f t="shared" si="69"/>
        <v>Gol Linhas Aéreas4190624/01/2022</v>
      </c>
      <c r="C64" t="s">
        <v>242</v>
      </c>
      <c r="D64" t="b">
        <f t="shared" si="48"/>
        <v>1</v>
      </c>
      <c r="E64" s="50">
        <v>41906</v>
      </c>
      <c r="F64" s="54">
        <f>VLOOKUP(A64,Base!B:K,10,0)</f>
        <v>41906</v>
      </c>
      <c r="G64" s="28" t="s">
        <v>252</v>
      </c>
      <c r="H64" s="14">
        <f>NETWORKDAYS($F64,$G64,Feriados!$A$2:$A$1189)</f>
        <v>1841</v>
      </c>
      <c r="I64" s="14">
        <f t="shared" si="49"/>
        <v>2640</v>
      </c>
      <c r="J64" t="s">
        <v>651</v>
      </c>
      <c r="K64" s="29">
        <v>8.8749999999999996E-2</v>
      </c>
      <c r="L64" s="30">
        <v>44888.66</v>
      </c>
      <c r="M64" s="31">
        <v>44562</v>
      </c>
      <c r="N64" s="18">
        <f>NETWORKDAYS($F64,$M64,Feriados!$A$2:$A$1189)</f>
        <v>1825</v>
      </c>
      <c r="O64" s="30">
        <v>42502.14</v>
      </c>
      <c r="P64" s="31">
        <v>44743</v>
      </c>
      <c r="Q64" s="18">
        <f>NETWORKDAYS($F64,$P64,Feriados!$A$2:$A$1189)</f>
        <v>1950</v>
      </c>
      <c r="R64" s="17">
        <f t="shared" si="70"/>
        <v>44575.860251466744</v>
      </c>
      <c r="S64" s="26">
        <v>4.2</v>
      </c>
      <c r="T64" s="27">
        <v>44562</v>
      </c>
      <c r="U64" s="23">
        <f t="shared" si="71"/>
        <v>2617</v>
      </c>
      <c r="V64" s="26">
        <v>4.5199999999999996</v>
      </c>
      <c r="W64" s="27">
        <v>44927</v>
      </c>
      <c r="X64" s="35">
        <f t="shared" si="72"/>
        <v>2977</v>
      </c>
      <c r="Y64" s="33">
        <f t="shared" si="73"/>
        <v>1.3486162562088424</v>
      </c>
      <c r="Z64" s="33">
        <f t="shared" si="74"/>
        <v>1.4413464420653543</v>
      </c>
      <c r="AA64" s="24">
        <f t="shared" si="75"/>
        <v>6.3888888888888884E-2</v>
      </c>
      <c r="AB64" s="24">
        <f t="shared" si="76"/>
        <v>4.2230214238711872E-2</v>
      </c>
      <c r="AC64" s="25">
        <f t="shared" si="77"/>
        <v>0.11694548179889752</v>
      </c>
      <c r="AD64" s="25">
        <f t="shared" si="50"/>
        <v>4.2230214238711872E-2</v>
      </c>
      <c r="AE64" s="21">
        <f t="shared" si="51"/>
        <v>7.6449797342220682E-2</v>
      </c>
      <c r="AF64" s="21">
        <f t="shared" si="52"/>
        <v>4.9276563587330902E-2</v>
      </c>
      <c r="AG64" s="9">
        <f t="shared" si="53"/>
        <v>0.16622204538622842</v>
      </c>
      <c r="AK64" t="b">
        <f t="shared" si="54"/>
        <v>1</v>
      </c>
      <c r="AL64" t="b">
        <f t="shared" si="55"/>
        <v>1</v>
      </c>
      <c r="AM64" t="b">
        <f t="shared" si="56"/>
        <v>1</v>
      </c>
      <c r="AN64" t="b">
        <f t="shared" si="57"/>
        <v>1</v>
      </c>
    </row>
    <row r="65" spans="1:40" x14ac:dyDescent="0.35">
      <c r="A65">
        <f t="shared" si="30"/>
        <v>64</v>
      </c>
      <c r="B65" t="str">
        <f t="shared" si="69"/>
        <v>Gol Linhas Aéreas4131312/02/2023</v>
      </c>
      <c r="C65" t="s">
        <v>242</v>
      </c>
      <c r="D65" t="b">
        <f t="shared" si="48"/>
        <v>1</v>
      </c>
      <c r="E65" s="50">
        <v>41313</v>
      </c>
      <c r="F65" s="54">
        <f>VLOOKUP(A65,Base!B:K,10,0)</f>
        <v>41313</v>
      </c>
      <c r="G65" s="28" t="s">
        <v>254</v>
      </c>
      <c r="H65" s="14">
        <f>NETWORKDAYS($F65,$G65,Feriados!$A$2:$A$1189)</f>
        <v>2515</v>
      </c>
      <c r="I65" s="14">
        <f t="shared" si="49"/>
        <v>3604</v>
      </c>
      <c r="J65" t="s">
        <v>651</v>
      </c>
      <c r="K65" s="29">
        <v>0.1075</v>
      </c>
      <c r="L65" s="30">
        <v>39364.15</v>
      </c>
      <c r="M65" s="31">
        <v>44927</v>
      </c>
      <c r="N65" s="18">
        <f>NETWORKDAYS($F65,$M65,Feriados!$A$2:$A$1189)</f>
        <v>2485</v>
      </c>
      <c r="O65" s="30">
        <v>37574.1</v>
      </c>
      <c r="P65" s="31">
        <v>45108</v>
      </c>
      <c r="Q65" s="18">
        <f>NETWORKDAYS($F65,$P65,Feriados!$A$2:$A$1189)</f>
        <v>2609</v>
      </c>
      <c r="R65" s="17">
        <f t="shared" si="70"/>
        <v>38923.403429846068</v>
      </c>
      <c r="S65" s="26">
        <v>4.12</v>
      </c>
      <c r="T65" s="27">
        <v>44927</v>
      </c>
      <c r="U65" s="23">
        <f t="shared" si="71"/>
        <v>3563</v>
      </c>
      <c r="V65" s="26">
        <v>4.3099999999999996</v>
      </c>
      <c r="W65" s="27">
        <v>45292</v>
      </c>
      <c r="X65" s="35">
        <f t="shared" si="72"/>
        <v>3923</v>
      </c>
      <c r="Y65" s="33">
        <f t="shared" si="73"/>
        <v>1.4912122835328929</v>
      </c>
      <c r="Z65" s="33">
        <f t="shared" si="74"/>
        <v>1.5838056922022392</v>
      </c>
      <c r="AA65" s="24">
        <f t="shared" si="75"/>
        <v>0.11388888888888889</v>
      </c>
      <c r="AB65" s="24">
        <f t="shared" si="76"/>
        <v>4.1435354013736214E-2</v>
      </c>
      <c r="AC65" s="25">
        <f t="shared" si="77"/>
        <v>9.9158665848538385E-2</v>
      </c>
      <c r="AD65" s="25">
        <f t="shared" si="50"/>
        <v>4.1435354013736214E-2</v>
      </c>
      <c r="AE65" s="21">
        <f t="shared" si="51"/>
        <v>6.1598986779312304E-2</v>
      </c>
      <c r="AF65" s="21">
        <f t="shared" si="52"/>
        <v>6.965528671008081E-2</v>
      </c>
      <c r="AG65" s="9">
        <f t="shared" si="53"/>
        <v>0.1688139525586192</v>
      </c>
      <c r="AK65" t="b">
        <f t="shared" si="54"/>
        <v>1</v>
      </c>
      <c r="AL65" t="b">
        <f t="shared" si="55"/>
        <v>1</v>
      </c>
      <c r="AM65" t="b">
        <f t="shared" si="56"/>
        <v>1</v>
      </c>
      <c r="AN65" t="b">
        <f t="shared" si="57"/>
        <v>1</v>
      </c>
    </row>
    <row r="66" spans="1:40" x14ac:dyDescent="0.35">
      <c r="A66">
        <f t="shared" si="30"/>
        <v>65</v>
      </c>
      <c r="B66" t="str">
        <f t="shared" si="69"/>
        <v>Hidrovias do Brasil4423508/02/2031</v>
      </c>
      <c r="C66" t="s">
        <v>256</v>
      </c>
      <c r="D66" t="b">
        <f t="shared" si="48"/>
        <v>1</v>
      </c>
      <c r="E66" s="50">
        <v>44235</v>
      </c>
      <c r="F66" s="54">
        <f>VLOOKUP(A66,Base!B:K,10,0)</f>
        <v>44235</v>
      </c>
      <c r="G66" s="28" t="s">
        <v>260</v>
      </c>
      <c r="H66" s="14">
        <f>NETWORKDAYS($F66,$G66,Feriados!$A$2:$A$1189)</f>
        <v>2513</v>
      </c>
      <c r="I66" s="14">
        <f t="shared" si="49"/>
        <v>3600</v>
      </c>
      <c r="J66" t="s">
        <v>651</v>
      </c>
      <c r="K66" s="29">
        <v>4.9500000000000002E-2</v>
      </c>
      <c r="L66" s="30">
        <v>47644.7</v>
      </c>
      <c r="M66" s="31">
        <v>47849</v>
      </c>
      <c r="N66" s="18">
        <f>NETWORKDAYS($F66,$M66,Feriados!$A$2:$A$1189)</f>
        <v>2486</v>
      </c>
      <c r="O66" s="30">
        <v>40126.85</v>
      </c>
      <c r="P66" s="31">
        <v>48580</v>
      </c>
      <c r="Q66" s="18">
        <f>NETWORKDAYS($F66,$P66,Feriados!$A$2:$A$1189)</f>
        <v>2991</v>
      </c>
      <c r="R66" s="17">
        <f t="shared" si="70"/>
        <v>47209.258198154763</v>
      </c>
      <c r="S66" s="26">
        <v>1.87</v>
      </c>
      <c r="T66" s="27">
        <v>47849</v>
      </c>
      <c r="U66" s="23">
        <f t="shared" si="71"/>
        <v>3563</v>
      </c>
      <c r="V66" s="26">
        <v>1.97</v>
      </c>
      <c r="W66" s="27">
        <v>48580</v>
      </c>
      <c r="X66" s="35">
        <f t="shared" si="72"/>
        <v>4283</v>
      </c>
      <c r="Y66" s="33">
        <f t="shared" si="73"/>
        <v>1.2012574113029648</v>
      </c>
      <c r="Z66" s="33">
        <f t="shared" si="74"/>
        <v>1.2612415082185213</v>
      </c>
      <c r="AA66" s="24">
        <f t="shared" si="75"/>
        <v>5.1388888888888887E-2</v>
      </c>
      <c r="AB66" s="24">
        <f t="shared" si="76"/>
        <v>1.8761110347497612E-2</v>
      </c>
      <c r="AC66" s="25">
        <f t="shared" si="77"/>
        <v>7.8172083235880097E-2</v>
      </c>
      <c r="AD66" s="25">
        <f t="shared" si="50"/>
        <v>1.8761110347497612E-2</v>
      </c>
      <c r="AE66" s="21">
        <f t="shared" si="51"/>
        <v>5.9741293014096808E-2</v>
      </c>
      <c r="AF66" s="21">
        <f t="shared" si="52"/>
        <v>3.1559344107938925E-2</v>
      </c>
      <c r="AG66" s="9">
        <f t="shared" si="53"/>
        <v>0.10973142734381902</v>
      </c>
      <c r="AK66" t="b">
        <f t="shared" si="54"/>
        <v>1</v>
      </c>
      <c r="AL66" t="b">
        <f t="shared" si="55"/>
        <v>1</v>
      </c>
      <c r="AM66" t="b">
        <f t="shared" si="56"/>
        <v>1</v>
      </c>
      <c r="AN66" t="b">
        <f t="shared" si="57"/>
        <v>1</v>
      </c>
    </row>
    <row r="67" spans="1:40" x14ac:dyDescent="0.35">
      <c r="A67">
        <f t="shared" si="30"/>
        <v>66</v>
      </c>
      <c r="B67" t="str">
        <f t="shared" si="69"/>
        <v>Hidrovias do Brasil4312424/01/2025</v>
      </c>
      <c r="C67" t="s">
        <v>256</v>
      </c>
      <c r="D67" t="b">
        <f t="shared" si="48"/>
        <v>1</v>
      </c>
      <c r="E67" s="50">
        <v>43124</v>
      </c>
      <c r="F67" s="54">
        <f>VLOOKUP(A67,Base!B:K,10,0)</f>
        <v>43124</v>
      </c>
      <c r="G67" s="28" t="s">
        <v>261</v>
      </c>
      <c r="H67" s="14">
        <f>NETWORKDAYS($F67,$G67,Feriados!$A$2:$A$1189)</f>
        <v>1760</v>
      </c>
      <c r="I67" s="14">
        <f t="shared" si="49"/>
        <v>2520</v>
      </c>
      <c r="J67" t="s">
        <v>651</v>
      </c>
      <c r="K67" s="29">
        <v>5.9500000000000004E-2</v>
      </c>
      <c r="L67" s="30">
        <v>51660.01</v>
      </c>
      <c r="M67" s="31">
        <v>45658</v>
      </c>
      <c r="N67" s="18">
        <f>NETWORKDAYS($F67,$M67,Feriados!$A$2:$A$1189)</f>
        <v>1743</v>
      </c>
      <c r="O67" s="30">
        <v>46533.79</v>
      </c>
      <c r="P67" s="31">
        <v>46023</v>
      </c>
      <c r="Q67" s="18">
        <f>NETWORKDAYS($F67,$P67,Feriados!$A$2:$A$1189)</f>
        <v>1996</v>
      </c>
      <c r="R67" s="17">
        <f t="shared" si="70"/>
        <v>51298.51930331756</v>
      </c>
      <c r="S67" s="26">
        <v>3.9</v>
      </c>
      <c r="T67" s="27">
        <v>45658</v>
      </c>
      <c r="U67" s="23">
        <f t="shared" si="71"/>
        <v>2497</v>
      </c>
      <c r="V67" s="26">
        <v>4.03</v>
      </c>
      <c r="W67" s="27">
        <v>46023</v>
      </c>
      <c r="X67" s="35">
        <f t="shared" si="72"/>
        <v>2857</v>
      </c>
      <c r="Y67" s="33">
        <f t="shared" si="73"/>
        <v>1.3039090031539853</v>
      </c>
      <c r="Z67" s="33">
        <f t="shared" si="74"/>
        <v>1.3682723287927172</v>
      </c>
      <c r="AA67" s="24">
        <f t="shared" si="75"/>
        <v>6.3888888888888884E-2</v>
      </c>
      <c r="AB67" s="24">
        <f t="shared" si="76"/>
        <v>3.9094107990698568E-2</v>
      </c>
      <c r="AC67" s="25">
        <f t="shared" si="77"/>
        <v>0.10029139769455631</v>
      </c>
      <c r="AD67" s="25">
        <f t="shared" si="50"/>
        <v>3.9094107990698568E-2</v>
      </c>
      <c r="AE67" s="21">
        <f t="shared" si="51"/>
        <v>6.2835435948250806E-2</v>
      </c>
      <c r="AF67" s="21">
        <f t="shared" si="52"/>
        <v>2.3432653155916805E-2</v>
      </c>
      <c r="AG67" s="9">
        <f t="shared" si="53"/>
        <v>0.12372405085047311</v>
      </c>
      <c r="AK67" t="b">
        <f t="shared" si="54"/>
        <v>1</v>
      </c>
      <c r="AL67" t="b">
        <f t="shared" si="55"/>
        <v>1</v>
      </c>
      <c r="AM67" t="b">
        <f t="shared" si="56"/>
        <v>1</v>
      </c>
      <c r="AN67" t="b">
        <f t="shared" si="57"/>
        <v>1</v>
      </c>
    </row>
    <row r="68" spans="1:40" x14ac:dyDescent="0.35">
      <c r="A68">
        <f t="shared" si="30"/>
        <v>67</v>
      </c>
      <c r="B68" t="str">
        <f t="shared" si="69"/>
        <v>Hypera4065320/04/2021</v>
      </c>
      <c r="C68" t="s">
        <v>263</v>
      </c>
      <c r="D68" t="b">
        <f t="shared" ref="D68:D99" si="78">E68=F68</f>
        <v>1</v>
      </c>
      <c r="E68" s="50">
        <v>40653</v>
      </c>
      <c r="F68" s="54">
        <f>VLOOKUP(A68,Base!B:K,10,0)</f>
        <v>40653</v>
      </c>
      <c r="G68" s="28" t="s">
        <v>275</v>
      </c>
      <c r="H68" s="14">
        <f>NETWORKDAYS($F68,$G68,Feriados!$A$2:$A$1189)</f>
        <v>2511</v>
      </c>
      <c r="I68" s="14">
        <f t="shared" ref="I68:I99" si="79">DAYS360(F68,G68,0)</f>
        <v>3600</v>
      </c>
      <c r="J68" t="s">
        <v>651</v>
      </c>
      <c r="K68" s="29">
        <v>6.5000000000000002E-2</v>
      </c>
      <c r="L68" s="30">
        <v>31930.29</v>
      </c>
      <c r="M68" s="31">
        <v>44197</v>
      </c>
      <c r="N68" s="18">
        <f>NETWORKDAYS($F68,$M68,Feriados!$A$2:$A$1189)</f>
        <v>2437</v>
      </c>
      <c r="O68" s="30">
        <v>28423.21</v>
      </c>
      <c r="P68" s="31">
        <v>44562</v>
      </c>
      <c r="Q68" s="18">
        <f>NETWORKDAYS($F68,$P68,Feriados!$A$2:$A$1189)</f>
        <v>2688</v>
      </c>
      <c r="R68" s="17">
        <f t="shared" si="70"/>
        <v>30853.586088049684</v>
      </c>
      <c r="S68" s="26">
        <v>6.6</v>
      </c>
      <c r="T68" s="27">
        <v>44197</v>
      </c>
      <c r="U68" s="23">
        <f t="shared" si="71"/>
        <v>3491</v>
      </c>
      <c r="V68" s="26">
        <v>6.92</v>
      </c>
      <c r="W68" s="27">
        <v>44562</v>
      </c>
      <c r="X68" s="35">
        <f t="shared" si="72"/>
        <v>3851</v>
      </c>
      <c r="Y68" s="33">
        <f t="shared" si="73"/>
        <v>1.8585223243288591</v>
      </c>
      <c r="Z68" s="33">
        <f t="shared" si="74"/>
        <v>2.0457381613373569</v>
      </c>
      <c r="AA68" s="24">
        <f t="shared" si="75"/>
        <v>0.30277777777777776</v>
      </c>
      <c r="AB68" s="24">
        <f t="shared" si="76"/>
        <v>6.7035391952315448E-2</v>
      </c>
      <c r="AC68" s="25">
        <f t="shared" si="77"/>
        <v>0.12525895981031598</v>
      </c>
      <c r="AD68" s="25">
        <f t="shared" ref="AD68:AD99" si="80">+AB68</f>
        <v>6.7035391952315448E-2</v>
      </c>
      <c r="AE68" s="21">
        <f t="shared" ref="AE68:AE99" si="81">IFERROR((((1+$AC68)^($H68/252))/(1+$AD68*$I68/360))^(252/$H68)-1,"NA")</f>
        <v>6.8788494407328482E-2</v>
      </c>
      <c r="AF68" s="21">
        <f t="shared" ref="AF68:AF99" si="82">IFERROR(((((1+$K68)*(1+AE68))^($H68/252))/((1+$AC68)^($H68/252)))^(252/$H68)-1,"NA")</f>
        <v>1.1553595392548743E-2</v>
      </c>
      <c r="AG68" s="9">
        <f t="shared" ref="AG68:AG99" si="83">AC68+AF68</f>
        <v>0.13681255520286473</v>
      </c>
      <c r="AK68" t="b">
        <f t="shared" ref="AK68:AK99" si="84">N68&lt;$H68</f>
        <v>1</v>
      </c>
      <c r="AL68" t="b">
        <f t="shared" ref="AL68:AL99" si="85">Q68&gt;$H68</f>
        <v>1</v>
      </c>
      <c r="AM68" t="b">
        <f t="shared" ref="AM68:AM99" si="86">U68&lt;$I68</f>
        <v>1</v>
      </c>
      <c r="AN68" t="b">
        <f t="shared" ref="AN68:AN99" si="87">X68&gt;$I68</f>
        <v>1</v>
      </c>
    </row>
    <row r="69" spans="1:40" x14ac:dyDescent="0.35">
      <c r="A69">
        <f t="shared" si="30"/>
        <v>68</v>
      </c>
      <c r="B69" t="str">
        <f t="shared" si="69"/>
        <v>InterCement4183717/07/2024</v>
      </c>
      <c r="C69" t="s">
        <v>277</v>
      </c>
      <c r="D69" t="b">
        <f t="shared" si="78"/>
        <v>1</v>
      </c>
      <c r="E69" s="50">
        <v>41837</v>
      </c>
      <c r="F69" s="54">
        <f>VLOOKUP(A69,Base!B:K,10,0)</f>
        <v>41837</v>
      </c>
      <c r="G69" s="28" t="s">
        <v>310</v>
      </c>
      <c r="H69" s="14">
        <f>NETWORKDAYS($F69,$G69,Feriados!$A$2:$A$1189)</f>
        <v>2511</v>
      </c>
      <c r="I69" s="14">
        <f t="shared" si="79"/>
        <v>3600</v>
      </c>
      <c r="J69" t="s">
        <v>651</v>
      </c>
      <c r="K69" s="29">
        <v>5.7500000000000002E-2</v>
      </c>
      <c r="L69" s="30">
        <v>32514.58</v>
      </c>
      <c r="M69" s="31">
        <v>45474</v>
      </c>
      <c r="N69" s="18">
        <f>NETWORKDAYS($F69,$M69,Feriados!$A$2:$A$1189)</f>
        <v>2499</v>
      </c>
      <c r="O69" s="30">
        <v>30556.89</v>
      </c>
      <c r="P69" s="31">
        <v>45658</v>
      </c>
      <c r="Q69" s="18">
        <f>NETWORKDAYS($F69,$P69,Feriados!$A$2:$A$1189)</f>
        <v>2628</v>
      </c>
      <c r="R69" s="17">
        <f t="shared" si="70"/>
        <v>32327.297839570008</v>
      </c>
      <c r="S69" s="26">
        <v>4.59</v>
      </c>
      <c r="T69" s="27">
        <v>45292</v>
      </c>
      <c r="U69" s="23">
        <f t="shared" si="71"/>
        <v>3404</v>
      </c>
      <c r="V69" s="26">
        <v>5.0599999999999996</v>
      </c>
      <c r="W69" s="27">
        <v>45658</v>
      </c>
      <c r="X69" s="35">
        <f t="shared" si="72"/>
        <v>3764</v>
      </c>
      <c r="Y69" s="33">
        <f t="shared" si="73"/>
        <v>1.5285875534379549</v>
      </c>
      <c r="Z69" s="33">
        <f t="shared" si="74"/>
        <v>1.6754824754307631</v>
      </c>
      <c r="AA69" s="24">
        <f t="shared" si="75"/>
        <v>0.5444444444444444</v>
      </c>
      <c r="AB69" s="24">
        <f t="shared" si="76"/>
        <v>4.8572876595474268E-2</v>
      </c>
      <c r="AC69" s="25">
        <f t="shared" si="77"/>
        <v>0.12000211071085021</v>
      </c>
      <c r="AD69" s="25">
        <f t="shared" si="80"/>
        <v>4.8572876595474268E-2</v>
      </c>
      <c r="AE69" s="21">
        <f t="shared" si="81"/>
        <v>7.6374153883481011E-2</v>
      </c>
      <c r="AF69" s="21">
        <f t="shared" si="82"/>
        <v>1.6306716609078009E-2</v>
      </c>
      <c r="AG69" s="9">
        <f t="shared" si="83"/>
        <v>0.13630882731992822</v>
      </c>
      <c r="AK69" t="b">
        <f t="shared" si="84"/>
        <v>1</v>
      </c>
      <c r="AL69" t="b">
        <f t="shared" si="85"/>
        <v>1</v>
      </c>
      <c r="AM69" t="b">
        <f t="shared" si="86"/>
        <v>1</v>
      </c>
      <c r="AN69" t="b">
        <f t="shared" si="87"/>
        <v>1</v>
      </c>
    </row>
    <row r="70" spans="1:40" x14ac:dyDescent="0.35">
      <c r="A70">
        <f t="shared" ref="A70:A134" si="88">+A69+1</f>
        <v>69</v>
      </c>
      <c r="B70" t="str">
        <f t="shared" si="69"/>
        <v>Iochpe-Maxion4432307/05/2028</v>
      </c>
      <c r="C70" t="s">
        <v>312</v>
      </c>
      <c r="D70" t="b">
        <f t="shared" si="78"/>
        <v>1</v>
      </c>
      <c r="E70" s="50">
        <v>44323</v>
      </c>
      <c r="F70" s="54">
        <f>VLOOKUP(A70,Base!B:K,10,0)</f>
        <v>44323</v>
      </c>
      <c r="G70" s="28" t="s">
        <v>321</v>
      </c>
      <c r="H70" s="14">
        <f>NETWORKDAYS($F70,$G70,Feriados!$A$2:$A$1189)</f>
        <v>1759</v>
      </c>
      <c r="I70" s="14">
        <f t="shared" si="79"/>
        <v>2520</v>
      </c>
      <c r="J70" t="s">
        <v>651</v>
      </c>
      <c r="K70" s="29">
        <v>0.05</v>
      </c>
      <c r="L70" s="30">
        <v>57088.27</v>
      </c>
      <c r="M70" s="31">
        <v>46753</v>
      </c>
      <c r="N70" s="18">
        <f>NETWORKDAYS($F70,$M70,Feriados!$A$2:$A$1189)</f>
        <v>1674</v>
      </c>
      <c r="O70" s="30">
        <v>52026.54</v>
      </c>
      <c r="P70" s="31">
        <v>47119</v>
      </c>
      <c r="Q70" s="18">
        <f>NETWORKDAYS($F70,$P70,Feriados!$A$2:$A$1189)</f>
        <v>1923</v>
      </c>
      <c r="R70" s="17">
        <f t="shared" si="70"/>
        <v>55307.288261769332</v>
      </c>
      <c r="S70" s="26">
        <v>1.92</v>
      </c>
      <c r="T70" s="27">
        <v>46753</v>
      </c>
      <c r="U70" s="23">
        <f t="shared" si="71"/>
        <v>2394</v>
      </c>
      <c r="V70" s="26">
        <v>2.0499999999999998</v>
      </c>
      <c r="W70" s="27">
        <v>47119</v>
      </c>
      <c r="X70" s="35">
        <f t="shared" si="72"/>
        <v>2754</v>
      </c>
      <c r="Y70" s="33">
        <f t="shared" si="73"/>
        <v>1.1348151097983386</v>
      </c>
      <c r="Z70" s="33">
        <f t="shared" si="74"/>
        <v>1.1679372749361825</v>
      </c>
      <c r="AA70" s="24">
        <f t="shared" si="75"/>
        <v>0.35</v>
      </c>
      <c r="AB70" s="24">
        <f t="shared" si="76"/>
        <v>1.9697054310658491E-2</v>
      </c>
      <c r="AC70" s="25">
        <f t="shared" si="77"/>
        <v>8.8553619010717233E-2</v>
      </c>
      <c r="AD70" s="25">
        <f t="shared" si="80"/>
        <v>1.9697054310658491E-2</v>
      </c>
      <c r="AE70" s="21">
        <f t="shared" si="81"/>
        <v>6.8595399022673087E-2</v>
      </c>
      <c r="AF70" s="21">
        <f t="shared" si="82"/>
        <v>3.0748646073593067E-2</v>
      </c>
      <c r="AG70" s="9">
        <f t="shared" si="83"/>
        <v>0.1193022650843103</v>
      </c>
      <c r="AK70" t="b">
        <f t="shared" si="84"/>
        <v>1</v>
      </c>
      <c r="AL70" t="b">
        <f t="shared" si="85"/>
        <v>1</v>
      </c>
      <c r="AM70" t="b">
        <f t="shared" si="86"/>
        <v>1</v>
      </c>
      <c r="AN70" t="b">
        <f t="shared" si="87"/>
        <v>1</v>
      </c>
    </row>
    <row r="71" spans="1:40" x14ac:dyDescent="0.35">
      <c r="A71">
        <f t="shared" si="88"/>
        <v>70</v>
      </c>
      <c r="B71" t="str">
        <f t="shared" si="69"/>
        <v>Klabin4355803/04/2049</v>
      </c>
      <c r="C71" t="s">
        <v>323</v>
      </c>
      <c r="D71" t="b">
        <f t="shared" si="78"/>
        <v>1</v>
      </c>
      <c r="E71" s="50">
        <v>43558</v>
      </c>
      <c r="F71" s="54">
        <f>VLOOKUP(A71,Base!B:K,10,0)</f>
        <v>43558</v>
      </c>
      <c r="G71" s="28" t="s">
        <v>326</v>
      </c>
      <c r="H71" s="14">
        <f>NETWORKDAYS($F71,$G71,Feriados!$A$2:$A$1189)</f>
        <v>7537</v>
      </c>
      <c r="I71" s="14">
        <f t="shared" si="79"/>
        <v>10800</v>
      </c>
      <c r="J71" t="s">
        <v>651</v>
      </c>
      <c r="K71" s="29">
        <v>7.0000000000000007E-2</v>
      </c>
      <c r="L71" s="30" t="s">
        <v>29</v>
      </c>
      <c r="M71" s="31" t="s">
        <v>29</v>
      </c>
      <c r="N71" s="18" t="s">
        <v>29</v>
      </c>
      <c r="O71" s="30">
        <v>35202.089999999997</v>
      </c>
      <c r="P71" s="31">
        <v>47849</v>
      </c>
      <c r="Q71" s="18">
        <f>NETWORKDAYS($F71,$P71,Feriados!$A$2:$A$1189)</f>
        <v>2952</v>
      </c>
      <c r="R71" s="17" t="s">
        <v>29</v>
      </c>
      <c r="S71" s="26" t="s">
        <v>29</v>
      </c>
      <c r="T71" s="27" t="s">
        <v>29</v>
      </c>
      <c r="U71" s="23" t="s">
        <v>29</v>
      </c>
      <c r="V71" s="26" t="s">
        <v>29</v>
      </c>
      <c r="W71" s="27" t="s">
        <v>29</v>
      </c>
      <c r="X71" s="35" t="s">
        <v>29</v>
      </c>
      <c r="Y71" s="33" t="s">
        <v>29</v>
      </c>
      <c r="Z71" s="33" t="s">
        <v>29</v>
      </c>
      <c r="AA71" s="24" t="s">
        <v>29</v>
      </c>
      <c r="AB71" s="26">
        <v>4.3999999999999997E-2</v>
      </c>
      <c r="AC71" s="37">
        <f>($AG$1/$O71)^(252/Q71)-1</f>
        <v>9.3220007811384731E-2</v>
      </c>
      <c r="AD71" s="25">
        <f t="shared" si="80"/>
        <v>4.3999999999999997E-2</v>
      </c>
      <c r="AE71" s="21">
        <f t="shared" si="81"/>
        <v>6.2887895053345133E-2</v>
      </c>
      <c r="AF71" s="21">
        <f t="shared" si="82"/>
        <v>4.0312141728838569E-2</v>
      </c>
      <c r="AG71" s="9">
        <f t="shared" si="83"/>
        <v>0.1335321495402233</v>
      </c>
      <c r="AK71" t="b">
        <f t="shared" si="84"/>
        <v>0</v>
      </c>
      <c r="AL71" t="b">
        <f t="shared" si="85"/>
        <v>0</v>
      </c>
      <c r="AM71" t="b">
        <f t="shared" si="86"/>
        <v>0</v>
      </c>
      <c r="AN71" t="b">
        <f t="shared" si="87"/>
        <v>1</v>
      </c>
    </row>
    <row r="72" spans="1:40" x14ac:dyDescent="0.35">
      <c r="A72">
        <f t="shared" si="88"/>
        <v>71</v>
      </c>
      <c r="B72" t="str">
        <f t="shared" si="69"/>
        <v>Klabin4355803/04/2029</v>
      </c>
      <c r="C72" t="s">
        <v>323</v>
      </c>
      <c r="D72" t="b">
        <f t="shared" si="78"/>
        <v>1</v>
      </c>
      <c r="E72" s="50">
        <v>43558</v>
      </c>
      <c r="F72" s="54">
        <f>VLOOKUP(A72,Base!B:K,10,0)</f>
        <v>43558</v>
      </c>
      <c r="G72" s="28" t="s">
        <v>327</v>
      </c>
      <c r="H72" s="14">
        <f>NETWORKDAYS($F72,$G72,Feriados!$A$2:$A$1189)</f>
        <v>2512</v>
      </c>
      <c r="I72" s="14">
        <f t="shared" si="79"/>
        <v>3600</v>
      </c>
      <c r="J72" t="s">
        <v>651</v>
      </c>
      <c r="K72" s="29">
        <v>5.7500000000000002E-2</v>
      </c>
      <c r="L72" s="30">
        <v>42364</v>
      </c>
      <c r="M72" s="31">
        <v>47119</v>
      </c>
      <c r="N72" s="18">
        <f>NETWORKDAYS($F72,$M72,Feriados!$A$2:$A$1189)</f>
        <v>2449</v>
      </c>
      <c r="O72" s="30">
        <v>38618.14</v>
      </c>
      <c r="P72" s="31">
        <v>47484</v>
      </c>
      <c r="Q72" s="18">
        <f>NETWORKDAYS($F72,$P72,Feriados!$A$2:$A$1189)</f>
        <v>2699</v>
      </c>
      <c r="R72" s="17">
        <f>$L72*(($O72/$L72)^(($H72-$N72)/($Q72-$N72)))</f>
        <v>41387.114302075948</v>
      </c>
      <c r="S72" s="26">
        <v>4.25</v>
      </c>
      <c r="T72" s="27">
        <v>47119</v>
      </c>
      <c r="U72" s="23">
        <f>DAYS360($F72,T72,0)</f>
        <v>3508</v>
      </c>
      <c r="V72" s="26">
        <v>4.34</v>
      </c>
      <c r="W72" s="27">
        <v>47484</v>
      </c>
      <c r="X72" s="35">
        <f>DAYS360($F72,W72,0)</f>
        <v>3868</v>
      </c>
      <c r="Y72" s="33">
        <f>(1+S72%)^(U72/360)</f>
        <v>1.5001724928190616</v>
      </c>
      <c r="Z72" s="33">
        <f>(1+V72%)^(X72/360)</f>
        <v>1.5784976640272916</v>
      </c>
      <c r="AA72" s="24">
        <f>(I72-U72)/(X72-U72)</f>
        <v>0.25555555555555554</v>
      </c>
      <c r="AB72" s="24">
        <f>(Y72*((Z72/Y72)^AA72))^(360/I72)-1</f>
        <v>4.2747044879035245E-2</v>
      </c>
      <c r="AC72" s="25">
        <f>IFERROR(($AG$1/$R72)^(252/$H72)-1,"NA")</f>
        <v>9.2535362451619863E-2</v>
      </c>
      <c r="AD72" s="25">
        <f t="shared" si="80"/>
        <v>4.2747044879035245E-2</v>
      </c>
      <c r="AE72" s="21">
        <f t="shared" si="81"/>
        <v>5.4215907043927203E-2</v>
      </c>
      <c r="AF72" s="21">
        <f t="shared" si="82"/>
        <v>2.0409370729472132E-2</v>
      </c>
      <c r="AG72" s="9">
        <f t="shared" si="83"/>
        <v>0.11294473318109199</v>
      </c>
      <c r="AK72" t="b">
        <f t="shared" si="84"/>
        <v>1</v>
      </c>
      <c r="AL72" t="b">
        <f t="shared" si="85"/>
        <v>1</v>
      </c>
      <c r="AM72" t="b">
        <f t="shared" si="86"/>
        <v>1</v>
      </c>
      <c r="AN72" t="b">
        <f t="shared" si="87"/>
        <v>1</v>
      </c>
    </row>
    <row r="73" spans="1:40" x14ac:dyDescent="0.35">
      <c r="A73">
        <f t="shared" si="88"/>
        <v>72</v>
      </c>
      <c r="B73" t="str">
        <f t="shared" si="69"/>
        <v>Klabin4420812/01/2031</v>
      </c>
      <c r="C73" t="s">
        <v>323</v>
      </c>
      <c r="D73" t="b">
        <f t="shared" si="78"/>
        <v>1</v>
      </c>
      <c r="E73" s="50">
        <v>44208</v>
      </c>
      <c r="F73" s="54">
        <f>VLOOKUP(A73,Base!B:K,10,0)</f>
        <v>44208</v>
      </c>
      <c r="G73" s="28" t="s">
        <v>328</v>
      </c>
      <c r="H73" s="14">
        <f>NETWORKDAYS($F73,$G73,Feriados!$A$2:$A$1189)</f>
        <v>2512</v>
      </c>
      <c r="I73" s="14">
        <f t="shared" si="79"/>
        <v>3600</v>
      </c>
      <c r="J73" t="s">
        <v>651</v>
      </c>
      <c r="K73" s="29">
        <v>3.2000000000000001E-2</v>
      </c>
      <c r="L73" s="30">
        <v>47179.360000000001</v>
      </c>
      <c r="M73" s="31">
        <v>47849</v>
      </c>
      <c r="N73" s="18">
        <f>NETWORKDAYS($F73,$M73,Feriados!$A$2:$A$1189)</f>
        <v>2505</v>
      </c>
      <c r="O73" s="30">
        <v>39696.74</v>
      </c>
      <c r="P73" s="31">
        <v>48580</v>
      </c>
      <c r="Q73" s="18">
        <f>NETWORKDAYS($F73,$P73,Feriados!$A$2:$A$1189)</f>
        <v>3010</v>
      </c>
      <c r="R73" s="17">
        <f>$L73*(($O73/$L73)^(($H73-$N73)/($Q73-$N73)))</f>
        <v>47066.562420439113</v>
      </c>
      <c r="S73" s="26">
        <v>1.66</v>
      </c>
      <c r="T73" s="27">
        <v>47849</v>
      </c>
      <c r="U73" s="23">
        <f>DAYS360($F73,T73,0)</f>
        <v>3589</v>
      </c>
      <c r="V73" s="26">
        <v>1.79</v>
      </c>
      <c r="W73" s="27">
        <v>48580</v>
      </c>
      <c r="X73" s="35">
        <f>DAYS360($F73,W73,0)</f>
        <v>4309</v>
      </c>
      <c r="Y73" s="33">
        <f>(1+S73%)^(U73/360)</f>
        <v>1.1783724444339139</v>
      </c>
      <c r="Z73" s="33">
        <f>(1+V73%)^(X73/360)</f>
        <v>1.2365905927713896</v>
      </c>
      <c r="AA73" s="24">
        <f>(I73-U73)/(X73-U73)</f>
        <v>1.5277777777777777E-2</v>
      </c>
      <c r="AB73" s="24">
        <f>(Y73*((Z73/Y73)^AA73))^(360/I73)-1</f>
        <v>1.6623757737251221E-2</v>
      </c>
      <c r="AC73" s="25">
        <f>IFERROR(($AG$1/$R73)^(252/$H73)-1,"NA")</f>
        <v>7.8531872243156275E-2</v>
      </c>
      <c r="AD73" s="25">
        <f t="shared" si="80"/>
        <v>1.6623757737251221E-2</v>
      </c>
      <c r="AE73" s="21">
        <f t="shared" si="81"/>
        <v>6.2020771240784311E-2</v>
      </c>
      <c r="AF73" s="21">
        <f t="shared" si="82"/>
        <v>1.6201249241704074E-2</v>
      </c>
      <c r="AG73" s="9">
        <f t="shared" si="83"/>
        <v>9.473312148486035E-2</v>
      </c>
      <c r="AK73" t="b">
        <f t="shared" si="84"/>
        <v>1</v>
      </c>
      <c r="AL73" t="b">
        <f t="shared" si="85"/>
        <v>1</v>
      </c>
      <c r="AM73" t="b">
        <f t="shared" si="86"/>
        <v>1</v>
      </c>
      <c r="AN73" t="b">
        <f t="shared" si="87"/>
        <v>1</v>
      </c>
    </row>
    <row r="74" spans="1:40" x14ac:dyDescent="0.35">
      <c r="A74">
        <f t="shared" si="88"/>
        <v>73</v>
      </c>
      <c r="B74" t="str">
        <f t="shared" si="69"/>
        <v>Klabin4299719/09/2027</v>
      </c>
      <c r="C74" t="s">
        <v>323</v>
      </c>
      <c r="D74" t="b">
        <f t="shared" si="78"/>
        <v>1</v>
      </c>
      <c r="E74" s="50">
        <v>42997</v>
      </c>
      <c r="F74" s="54">
        <f>VLOOKUP(A74,Base!B:K,10,0)</f>
        <v>42997</v>
      </c>
      <c r="G74" s="28" t="s">
        <v>329</v>
      </c>
      <c r="H74" s="14">
        <f>NETWORKDAYS($F74,$G74,Feriados!$A$2:$A$1189)</f>
        <v>2511</v>
      </c>
      <c r="I74" s="14">
        <f t="shared" si="79"/>
        <v>3600</v>
      </c>
      <c r="J74" t="s">
        <v>651</v>
      </c>
      <c r="K74" s="29">
        <v>4.8750000000000002E-2</v>
      </c>
      <c r="L74" s="30">
        <v>41083.410000000003</v>
      </c>
      <c r="M74" s="31">
        <v>46388</v>
      </c>
      <c r="N74" s="18">
        <f>NETWORKDAYS($F74,$M74,Feriados!$A$2:$A$1189)</f>
        <v>2332</v>
      </c>
      <c r="O74" s="30">
        <v>37207.360000000001</v>
      </c>
      <c r="P74" s="31">
        <v>46753</v>
      </c>
      <c r="Q74" s="18">
        <f>NETWORKDAYS($F74,$P74,Feriados!$A$2:$A$1189)</f>
        <v>2583</v>
      </c>
      <c r="R74" s="17">
        <f>$L74*(($O74/$L74)^(($H74-$N74)/($Q74-$N74)))</f>
        <v>38280.209963211812</v>
      </c>
      <c r="S74" s="26">
        <v>4.63</v>
      </c>
      <c r="T74" s="27">
        <v>46388</v>
      </c>
      <c r="U74" s="23">
        <f>DAYS360($F74,T74,0)</f>
        <v>3342</v>
      </c>
      <c r="V74" s="26">
        <v>4.92</v>
      </c>
      <c r="W74" s="27">
        <v>46753</v>
      </c>
      <c r="X74" s="35">
        <f>DAYS360($F74,W74,0)</f>
        <v>3702</v>
      </c>
      <c r="Y74" s="33">
        <f>(1+S74%)^(U74/360)</f>
        <v>1.5222125272866887</v>
      </c>
      <c r="Z74" s="33">
        <f>(1+V74%)^(X74/360)</f>
        <v>1.638674387464631</v>
      </c>
      <c r="AA74" s="24">
        <f>(I74-U74)/(X74-U74)</f>
        <v>0.71666666666666667</v>
      </c>
      <c r="AB74" s="24">
        <f>(Y74*((Z74/Y74)^AA74))^(360/I74)-1</f>
        <v>4.8436441307151412E-2</v>
      </c>
      <c r="AC74" s="25">
        <f>IFERROR(($AG$1/$R74)^(252/$H74)-1,"NA")</f>
        <v>0.1011640906497675</v>
      </c>
      <c r="AD74" s="25">
        <f t="shared" si="80"/>
        <v>4.8436441307151412E-2</v>
      </c>
      <c r="AE74" s="21">
        <f t="shared" si="81"/>
        <v>5.8367519010768198E-2</v>
      </c>
      <c r="AF74" s="21">
        <f t="shared" si="82"/>
        <v>7.9904938668893255E-3</v>
      </c>
      <c r="AG74" s="9">
        <f t="shared" si="83"/>
        <v>0.10915458451665683</v>
      </c>
      <c r="AK74" t="b">
        <f t="shared" si="84"/>
        <v>1</v>
      </c>
      <c r="AL74" t="b">
        <f t="shared" si="85"/>
        <v>1</v>
      </c>
      <c r="AM74" t="b">
        <f t="shared" si="86"/>
        <v>1</v>
      </c>
      <c r="AN74" t="b">
        <f t="shared" si="87"/>
        <v>1</v>
      </c>
    </row>
    <row r="75" spans="1:40" x14ac:dyDescent="0.35">
      <c r="A75">
        <f t="shared" si="88"/>
        <v>74</v>
      </c>
      <c r="B75" t="str">
        <f t="shared" si="69"/>
        <v>Klabin4183616/07/2024</v>
      </c>
      <c r="C75" t="s">
        <v>323</v>
      </c>
      <c r="D75" t="b">
        <f t="shared" si="78"/>
        <v>1</v>
      </c>
      <c r="E75" s="50">
        <v>41836</v>
      </c>
      <c r="F75" s="54">
        <f>VLOOKUP(A75,Base!B:K,10,0)</f>
        <v>41836</v>
      </c>
      <c r="G75" s="28" t="s">
        <v>330</v>
      </c>
      <c r="H75" s="14">
        <f>NETWORKDAYS($F75,$G75,Feriados!$A$2:$A$1189)</f>
        <v>2511</v>
      </c>
      <c r="I75" s="14">
        <f t="shared" si="79"/>
        <v>3600</v>
      </c>
      <c r="J75" t="s">
        <v>651</v>
      </c>
      <c r="K75" s="29">
        <v>5.2499999999999998E-2</v>
      </c>
      <c r="L75" s="30">
        <v>32479.82</v>
      </c>
      <c r="M75" s="31">
        <v>45474</v>
      </c>
      <c r="N75" s="18">
        <f>NETWORKDAYS($F75,$M75,Feriados!$A$2:$A$1189)</f>
        <v>2500</v>
      </c>
      <c r="O75" s="30">
        <v>30571.56</v>
      </c>
      <c r="P75" s="31">
        <v>45658</v>
      </c>
      <c r="Q75" s="18">
        <f>NETWORKDAYS($F75,$P75,Feriados!$A$2:$A$1189)</f>
        <v>2629</v>
      </c>
      <c r="R75" s="17">
        <f>$L75*(($O75/$L75)^(($H75-$N75)/($Q75-$N75)))</f>
        <v>32312.556367708992</v>
      </c>
      <c r="S75" s="26">
        <v>4.53</v>
      </c>
      <c r="T75" s="27">
        <v>45292</v>
      </c>
      <c r="U75" s="23">
        <f>DAYS360($F75,T75,0)</f>
        <v>3405</v>
      </c>
      <c r="V75" s="26">
        <v>5.04</v>
      </c>
      <c r="W75" s="27">
        <v>45658</v>
      </c>
      <c r="X75" s="35">
        <f>DAYS360($F75,W75,0)</f>
        <v>3765</v>
      </c>
      <c r="Y75" s="33">
        <f>(1+S75%)^(U75/360)</f>
        <v>1.5205031440224628</v>
      </c>
      <c r="Z75" s="33">
        <f>(1+V75%)^(X75/360)</f>
        <v>1.6723790082792902</v>
      </c>
      <c r="AA75" s="24">
        <f>(I75-U75)/(X75-U75)</f>
        <v>0.54166666666666663</v>
      </c>
      <c r="AB75" s="24">
        <f>(Y75*((Z75/Y75)^AA75))^(360/I75)-1</f>
        <v>4.8186066341755485E-2</v>
      </c>
      <c r="AC75" s="25">
        <f>IFERROR(($AG$1/$R75)^(252/$H75)-1,"NA")</f>
        <v>0.1200533795036911</v>
      </c>
      <c r="AD75" s="25">
        <f t="shared" si="80"/>
        <v>4.8186066341755485E-2</v>
      </c>
      <c r="AE75" s="21">
        <f t="shared" si="81"/>
        <v>7.6705081046211099E-2</v>
      </c>
      <c r="AF75" s="21">
        <f t="shared" si="82"/>
        <v>1.1766151987582685E-2</v>
      </c>
      <c r="AG75" s="9">
        <f t="shared" si="83"/>
        <v>0.13181953149127379</v>
      </c>
      <c r="AK75" t="b">
        <f t="shared" si="84"/>
        <v>1</v>
      </c>
      <c r="AL75" t="b">
        <f t="shared" si="85"/>
        <v>1</v>
      </c>
      <c r="AM75" t="b">
        <f t="shared" si="86"/>
        <v>1</v>
      </c>
      <c r="AN75" t="b">
        <f t="shared" si="87"/>
        <v>1</v>
      </c>
    </row>
    <row r="76" spans="1:40" x14ac:dyDescent="0.35">
      <c r="A76">
        <f t="shared" si="88"/>
        <v>75</v>
      </c>
      <c r="B76" t="str">
        <f t="shared" si="69"/>
        <v>Klabin4385103/04/2049</v>
      </c>
      <c r="C76" t="s">
        <v>323</v>
      </c>
      <c r="D76" t="b">
        <f t="shared" si="78"/>
        <v>1</v>
      </c>
      <c r="E76" s="50">
        <v>43851</v>
      </c>
      <c r="F76" s="54">
        <f>VLOOKUP(A76,Base!B:K,10,0)</f>
        <v>43851</v>
      </c>
      <c r="G76" s="28" t="s">
        <v>326</v>
      </c>
      <c r="H76" s="14">
        <f>NETWORKDAYS($F76,$G76,Feriados!$A$2:$A$1189)</f>
        <v>7334</v>
      </c>
      <c r="I76" s="14">
        <f t="shared" si="79"/>
        <v>10512</v>
      </c>
      <c r="J76" t="s">
        <v>651</v>
      </c>
      <c r="K76" s="29">
        <v>7.0000000000000007E-2</v>
      </c>
      <c r="L76" s="30" t="s">
        <v>29</v>
      </c>
      <c r="M76" s="31" t="s">
        <v>29</v>
      </c>
      <c r="N76" s="18" t="s">
        <v>29</v>
      </c>
      <c r="O76" s="30">
        <v>46649.37</v>
      </c>
      <c r="P76" s="31">
        <v>47849</v>
      </c>
      <c r="Q76" s="18">
        <f>NETWORKDAYS($F76,$P76,Feriados!$A$2:$A$1189)</f>
        <v>2749</v>
      </c>
      <c r="R76" s="17" t="s">
        <v>29</v>
      </c>
      <c r="S76" s="26" t="s">
        <v>29</v>
      </c>
      <c r="T76" s="27" t="s">
        <v>29</v>
      </c>
      <c r="U76" s="23" t="s">
        <v>29</v>
      </c>
      <c r="V76" s="26" t="s">
        <v>29</v>
      </c>
      <c r="W76" s="27" t="s">
        <v>29</v>
      </c>
      <c r="X76" s="35" t="s">
        <v>29</v>
      </c>
      <c r="Y76" s="33" t="s">
        <v>29</v>
      </c>
      <c r="Z76" s="33" t="s">
        <v>29</v>
      </c>
      <c r="AA76" s="24" t="s">
        <v>29</v>
      </c>
      <c r="AB76" s="26">
        <v>3.2000000000000001E-2</v>
      </c>
      <c r="AC76" s="37">
        <f>($AG$1/$O76)^(252/Q76)-1</f>
        <v>7.2400004393673667E-2</v>
      </c>
      <c r="AD76" s="25">
        <f t="shared" si="80"/>
        <v>3.2000000000000001E-2</v>
      </c>
      <c r="AE76" s="21">
        <f t="shared" si="81"/>
        <v>4.8361177336810002E-2</v>
      </c>
      <c r="AF76" s="21">
        <f t="shared" si="82"/>
        <v>4.6014971236980839E-2</v>
      </c>
      <c r="AG76" s="9">
        <f t="shared" si="83"/>
        <v>0.11841497563065451</v>
      </c>
      <c r="AK76" t="b">
        <f t="shared" si="84"/>
        <v>0</v>
      </c>
      <c r="AL76" t="b">
        <f t="shared" si="85"/>
        <v>0</v>
      </c>
      <c r="AM76" t="b">
        <f t="shared" si="86"/>
        <v>0</v>
      </c>
      <c r="AN76" t="b">
        <f t="shared" si="87"/>
        <v>1</v>
      </c>
    </row>
    <row r="77" spans="1:40" x14ac:dyDescent="0.35">
      <c r="A77">
        <f t="shared" si="88"/>
        <v>76</v>
      </c>
      <c r="B77" t="str">
        <f t="shared" si="69"/>
        <v>Klabin4365703/04/2029</v>
      </c>
      <c r="C77" t="s">
        <v>323</v>
      </c>
      <c r="D77" t="b">
        <f t="shared" si="78"/>
        <v>1</v>
      </c>
      <c r="E77" s="50">
        <v>43657</v>
      </c>
      <c r="F77" s="54">
        <f>VLOOKUP(A77,Base!B:K,10,0)</f>
        <v>43657</v>
      </c>
      <c r="G77" s="28" t="s">
        <v>327</v>
      </c>
      <c r="H77" s="14">
        <f>NETWORKDAYS($F77,$G77,Feriados!$A$2:$A$1189)</f>
        <v>2444</v>
      </c>
      <c r="I77" s="14">
        <f t="shared" si="79"/>
        <v>3502</v>
      </c>
      <c r="J77" t="s">
        <v>651</v>
      </c>
      <c r="K77" s="29">
        <v>5.7500000000000002E-2</v>
      </c>
      <c r="L77" s="30">
        <v>50850.44</v>
      </c>
      <c r="M77" s="31">
        <v>47119</v>
      </c>
      <c r="N77" s="18">
        <f>NETWORKDAYS($F77,$M77,Feriados!$A$2:$A$1189)</f>
        <v>2381</v>
      </c>
      <c r="O77" s="30">
        <v>47135.29</v>
      </c>
      <c r="P77" s="31">
        <v>47484</v>
      </c>
      <c r="Q77" s="18">
        <f>NETWORKDAYS($F77,$P77,Feriados!$A$2:$A$1189)</f>
        <v>2631</v>
      </c>
      <c r="R77" s="17">
        <f t="shared" ref="R77:R106" si="89">$L77*(($O77/$L77)^(($H77-$N77)/($Q77-$N77)))</f>
        <v>49887.493608911682</v>
      </c>
      <c r="S77" s="26">
        <v>3.2</v>
      </c>
      <c r="T77" s="27">
        <v>47119</v>
      </c>
      <c r="U77" s="23">
        <f t="shared" ref="U77:U106" si="90">DAYS360($F77,T77,0)</f>
        <v>3410</v>
      </c>
      <c r="V77" s="26">
        <v>3.41</v>
      </c>
      <c r="W77" s="27">
        <v>47484</v>
      </c>
      <c r="X77" s="35">
        <f t="shared" ref="X77:X106" si="91">DAYS360($F77,W77,0)</f>
        <v>3770</v>
      </c>
      <c r="Y77" s="33">
        <f t="shared" ref="Y77:Y106" si="92">(1+S77%)^(U77/360)</f>
        <v>1.3476500528686737</v>
      </c>
      <c r="Z77" s="33">
        <f t="shared" ref="Z77:Z106" si="93">(1+V77%)^(X77/360)</f>
        <v>1.4206991983095762</v>
      </c>
      <c r="AA77" s="24">
        <f t="shared" ref="AA77:AA106" si="94">(I77-U77)/(X77-U77)</f>
        <v>0.25555555555555554</v>
      </c>
      <c r="AB77" s="24">
        <f t="shared" ref="AB77:AB106" si="95">(Y77*((Z77/Y77)^AA77))^(360/I77)-1</f>
        <v>3.2577310930885783E-2</v>
      </c>
      <c r="AC77" s="25">
        <f t="shared" ref="AC77:AC106" si="96">IFERROR(($AG$1/$R77)^(252/$H77)-1,"NA")</f>
        <v>7.4335615985741565E-2</v>
      </c>
      <c r="AD77" s="25">
        <f t="shared" si="80"/>
        <v>3.2577310930885783E-2</v>
      </c>
      <c r="AE77" s="21">
        <f t="shared" si="81"/>
        <v>4.4269902276530715E-2</v>
      </c>
      <c r="AF77" s="21">
        <f t="shared" si="82"/>
        <v>2.7905437766002184E-2</v>
      </c>
      <c r="AG77" s="9">
        <f t="shared" si="83"/>
        <v>0.10224105375174375</v>
      </c>
      <c r="AK77" t="b">
        <f t="shared" si="84"/>
        <v>1</v>
      </c>
      <c r="AL77" t="b">
        <f t="shared" si="85"/>
        <v>1</v>
      </c>
      <c r="AM77" t="b">
        <f t="shared" si="86"/>
        <v>1</v>
      </c>
      <c r="AN77" t="b">
        <f t="shared" si="87"/>
        <v>1</v>
      </c>
    </row>
    <row r="78" spans="1:40" x14ac:dyDescent="0.35">
      <c r="A78">
        <f t="shared" si="88"/>
        <v>77</v>
      </c>
      <c r="B78" t="str">
        <f t="shared" si="69"/>
        <v>Light Energia4436518/06/2026</v>
      </c>
      <c r="C78" t="s">
        <v>332</v>
      </c>
      <c r="D78" t="b">
        <f t="shared" si="78"/>
        <v>1</v>
      </c>
      <c r="E78" s="50">
        <v>44365</v>
      </c>
      <c r="F78" s="54">
        <f>VLOOKUP(A78,Base!B:K,10,0)</f>
        <v>44365</v>
      </c>
      <c r="G78" s="28" t="s">
        <v>367</v>
      </c>
      <c r="H78" s="14">
        <f>NETWORKDAYS($F78,$G78,Feriados!$A$2:$A$1189)</f>
        <v>1258</v>
      </c>
      <c r="I78" s="14">
        <f t="shared" si="79"/>
        <v>1800</v>
      </c>
      <c r="J78" t="s">
        <v>651</v>
      </c>
      <c r="K78" s="29">
        <v>4.3749999999999997E-2</v>
      </c>
      <c r="L78" s="30">
        <v>67250.55</v>
      </c>
      <c r="M78" s="31">
        <v>46113</v>
      </c>
      <c r="N78" s="18">
        <f>NETWORKDAYS($F78,$M78,Feriados!$A$2:$A$1189)</f>
        <v>1206</v>
      </c>
      <c r="O78" s="30">
        <v>65749.02</v>
      </c>
      <c r="P78" s="31">
        <v>46204</v>
      </c>
      <c r="Q78" s="18">
        <f>NETWORKDAYS($F78,$P78,Feriados!$A$2:$A$1189)</f>
        <v>1267</v>
      </c>
      <c r="R78" s="17">
        <f t="shared" si="89"/>
        <v>65968.430707934094</v>
      </c>
      <c r="S78" s="26">
        <v>1.4</v>
      </c>
      <c r="T78" s="27">
        <v>46113</v>
      </c>
      <c r="U78" s="23">
        <f t="shared" si="90"/>
        <v>1723</v>
      </c>
      <c r="V78" s="26">
        <v>1.33</v>
      </c>
      <c r="W78" s="27">
        <v>46204</v>
      </c>
      <c r="X78" s="35">
        <f t="shared" si="91"/>
        <v>1813</v>
      </c>
      <c r="Y78" s="33">
        <f t="shared" si="92"/>
        <v>1.068804622683065</v>
      </c>
      <c r="Z78" s="33">
        <f t="shared" si="93"/>
        <v>1.0688024000254337</v>
      </c>
      <c r="AA78" s="24">
        <f t="shared" si="94"/>
        <v>0.85555555555555551</v>
      </c>
      <c r="AB78" s="24">
        <f t="shared" si="95"/>
        <v>1.3396757006676419E-2</v>
      </c>
      <c r="AC78" s="25">
        <f t="shared" si="96"/>
        <v>8.6901565264928982E-2</v>
      </c>
      <c r="AD78" s="25">
        <f t="shared" si="80"/>
        <v>1.3396757006676419E-2</v>
      </c>
      <c r="AE78" s="21">
        <f t="shared" si="81"/>
        <v>7.2876411963518795E-2</v>
      </c>
      <c r="AF78" s="21">
        <f t="shared" si="82"/>
        <v>3.0281665583921757E-2</v>
      </c>
      <c r="AG78" s="9">
        <f t="shared" si="83"/>
        <v>0.11718323084885074</v>
      </c>
      <c r="AK78" t="b">
        <f t="shared" si="84"/>
        <v>1</v>
      </c>
      <c r="AL78" t="b">
        <f t="shared" si="85"/>
        <v>1</v>
      </c>
      <c r="AM78" t="b">
        <f t="shared" si="86"/>
        <v>1</v>
      </c>
      <c r="AN78" t="b">
        <f t="shared" si="87"/>
        <v>1</v>
      </c>
    </row>
    <row r="79" spans="1:40" x14ac:dyDescent="0.35">
      <c r="A79">
        <f t="shared" si="88"/>
        <v>78</v>
      </c>
      <c r="B79" t="str">
        <f t="shared" si="69"/>
        <v>Light Energia4322203/05/2023</v>
      </c>
      <c r="C79" t="s">
        <v>332</v>
      </c>
      <c r="D79" t="b">
        <f t="shared" si="78"/>
        <v>1</v>
      </c>
      <c r="E79" s="50">
        <v>43222</v>
      </c>
      <c r="F79" s="54">
        <f>VLOOKUP(A79,Base!B:K,10,0)</f>
        <v>43222</v>
      </c>
      <c r="G79" s="28" t="s">
        <v>368</v>
      </c>
      <c r="H79" s="14">
        <f>NETWORKDAYS($F79,$G79,Feriados!$A$2:$A$1189)</f>
        <v>1257</v>
      </c>
      <c r="I79" s="14">
        <f t="shared" si="79"/>
        <v>1801</v>
      </c>
      <c r="J79" t="s">
        <v>651</v>
      </c>
      <c r="K79" s="29">
        <v>7.2499999999999995E-2</v>
      </c>
      <c r="L79" s="30">
        <v>64663.34</v>
      </c>
      <c r="M79" s="31">
        <v>45017</v>
      </c>
      <c r="N79" s="18">
        <f>NETWORKDAYS($F79,$M79,Feriados!$A$2:$A$1189)</f>
        <v>1237</v>
      </c>
      <c r="O79" s="30">
        <v>63073.64</v>
      </c>
      <c r="P79" s="31">
        <v>45108</v>
      </c>
      <c r="Q79" s="18">
        <f>NETWORKDAYS($F79,$P79,Feriados!$A$2:$A$1189)</f>
        <v>1298</v>
      </c>
      <c r="R79" s="17">
        <f t="shared" si="89"/>
        <v>64137.76066960147</v>
      </c>
      <c r="S79" s="26">
        <v>4.4400000000000004</v>
      </c>
      <c r="T79" s="27">
        <v>45017</v>
      </c>
      <c r="U79" s="23">
        <f t="shared" si="90"/>
        <v>1769</v>
      </c>
      <c r="V79" s="26">
        <v>4.46</v>
      </c>
      <c r="W79" s="27">
        <v>45108</v>
      </c>
      <c r="X79" s="35">
        <f t="shared" si="91"/>
        <v>1859</v>
      </c>
      <c r="Y79" s="33">
        <f t="shared" si="92"/>
        <v>1.2379687136920479</v>
      </c>
      <c r="Z79" s="33">
        <f t="shared" si="93"/>
        <v>1.2527251758616529</v>
      </c>
      <c r="AA79" s="24">
        <f t="shared" si="94"/>
        <v>0.35555555555555557</v>
      </c>
      <c r="AB79" s="24">
        <f t="shared" si="95"/>
        <v>4.447339674860129E-2</v>
      </c>
      <c r="AC79" s="25">
        <f t="shared" si="96"/>
        <v>9.3123702277399412E-2</v>
      </c>
      <c r="AD79" s="25">
        <f t="shared" si="80"/>
        <v>4.447339674860129E-2</v>
      </c>
      <c r="AE79" s="21">
        <f t="shared" si="81"/>
        <v>4.9974052137493619E-2</v>
      </c>
      <c r="AF79" s="21">
        <f t="shared" si="82"/>
        <v>3.0164443942955366E-2</v>
      </c>
      <c r="AG79" s="9">
        <f t="shared" si="83"/>
        <v>0.12328814622035478</v>
      </c>
      <c r="AK79" t="b">
        <f t="shared" si="84"/>
        <v>1</v>
      </c>
      <c r="AL79" t="b">
        <f t="shared" si="85"/>
        <v>1</v>
      </c>
      <c r="AM79" t="b">
        <f t="shared" si="86"/>
        <v>1</v>
      </c>
      <c r="AN79" t="b">
        <f t="shared" si="87"/>
        <v>1</v>
      </c>
    </row>
    <row r="80" spans="1:40" x14ac:dyDescent="0.35">
      <c r="A80">
        <f t="shared" si="88"/>
        <v>79</v>
      </c>
      <c r="B80" t="str">
        <f t="shared" si="69"/>
        <v>Marfrig4422529/01/2031</v>
      </c>
      <c r="C80" t="s">
        <v>370</v>
      </c>
      <c r="D80" t="b">
        <f t="shared" si="78"/>
        <v>1</v>
      </c>
      <c r="E80" s="50">
        <v>44225</v>
      </c>
      <c r="F80" s="54">
        <f>VLOOKUP(A80,Base!B:K,10,0)</f>
        <v>44225</v>
      </c>
      <c r="G80" s="28" t="s">
        <v>374</v>
      </c>
      <c r="H80" s="14">
        <f>NETWORKDAYS($F80,$G80,Feriados!$A$2:$A$1189)</f>
        <v>2512</v>
      </c>
      <c r="I80" s="14">
        <f t="shared" si="79"/>
        <v>3600</v>
      </c>
      <c r="J80" t="s">
        <v>651</v>
      </c>
      <c r="K80" s="29">
        <v>3.95E-2</v>
      </c>
      <c r="L80" s="30">
        <v>47668.73</v>
      </c>
      <c r="M80" s="31">
        <v>44197</v>
      </c>
      <c r="N80" s="18">
        <f>NETWORKDAYS($F80,$M80,Feriados!$A$2:$A$1189)</f>
        <v>-20</v>
      </c>
      <c r="O80" s="30">
        <v>40163.85</v>
      </c>
      <c r="P80" s="31">
        <v>48580</v>
      </c>
      <c r="Q80" s="18">
        <f>NETWORKDAYS($F80,$P80,Feriados!$A$2:$A$1189)</f>
        <v>2997</v>
      </c>
      <c r="R80" s="17">
        <f t="shared" si="89"/>
        <v>41285.28431220528</v>
      </c>
      <c r="S80" s="26">
        <v>1.58</v>
      </c>
      <c r="T80" s="27">
        <v>47849</v>
      </c>
      <c r="U80" s="23">
        <f t="shared" si="90"/>
        <v>3572</v>
      </c>
      <c r="V80" s="26">
        <v>1.74</v>
      </c>
      <c r="W80" s="27">
        <v>48580</v>
      </c>
      <c r="X80" s="35">
        <f t="shared" si="91"/>
        <v>4292</v>
      </c>
      <c r="Y80" s="33">
        <f t="shared" si="92"/>
        <v>1.1682951064445277</v>
      </c>
      <c r="Z80" s="33">
        <f t="shared" si="93"/>
        <v>1.228338627155922</v>
      </c>
      <c r="AA80" s="24">
        <f t="shared" si="94"/>
        <v>3.888888888888889E-2</v>
      </c>
      <c r="AB80" s="24">
        <f t="shared" si="95"/>
        <v>1.587412705878255E-2</v>
      </c>
      <c r="AC80" s="25">
        <f t="shared" si="96"/>
        <v>9.2805394587134993E-2</v>
      </c>
      <c r="AD80" s="25">
        <f t="shared" si="80"/>
        <v>1.587412705878255E-2</v>
      </c>
      <c r="AE80" s="21">
        <f t="shared" si="81"/>
        <v>7.6772126534445873E-2</v>
      </c>
      <c r="AF80" s="21">
        <f t="shared" si="82"/>
        <v>2.424881051711214E-2</v>
      </c>
      <c r="AG80" s="9">
        <f t="shared" si="83"/>
        <v>0.11705420510424713</v>
      </c>
      <c r="AK80" t="b">
        <f t="shared" si="84"/>
        <v>1</v>
      </c>
      <c r="AL80" t="b">
        <f t="shared" si="85"/>
        <v>1</v>
      </c>
      <c r="AM80" t="b">
        <f t="shared" si="86"/>
        <v>1</v>
      </c>
      <c r="AN80" t="b">
        <f t="shared" si="87"/>
        <v>1</v>
      </c>
    </row>
    <row r="81" spans="1:40" x14ac:dyDescent="0.35">
      <c r="A81">
        <f t="shared" si="88"/>
        <v>80</v>
      </c>
      <c r="B81" t="str">
        <f t="shared" si="69"/>
        <v>Marfrig4311919/01/2025</v>
      </c>
      <c r="C81" t="s">
        <v>370</v>
      </c>
      <c r="D81" t="b">
        <f t="shared" si="78"/>
        <v>1</v>
      </c>
      <c r="E81" s="50">
        <v>43119</v>
      </c>
      <c r="F81" s="54">
        <f>VLOOKUP(A81,Base!B:K,10,0)</f>
        <v>43119</v>
      </c>
      <c r="G81" s="28" t="s">
        <v>375</v>
      </c>
      <c r="H81" s="14">
        <f>NETWORKDAYS($F81,$G81,Feriados!$A$2:$A$1189)</f>
        <v>1758</v>
      </c>
      <c r="I81" s="14">
        <f t="shared" si="79"/>
        <v>2520</v>
      </c>
      <c r="J81" t="s">
        <v>651</v>
      </c>
      <c r="K81" s="29">
        <v>6.8750000000000006E-2</v>
      </c>
      <c r="L81" s="30">
        <v>51471.519999999997</v>
      </c>
      <c r="M81" s="31">
        <v>45658</v>
      </c>
      <c r="N81" s="18">
        <f>NETWORKDAYS($F81,$M81,Feriados!$A$2:$A$1189)</f>
        <v>1746</v>
      </c>
      <c r="O81" s="30">
        <v>46346.63</v>
      </c>
      <c r="P81" s="31">
        <v>46023</v>
      </c>
      <c r="Q81" s="18">
        <f>NETWORKDAYS($F81,$P81,Feriados!$A$2:$A$1189)</f>
        <v>1999</v>
      </c>
      <c r="R81" s="17">
        <f t="shared" si="89"/>
        <v>51216.108235448541</v>
      </c>
      <c r="S81" s="26">
        <v>3.81</v>
      </c>
      <c r="T81" s="27">
        <v>45658</v>
      </c>
      <c r="U81" s="23">
        <f t="shared" si="90"/>
        <v>2502</v>
      </c>
      <c r="V81" s="26">
        <v>3.96</v>
      </c>
      <c r="W81" s="27">
        <v>46023</v>
      </c>
      <c r="X81" s="35">
        <f t="shared" si="91"/>
        <v>2862</v>
      </c>
      <c r="Y81" s="33">
        <f t="shared" si="92"/>
        <v>1.2967682769242721</v>
      </c>
      <c r="Z81" s="33">
        <f t="shared" si="93"/>
        <v>1.3617169804285263</v>
      </c>
      <c r="AA81" s="24">
        <f t="shared" si="94"/>
        <v>0.05</v>
      </c>
      <c r="AB81" s="24">
        <f t="shared" si="95"/>
        <v>3.8185120580967791E-2</v>
      </c>
      <c r="AC81" s="25">
        <f t="shared" si="96"/>
        <v>0.10066467985522887</v>
      </c>
      <c r="AD81" s="25">
        <f t="shared" si="80"/>
        <v>3.8185120580967791E-2</v>
      </c>
      <c r="AE81" s="21">
        <f t="shared" si="81"/>
        <v>6.3917644940598706E-2</v>
      </c>
      <c r="AF81" s="21">
        <f t="shared" si="82"/>
        <v>3.3068475659474794E-2</v>
      </c>
      <c r="AG81" s="9">
        <f t="shared" si="83"/>
        <v>0.13373315551470366</v>
      </c>
      <c r="AK81" t="b">
        <f t="shared" si="84"/>
        <v>1</v>
      </c>
      <c r="AL81" t="b">
        <f t="shared" si="85"/>
        <v>1</v>
      </c>
      <c r="AM81" t="b">
        <f t="shared" si="86"/>
        <v>1</v>
      </c>
      <c r="AN81" t="b">
        <f t="shared" si="87"/>
        <v>1</v>
      </c>
    </row>
    <row r="82" spans="1:40" x14ac:dyDescent="0.35">
      <c r="A82">
        <f t="shared" si="88"/>
        <v>81</v>
      </c>
      <c r="B82" t="str">
        <f t="shared" si="69"/>
        <v>Marfrig4280915/03/2024</v>
      </c>
      <c r="C82" t="s">
        <v>370</v>
      </c>
      <c r="D82" t="b">
        <f t="shared" si="78"/>
        <v>1</v>
      </c>
      <c r="E82" s="50">
        <v>42809</v>
      </c>
      <c r="F82" s="54">
        <f>VLOOKUP(A82,Base!B:K,10,0)</f>
        <v>42809</v>
      </c>
      <c r="G82" s="28" t="s">
        <v>376</v>
      </c>
      <c r="H82" s="14">
        <f>NETWORKDAYS($F82,$G82,Feriados!$A$2:$A$1189)</f>
        <v>1756</v>
      </c>
      <c r="I82" s="14">
        <f t="shared" si="79"/>
        <v>2520</v>
      </c>
      <c r="J82" t="s">
        <v>651</v>
      </c>
      <c r="K82" s="29">
        <v>7.0000000000000007E-2</v>
      </c>
      <c r="L82" s="30">
        <v>51519.94</v>
      </c>
      <c r="M82" s="31">
        <v>45292</v>
      </c>
      <c r="N82" s="18">
        <f>NETWORKDAYS($F82,$M82,Feriados!$A$2:$A$1189)</f>
        <v>1704</v>
      </c>
      <c r="O82" s="30">
        <v>49047.4</v>
      </c>
      <c r="P82" s="31">
        <v>45474</v>
      </c>
      <c r="Q82" s="18">
        <f>NETWORKDAYS($F82,$P82,Feriados!$A$2:$A$1189)</f>
        <v>1829</v>
      </c>
      <c r="R82" s="17">
        <f t="shared" si="89"/>
        <v>50476.572284056521</v>
      </c>
      <c r="S82" s="26">
        <v>4.74</v>
      </c>
      <c r="T82" s="27">
        <v>45292</v>
      </c>
      <c r="U82" s="23">
        <f t="shared" si="90"/>
        <v>2446</v>
      </c>
      <c r="V82" s="26">
        <v>5.0199999999999996</v>
      </c>
      <c r="W82" s="27">
        <v>45658</v>
      </c>
      <c r="X82" s="35">
        <f t="shared" si="91"/>
        <v>2806</v>
      </c>
      <c r="Y82" s="33">
        <f t="shared" si="92"/>
        <v>1.3697891962858335</v>
      </c>
      <c r="Z82" s="33">
        <f t="shared" si="93"/>
        <v>1.4648849965815294</v>
      </c>
      <c r="AA82" s="24">
        <f t="shared" si="94"/>
        <v>0.20555555555555555</v>
      </c>
      <c r="AB82" s="24">
        <f t="shared" si="95"/>
        <v>4.8040217028333609E-2</v>
      </c>
      <c r="AC82" s="25">
        <f t="shared" si="96"/>
        <v>0.10308498449766423</v>
      </c>
      <c r="AD82" s="25">
        <f t="shared" si="80"/>
        <v>4.8040217028333609E-2</v>
      </c>
      <c r="AE82" s="21">
        <f t="shared" si="81"/>
        <v>5.813629562587308E-2</v>
      </c>
      <c r="AF82" s="21">
        <f t="shared" si="82"/>
        <v>2.6399463532976508E-2</v>
      </c>
      <c r="AG82" s="9">
        <f t="shared" si="83"/>
        <v>0.12948444803064074</v>
      </c>
      <c r="AK82" t="b">
        <f t="shared" si="84"/>
        <v>1</v>
      </c>
      <c r="AL82" t="b">
        <f t="shared" si="85"/>
        <v>1</v>
      </c>
      <c r="AM82" t="b">
        <f t="shared" si="86"/>
        <v>1</v>
      </c>
      <c r="AN82" t="b">
        <f t="shared" si="87"/>
        <v>1</v>
      </c>
    </row>
    <row r="83" spans="1:40" x14ac:dyDescent="0.35">
      <c r="A83">
        <f t="shared" si="88"/>
        <v>82</v>
      </c>
      <c r="B83" t="str">
        <f t="shared" si="69"/>
        <v>Marfrig4252908/06/2023</v>
      </c>
      <c r="C83" t="s">
        <v>370</v>
      </c>
      <c r="D83" t="b">
        <f t="shared" si="78"/>
        <v>1</v>
      </c>
      <c r="E83" s="50">
        <v>42529</v>
      </c>
      <c r="F83" s="54">
        <f>VLOOKUP(A83,Base!B:K,10,0)</f>
        <v>42529</v>
      </c>
      <c r="G83" s="28" t="s">
        <v>378</v>
      </c>
      <c r="H83" s="14">
        <f>NETWORKDAYS($F83,$G83,Feriados!$A$2:$A$1189)</f>
        <v>1757</v>
      </c>
      <c r="I83" s="14">
        <f t="shared" si="79"/>
        <v>2520</v>
      </c>
      <c r="J83" t="s">
        <v>651</v>
      </c>
      <c r="K83" s="29">
        <v>0.08</v>
      </c>
      <c r="L83" s="30">
        <v>46429.27</v>
      </c>
      <c r="M83" s="31">
        <v>44927</v>
      </c>
      <c r="N83" s="18">
        <f>NETWORKDAYS($F83,$M83,Feriados!$A$2:$A$1189)</f>
        <v>1649</v>
      </c>
      <c r="O83" s="30">
        <v>43752.4</v>
      </c>
      <c r="P83" s="31">
        <v>45108</v>
      </c>
      <c r="Q83" s="18">
        <f>NETWORKDAYS($F83,$P83,Feriados!$A$2:$A$1189)</f>
        <v>1773</v>
      </c>
      <c r="R83" s="17">
        <f t="shared" si="89"/>
        <v>44088.936142079292</v>
      </c>
      <c r="S83" s="26">
        <v>5.05</v>
      </c>
      <c r="T83" s="27">
        <v>44927</v>
      </c>
      <c r="U83" s="23">
        <f t="shared" si="90"/>
        <v>2363</v>
      </c>
      <c r="V83" s="26">
        <v>5.45</v>
      </c>
      <c r="W83" s="27">
        <v>45292</v>
      </c>
      <c r="X83" s="35">
        <f t="shared" si="91"/>
        <v>2723</v>
      </c>
      <c r="Y83" s="33">
        <f t="shared" si="92"/>
        <v>1.3817877529024571</v>
      </c>
      <c r="Z83" s="33">
        <f t="shared" si="93"/>
        <v>1.4939009423474563</v>
      </c>
      <c r="AA83" s="24">
        <f t="shared" si="94"/>
        <v>0.43611111111111112</v>
      </c>
      <c r="AB83" s="24">
        <f t="shared" si="95"/>
        <v>5.2383075251593025E-2</v>
      </c>
      <c r="AC83" s="25">
        <f t="shared" si="96"/>
        <v>0.12463730393801753</v>
      </c>
      <c r="AD83" s="25">
        <f t="shared" si="80"/>
        <v>5.2383075251593025E-2</v>
      </c>
      <c r="AE83" s="21">
        <f t="shared" si="81"/>
        <v>7.5360854658817145E-2</v>
      </c>
      <c r="AF83" s="21">
        <f t="shared" si="82"/>
        <v>3.2679352680916152E-2</v>
      </c>
      <c r="AG83" s="9">
        <f t="shared" si="83"/>
        <v>0.15731665661893368</v>
      </c>
      <c r="AK83" t="b">
        <f t="shared" si="84"/>
        <v>1</v>
      </c>
      <c r="AL83" t="b">
        <f t="shared" si="85"/>
        <v>1</v>
      </c>
      <c r="AM83" t="b">
        <f t="shared" si="86"/>
        <v>1</v>
      </c>
      <c r="AN83" t="b">
        <f t="shared" si="87"/>
        <v>1</v>
      </c>
    </row>
    <row r="84" spans="1:40" x14ac:dyDescent="0.35">
      <c r="A84">
        <f t="shared" si="88"/>
        <v>83</v>
      </c>
      <c r="B84" t="str">
        <f t="shared" si="69"/>
        <v>Marfrig4181424/06/2019</v>
      </c>
      <c r="C84" t="s">
        <v>370</v>
      </c>
      <c r="D84" t="b">
        <f t="shared" si="78"/>
        <v>1</v>
      </c>
      <c r="E84" s="50">
        <v>41814</v>
      </c>
      <c r="F84" s="54">
        <f>VLOOKUP(A84,Base!B:K,10,0)</f>
        <v>41814</v>
      </c>
      <c r="G84" s="28" t="s">
        <v>379</v>
      </c>
      <c r="H84" s="14">
        <f>NETWORKDAYS($F84,$G84,Feriados!$A$2:$A$1189)</f>
        <v>1255</v>
      </c>
      <c r="I84" s="14">
        <f t="shared" si="79"/>
        <v>1800</v>
      </c>
      <c r="J84" t="s">
        <v>651</v>
      </c>
      <c r="K84" s="29">
        <v>6.8750000000000006E-2</v>
      </c>
      <c r="L84" s="30">
        <v>58918.55</v>
      </c>
      <c r="M84" s="31">
        <v>43556</v>
      </c>
      <c r="N84" s="18">
        <f>NETWORKDAYS($F84,$M84,Feriados!$A$2:$A$1189)</f>
        <v>1198</v>
      </c>
      <c r="O84" s="30">
        <v>57300.43</v>
      </c>
      <c r="P84" s="31">
        <v>43647</v>
      </c>
      <c r="Q84" s="18">
        <f>NETWORKDAYS($F84,$P84,Feriados!$A$2:$A$1189)</f>
        <v>1260</v>
      </c>
      <c r="R84" s="17">
        <f t="shared" si="89"/>
        <v>57429.259607114262</v>
      </c>
      <c r="S84" s="26">
        <v>3.13</v>
      </c>
      <c r="T84" s="27">
        <v>43556</v>
      </c>
      <c r="U84" s="23">
        <f t="shared" si="90"/>
        <v>1717</v>
      </c>
      <c r="V84" s="26">
        <v>3.24</v>
      </c>
      <c r="W84" s="27">
        <v>43647</v>
      </c>
      <c r="X84" s="35">
        <f t="shared" si="91"/>
        <v>1807</v>
      </c>
      <c r="Y84" s="33">
        <f t="shared" si="92"/>
        <v>1.1583481210716622</v>
      </c>
      <c r="Z84" s="33">
        <f t="shared" si="93"/>
        <v>1.1735706670477113</v>
      </c>
      <c r="AA84" s="24">
        <f t="shared" si="94"/>
        <v>0.92222222222222228</v>
      </c>
      <c r="AB84" s="24">
        <f t="shared" si="95"/>
        <v>3.2318349227133503E-2</v>
      </c>
      <c r="AC84" s="25">
        <f t="shared" si="96"/>
        <v>0.11780302936894937</v>
      </c>
      <c r="AD84" s="25">
        <f t="shared" si="80"/>
        <v>3.2318349227133503E-2</v>
      </c>
      <c r="AE84" s="21">
        <f t="shared" si="81"/>
        <v>8.4682774477002676E-2</v>
      </c>
      <c r="AF84" s="21">
        <f t="shared" si="82"/>
        <v>3.7083175447063077E-2</v>
      </c>
      <c r="AG84" s="9">
        <f t="shared" si="83"/>
        <v>0.15488620481601245</v>
      </c>
      <c r="AK84" t="b">
        <f t="shared" si="84"/>
        <v>1</v>
      </c>
      <c r="AL84" t="b">
        <f t="shared" si="85"/>
        <v>1</v>
      </c>
      <c r="AM84" t="b">
        <f t="shared" si="86"/>
        <v>1</v>
      </c>
      <c r="AN84" t="b">
        <f t="shared" si="87"/>
        <v>1</v>
      </c>
    </row>
    <row r="85" spans="1:40" x14ac:dyDescent="0.35">
      <c r="A85">
        <f t="shared" si="88"/>
        <v>84</v>
      </c>
      <c r="B85" t="str">
        <f t="shared" si="69"/>
        <v>Marfrig4067209/05/2018</v>
      </c>
      <c r="C85" t="s">
        <v>370</v>
      </c>
      <c r="D85" t="b">
        <f t="shared" si="78"/>
        <v>1</v>
      </c>
      <c r="E85" s="50">
        <v>40672</v>
      </c>
      <c r="F85" s="54">
        <f>VLOOKUP(A85,Base!B:K,10,0)</f>
        <v>40672</v>
      </c>
      <c r="G85" s="28" t="s">
        <v>380</v>
      </c>
      <c r="H85" s="14">
        <f>NETWORKDAYS($F85,$G85,Feriados!$A$2:$A$1189)</f>
        <v>1760</v>
      </c>
      <c r="I85" s="14">
        <f t="shared" si="79"/>
        <v>2520</v>
      </c>
      <c r="J85" t="s">
        <v>651</v>
      </c>
      <c r="K85" s="29">
        <v>8.3750000000000005E-2</v>
      </c>
      <c r="L85" s="30">
        <v>46179.76</v>
      </c>
      <c r="M85" s="31">
        <v>43101</v>
      </c>
      <c r="N85" s="18">
        <f>NETWORKDAYS($F85,$M85,Feriados!$A$2:$A$1189)</f>
        <v>1672</v>
      </c>
      <c r="O85" s="30">
        <v>41197.379999999997</v>
      </c>
      <c r="P85" s="31">
        <v>43647</v>
      </c>
      <c r="Q85" s="18">
        <f>NETWORKDAYS($F85,$P85,Feriados!$A$2:$A$1189)</f>
        <v>2046</v>
      </c>
      <c r="R85" s="17">
        <f t="shared" si="89"/>
        <v>44955.755560086676</v>
      </c>
      <c r="S85" s="26">
        <v>4.83</v>
      </c>
      <c r="T85" s="27">
        <v>43101</v>
      </c>
      <c r="U85" s="23">
        <f t="shared" si="90"/>
        <v>2392</v>
      </c>
      <c r="V85" s="26">
        <v>5.24</v>
      </c>
      <c r="W85" s="27">
        <v>43466</v>
      </c>
      <c r="X85" s="35">
        <f t="shared" si="91"/>
        <v>2752</v>
      </c>
      <c r="Y85" s="33">
        <f t="shared" si="92"/>
        <v>1.3680921052030104</v>
      </c>
      <c r="Z85" s="33">
        <f t="shared" si="93"/>
        <v>1.4776112691290018</v>
      </c>
      <c r="AA85" s="24">
        <f t="shared" si="94"/>
        <v>0.35555555555555557</v>
      </c>
      <c r="AB85" s="24">
        <f t="shared" si="95"/>
        <v>4.9890085501931525E-2</v>
      </c>
      <c r="AC85" s="25">
        <f t="shared" si="96"/>
        <v>0.12128195204550685</v>
      </c>
      <c r="AD85" s="25">
        <f t="shared" si="80"/>
        <v>4.9890085501931525E-2</v>
      </c>
      <c r="AE85" s="21">
        <f t="shared" si="81"/>
        <v>7.4209171088448267E-2</v>
      </c>
      <c r="AF85" s="21">
        <f t="shared" si="82"/>
        <v>3.8252856066533836E-2</v>
      </c>
      <c r="AG85" s="9">
        <f t="shared" si="83"/>
        <v>0.15953480811204068</v>
      </c>
      <c r="AK85" t="b">
        <f t="shared" si="84"/>
        <v>1</v>
      </c>
      <c r="AL85" t="b">
        <f t="shared" si="85"/>
        <v>1</v>
      </c>
      <c r="AM85" t="b">
        <f t="shared" si="86"/>
        <v>1</v>
      </c>
      <c r="AN85" t="b">
        <f t="shared" si="87"/>
        <v>1</v>
      </c>
    </row>
    <row r="86" spans="1:40" x14ac:dyDescent="0.35">
      <c r="A86">
        <f t="shared" si="88"/>
        <v>85</v>
      </c>
      <c r="B86" t="str">
        <f t="shared" si="69"/>
        <v>Marfrig4153720/09/2021</v>
      </c>
      <c r="C86" t="s">
        <v>370</v>
      </c>
      <c r="D86" t="b">
        <f t="shared" si="78"/>
        <v>1</v>
      </c>
      <c r="E86" s="50">
        <v>41537</v>
      </c>
      <c r="F86" s="54">
        <f>VLOOKUP(A86,Base!B:K,10,0)</f>
        <v>41537</v>
      </c>
      <c r="G86" s="28" t="s">
        <v>381</v>
      </c>
      <c r="H86" s="14">
        <f>NETWORKDAYS($F86,$G86,Feriados!$A$2:$A$1189)</f>
        <v>2008</v>
      </c>
      <c r="I86" s="14">
        <f t="shared" si="79"/>
        <v>2880</v>
      </c>
      <c r="J86" t="s">
        <v>651</v>
      </c>
      <c r="K86" s="29">
        <v>0.1125</v>
      </c>
      <c r="L86" s="30">
        <v>42870.25</v>
      </c>
      <c r="M86" s="31">
        <v>44378</v>
      </c>
      <c r="N86" s="18">
        <f>NETWORKDAYS($F86,$M86,Feriados!$A$2:$A$1189)</f>
        <v>1952</v>
      </c>
      <c r="O86" s="30">
        <v>41647.54</v>
      </c>
      <c r="P86" s="31">
        <v>44470</v>
      </c>
      <c r="Q86" s="18">
        <f>NETWORKDAYS($F86,$P86,Feriados!$A$2:$A$1189)</f>
        <v>2017</v>
      </c>
      <c r="R86" s="17">
        <f t="shared" si="89"/>
        <v>41814.735438635398</v>
      </c>
      <c r="S86" s="26">
        <v>4.5599999999999996</v>
      </c>
      <c r="T86" s="27">
        <v>44378</v>
      </c>
      <c r="U86" s="23">
        <f t="shared" si="90"/>
        <v>2801</v>
      </c>
      <c r="V86" s="26">
        <v>4.74</v>
      </c>
      <c r="W86" s="27">
        <v>44562</v>
      </c>
      <c r="X86" s="35">
        <f t="shared" si="91"/>
        <v>2981</v>
      </c>
      <c r="Y86" s="33">
        <f t="shared" si="92"/>
        <v>1.4147344491015934</v>
      </c>
      <c r="Z86" s="33">
        <f t="shared" si="93"/>
        <v>1.4673822103617498</v>
      </c>
      <c r="AA86" s="24">
        <f t="shared" si="94"/>
        <v>0.43888888888888888</v>
      </c>
      <c r="AB86" s="24">
        <f t="shared" si="95"/>
        <v>4.6417321102580678E-2</v>
      </c>
      <c r="AC86" s="25">
        <f t="shared" si="96"/>
        <v>0.11563572240978703</v>
      </c>
      <c r="AD86" s="25">
        <f t="shared" si="80"/>
        <v>4.6417321102580678E-2</v>
      </c>
      <c r="AE86" s="21">
        <f t="shared" si="81"/>
        <v>7.2286964312728408E-2</v>
      </c>
      <c r="AF86" s="21">
        <f t="shared" si="82"/>
        <v>6.9273082454898605E-2</v>
      </c>
      <c r="AG86" s="9">
        <f t="shared" si="83"/>
        <v>0.18490880486468564</v>
      </c>
      <c r="AK86" t="b">
        <f t="shared" si="84"/>
        <v>1</v>
      </c>
      <c r="AL86" t="b">
        <f t="shared" si="85"/>
        <v>1</v>
      </c>
      <c r="AM86" t="b">
        <f t="shared" si="86"/>
        <v>1</v>
      </c>
      <c r="AN86" t="b">
        <f t="shared" si="87"/>
        <v>1</v>
      </c>
    </row>
    <row r="87" spans="1:40" x14ac:dyDescent="0.35">
      <c r="A87">
        <f t="shared" si="88"/>
        <v>86</v>
      </c>
      <c r="B87" t="str">
        <f t="shared" si="69"/>
        <v>Marfrig4129824/07/2017</v>
      </c>
      <c r="C87" t="s">
        <v>370</v>
      </c>
      <c r="D87" t="b">
        <f t="shared" si="78"/>
        <v>1</v>
      </c>
      <c r="E87" s="50">
        <v>41298</v>
      </c>
      <c r="F87" s="54">
        <f>VLOOKUP(A87,Base!B:K,10,0)</f>
        <v>41298</v>
      </c>
      <c r="G87" s="28" t="s">
        <v>382</v>
      </c>
      <c r="H87" s="14">
        <f>NETWORKDAYS($F87,$G87,Feriados!$A$2:$A$1189)</f>
        <v>1131</v>
      </c>
      <c r="I87" s="14">
        <f t="shared" si="79"/>
        <v>1620</v>
      </c>
      <c r="J87" t="s">
        <v>651</v>
      </c>
      <c r="K87" s="29">
        <v>9.8750000000000004E-2</v>
      </c>
      <c r="L87" s="30">
        <v>68742.5</v>
      </c>
      <c r="M87" s="31">
        <v>42917</v>
      </c>
      <c r="N87" s="18">
        <f>NETWORKDAYS($F87,$M87,Feriados!$A$2:$A$1189)</f>
        <v>1115</v>
      </c>
      <c r="O87" s="30">
        <v>67106.16</v>
      </c>
      <c r="P87" s="31">
        <v>43009</v>
      </c>
      <c r="Q87" s="18">
        <f>NETWORKDAYS($F87,$P87,Feriados!$A$2:$A$1189)</f>
        <v>1179</v>
      </c>
      <c r="R87" s="17">
        <f t="shared" si="89"/>
        <v>68329.711766426291</v>
      </c>
      <c r="S87" s="26">
        <v>2.36</v>
      </c>
      <c r="T87" s="27">
        <v>42917</v>
      </c>
      <c r="U87" s="23">
        <f t="shared" si="90"/>
        <v>1597</v>
      </c>
      <c r="V87" s="26">
        <v>2.46</v>
      </c>
      <c r="W87" s="27">
        <v>43009</v>
      </c>
      <c r="X87" s="35">
        <f t="shared" si="91"/>
        <v>1687</v>
      </c>
      <c r="Y87" s="33">
        <f t="shared" si="92"/>
        <v>1.1090191242449146</v>
      </c>
      <c r="Z87" s="33">
        <f t="shared" si="93"/>
        <v>1.1206212768865969</v>
      </c>
      <c r="AA87" s="24">
        <f t="shared" si="94"/>
        <v>0.25555555555555554</v>
      </c>
      <c r="AB87" s="24">
        <f t="shared" si="95"/>
        <v>2.3866029482594753E-2</v>
      </c>
      <c r="AC87" s="25">
        <f t="shared" si="96"/>
        <v>8.8556345858521013E-2</v>
      </c>
      <c r="AD87" s="25">
        <f t="shared" si="80"/>
        <v>2.3866029482594753E-2</v>
      </c>
      <c r="AE87" s="21">
        <f t="shared" si="81"/>
        <v>6.4093034934801452E-2</v>
      </c>
      <c r="AF87" s="21">
        <f t="shared" si="82"/>
        <v>7.405760536218442E-2</v>
      </c>
      <c r="AG87" s="9">
        <f t="shared" si="83"/>
        <v>0.16261395122070543</v>
      </c>
      <c r="AK87" t="b">
        <f t="shared" si="84"/>
        <v>1</v>
      </c>
      <c r="AL87" t="b">
        <f t="shared" si="85"/>
        <v>1</v>
      </c>
      <c r="AM87" t="b">
        <f t="shared" si="86"/>
        <v>1</v>
      </c>
      <c r="AN87" t="b">
        <f t="shared" si="87"/>
        <v>1</v>
      </c>
    </row>
    <row r="88" spans="1:40" x14ac:dyDescent="0.35">
      <c r="A88">
        <f t="shared" si="88"/>
        <v>87</v>
      </c>
      <c r="B88" t="str">
        <f t="shared" si="69"/>
        <v>Marfrig4359914/05/2026</v>
      </c>
      <c r="C88" t="s">
        <v>370</v>
      </c>
      <c r="D88" t="b">
        <f t="shared" si="78"/>
        <v>1</v>
      </c>
      <c r="E88" s="50">
        <v>43599</v>
      </c>
      <c r="F88" s="54">
        <f>VLOOKUP(A88,Base!B:K,10,0)</f>
        <v>43599</v>
      </c>
      <c r="G88" s="28" t="s">
        <v>384</v>
      </c>
      <c r="H88" s="14">
        <f>NETWORKDAYS($F88,$G88,Feriados!$A$2:$A$1189)</f>
        <v>1762</v>
      </c>
      <c r="I88" s="14">
        <f t="shared" si="79"/>
        <v>2520</v>
      </c>
      <c r="J88" t="s">
        <v>651</v>
      </c>
      <c r="K88" s="29">
        <v>7.0000000000000007E-2</v>
      </c>
      <c r="L88" s="30">
        <v>57335.97</v>
      </c>
      <c r="M88" s="31">
        <v>46023</v>
      </c>
      <c r="N88" s="18">
        <f>NETWORKDAYS($F88,$M88,Feriados!$A$2:$A$1189)</f>
        <v>1672</v>
      </c>
      <c r="O88" s="30">
        <v>54872</v>
      </c>
      <c r="P88" s="31">
        <v>46204</v>
      </c>
      <c r="Q88" s="18">
        <f>NETWORKDAYS($F88,$P88,Feriados!$A$2:$A$1189)</f>
        <v>1795</v>
      </c>
      <c r="R88" s="17">
        <f t="shared" si="89"/>
        <v>55522.478104961549</v>
      </c>
      <c r="S88" s="26">
        <v>3.84</v>
      </c>
      <c r="T88" s="27">
        <v>46023</v>
      </c>
      <c r="U88" s="23">
        <f t="shared" si="90"/>
        <v>2387</v>
      </c>
      <c r="V88" s="26">
        <v>3.94</v>
      </c>
      <c r="W88" s="27">
        <v>46204</v>
      </c>
      <c r="X88" s="35">
        <f t="shared" si="91"/>
        <v>2567</v>
      </c>
      <c r="Y88" s="33">
        <f t="shared" si="92"/>
        <v>1.2838282157002603</v>
      </c>
      <c r="Z88" s="33">
        <f t="shared" si="93"/>
        <v>1.3172556309724894</v>
      </c>
      <c r="AA88" s="24">
        <f t="shared" si="94"/>
        <v>0.73888888888888893</v>
      </c>
      <c r="AB88" s="24">
        <f t="shared" si="95"/>
        <v>3.9152580152018279E-2</v>
      </c>
      <c r="AC88" s="25">
        <f t="shared" si="96"/>
        <v>8.7792064921440094E-2</v>
      </c>
      <c r="AD88" s="25">
        <f t="shared" si="80"/>
        <v>3.9152580152018279E-2</v>
      </c>
      <c r="AE88" s="21">
        <f t="shared" si="81"/>
        <v>5.0754626092535116E-2</v>
      </c>
      <c r="AF88" s="21">
        <f t="shared" si="82"/>
        <v>3.3568350216095499E-2</v>
      </c>
      <c r="AG88" s="9">
        <f t="shared" si="83"/>
        <v>0.12136041513753559</v>
      </c>
      <c r="AK88" t="b">
        <f t="shared" si="84"/>
        <v>1</v>
      </c>
      <c r="AL88" t="b">
        <f t="shared" si="85"/>
        <v>1</v>
      </c>
      <c r="AM88" t="b">
        <f t="shared" si="86"/>
        <v>1</v>
      </c>
      <c r="AN88" t="b">
        <f t="shared" si="87"/>
        <v>1</v>
      </c>
    </row>
    <row r="89" spans="1:40" x14ac:dyDescent="0.35">
      <c r="A89">
        <f t="shared" si="88"/>
        <v>88</v>
      </c>
      <c r="B89" t="str">
        <f t="shared" si="69"/>
        <v>Marfrig4368306/08/2029</v>
      </c>
      <c r="C89" t="s">
        <v>370</v>
      </c>
      <c r="D89" t="b">
        <f t="shared" si="78"/>
        <v>1</v>
      </c>
      <c r="E89" s="50">
        <v>43683</v>
      </c>
      <c r="F89" s="54">
        <f>VLOOKUP(A89,Base!B:K,10,0)</f>
        <v>43683</v>
      </c>
      <c r="G89" s="28" t="s">
        <v>385</v>
      </c>
      <c r="H89" s="14">
        <f>NETWORKDAYS($F89,$G89,Feriados!$A$2:$A$1189)</f>
        <v>2513</v>
      </c>
      <c r="I89" s="14">
        <f t="shared" si="79"/>
        <v>3600</v>
      </c>
      <c r="J89" t="s">
        <v>651</v>
      </c>
      <c r="K89" s="29">
        <v>6.6250000000000003E-2</v>
      </c>
      <c r="L89" s="30">
        <v>50755.53</v>
      </c>
      <c r="M89" s="31">
        <v>47119</v>
      </c>
      <c r="N89" s="18">
        <f>NETWORKDAYS($F89,$M89,Feriados!$A$2:$A$1189)</f>
        <v>2363</v>
      </c>
      <c r="O89" s="30">
        <v>47014.31</v>
      </c>
      <c r="P89" s="31">
        <v>47484</v>
      </c>
      <c r="Q89" s="18">
        <f>NETWORKDAYS($F89,$P89,Feriados!$A$2:$A$1189)</f>
        <v>2613</v>
      </c>
      <c r="R89" s="17">
        <f t="shared" si="89"/>
        <v>48476.514573890192</v>
      </c>
      <c r="S89" s="26">
        <v>2.64</v>
      </c>
      <c r="T89" s="27">
        <v>47119</v>
      </c>
      <c r="U89" s="23">
        <f t="shared" si="90"/>
        <v>3385</v>
      </c>
      <c r="V89" s="26">
        <v>2.73</v>
      </c>
      <c r="W89" s="27">
        <v>47484</v>
      </c>
      <c r="X89" s="35">
        <f t="shared" si="91"/>
        <v>3745</v>
      </c>
      <c r="Y89" s="33">
        <f t="shared" si="92"/>
        <v>1.2776381838471718</v>
      </c>
      <c r="Z89" s="33">
        <f t="shared" si="93"/>
        <v>1.3233791526058014</v>
      </c>
      <c r="AA89" s="24">
        <f t="shared" si="94"/>
        <v>0.59722222222222221</v>
      </c>
      <c r="AB89" s="24">
        <f t="shared" si="95"/>
        <v>2.6959056500768463E-2</v>
      </c>
      <c r="AC89" s="25">
        <f t="shared" si="96"/>
        <v>7.5311912521452973E-2</v>
      </c>
      <c r="AD89" s="25">
        <f t="shared" si="80"/>
        <v>2.6959056500768463E-2</v>
      </c>
      <c r="AE89" s="21">
        <f t="shared" si="81"/>
        <v>4.9878912505517681E-2</v>
      </c>
      <c r="AF89" s="21">
        <f t="shared" si="82"/>
        <v>4.1031330001819244E-2</v>
      </c>
      <c r="AG89" s="9">
        <f t="shared" si="83"/>
        <v>0.11634324252327222</v>
      </c>
      <c r="AK89" t="b">
        <f t="shared" si="84"/>
        <v>1</v>
      </c>
      <c r="AL89" t="b">
        <f t="shared" si="85"/>
        <v>1</v>
      </c>
      <c r="AM89" t="b">
        <f t="shared" si="86"/>
        <v>1</v>
      </c>
      <c r="AN89" t="b">
        <f t="shared" si="87"/>
        <v>1</v>
      </c>
    </row>
    <row r="90" spans="1:40" x14ac:dyDescent="0.35">
      <c r="A90">
        <f t="shared" si="88"/>
        <v>89</v>
      </c>
      <c r="B90" t="str">
        <f t="shared" si="69"/>
        <v>Minerva4427318/03/2031</v>
      </c>
      <c r="C90" t="s">
        <v>387</v>
      </c>
      <c r="D90" t="b">
        <f t="shared" si="78"/>
        <v>1</v>
      </c>
      <c r="E90" s="50">
        <v>44273</v>
      </c>
      <c r="F90" s="54">
        <f>VLOOKUP(A90,Base!B:K,10,0)</f>
        <v>44273</v>
      </c>
      <c r="G90" s="28" t="s">
        <v>392</v>
      </c>
      <c r="H90" s="14">
        <f>NETWORKDAYS($F90,$G90,Feriados!$A$2:$A$1189)</f>
        <v>2512</v>
      </c>
      <c r="I90" s="14">
        <f t="shared" si="79"/>
        <v>3600</v>
      </c>
      <c r="J90" t="s">
        <v>651</v>
      </c>
      <c r="K90" s="29">
        <v>4.3749999999999997E-2</v>
      </c>
      <c r="L90" s="30">
        <v>46081.48</v>
      </c>
      <c r="M90" s="31">
        <v>47849</v>
      </c>
      <c r="N90" s="18">
        <f>NETWORKDAYS($F90,$M90,Feriados!$A$2:$A$1189)</f>
        <v>2460</v>
      </c>
      <c r="O90" s="30">
        <v>38494.550000000003</v>
      </c>
      <c r="P90" s="31">
        <v>48580</v>
      </c>
      <c r="Q90" s="18">
        <f>NETWORKDAYS($F90,$P90,Feriados!$A$2:$A$1189)</f>
        <v>2965</v>
      </c>
      <c r="R90" s="17">
        <f t="shared" si="89"/>
        <v>45235.733914729077</v>
      </c>
      <c r="S90" s="26">
        <v>2.39</v>
      </c>
      <c r="T90" s="27">
        <v>47849</v>
      </c>
      <c r="U90" s="23">
        <f t="shared" si="90"/>
        <v>3523</v>
      </c>
      <c r="V90" s="26">
        <v>2.5</v>
      </c>
      <c r="W90" s="27">
        <v>48580</v>
      </c>
      <c r="X90" s="35">
        <f t="shared" si="91"/>
        <v>4243</v>
      </c>
      <c r="Y90" s="33">
        <f t="shared" si="92"/>
        <v>1.2600316542476988</v>
      </c>
      <c r="Z90" s="33">
        <f t="shared" si="93"/>
        <v>1.3378045510850369</v>
      </c>
      <c r="AA90" s="24">
        <f t="shared" si="94"/>
        <v>0.10694444444444444</v>
      </c>
      <c r="AB90" s="24">
        <f t="shared" si="95"/>
        <v>2.4038585455049333E-2</v>
      </c>
      <c r="AC90" s="25">
        <f t="shared" si="96"/>
        <v>8.283318064472156E-2</v>
      </c>
      <c r="AD90" s="25">
        <f t="shared" si="80"/>
        <v>2.4038585455049333E-2</v>
      </c>
      <c r="AE90" s="21">
        <f t="shared" si="81"/>
        <v>5.9683273982411356E-2</v>
      </c>
      <c r="AF90" s="21">
        <f t="shared" si="82"/>
        <v>2.143565323755614E-2</v>
      </c>
      <c r="AG90" s="9">
        <f t="shared" si="83"/>
        <v>0.1042688338822777</v>
      </c>
      <c r="AK90" t="b">
        <f t="shared" si="84"/>
        <v>1</v>
      </c>
      <c r="AL90" t="b">
        <f t="shared" si="85"/>
        <v>1</v>
      </c>
      <c r="AM90" t="b">
        <f t="shared" si="86"/>
        <v>1</v>
      </c>
      <c r="AN90" t="b">
        <f t="shared" si="87"/>
        <v>1</v>
      </c>
    </row>
    <row r="91" spans="1:40" x14ac:dyDescent="0.35">
      <c r="A91">
        <f t="shared" si="88"/>
        <v>90</v>
      </c>
      <c r="B91" t="str">
        <f t="shared" si="69"/>
        <v>Minerva4308819/01/2028</v>
      </c>
      <c r="C91" t="s">
        <v>387</v>
      </c>
      <c r="D91" t="b">
        <f t="shared" si="78"/>
        <v>1</v>
      </c>
      <c r="E91" s="50">
        <v>43088</v>
      </c>
      <c r="F91" s="54">
        <f>VLOOKUP(A91,Base!B:K,10,0)</f>
        <v>43088</v>
      </c>
      <c r="G91" s="28" t="s">
        <v>393</v>
      </c>
      <c r="H91" s="14">
        <f>NETWORKDAYS($F91,$G91,Feriados!$A$2:$A$1189)</f>
        <v>2534</v>
      </c>
      <c r="I91" s="14">
        <f t="shared" si="79"/>
        <v>3630</v>
      </c>
      <c r="J91" t="s">
        <v>651</v>
      </c>
      <c r="K91" s="29">
        <v>5.8749999999999997E-2</v>
      </c>
      <c r="L91" s="30">
        <v>34684.61</v>
      </c>
      <c r="M91" s="31">
        <v>46753</v>
      </c>
      <c r="N91" s="18">
        <f>NETWORKDAYS($F91,$M91,Feriados!$A$2:$A$1189)</f>
        <v>2521</v>
      </c>
      <c r="O91" s="30">
        <v>31040.27</v>
      </c>
      <c r="P91" s="31">
        <v>47119</v>
      </c>
      <c r="Q91" s="18">
        <f>NETWORKDAYS($F91,$P91,Feriados!$A$2:$A$1189)</f>
        <v>2770</v>
      </c>
      <c r="R91" s="17">
        <f t="shared" si="89"/>
        <v>34484.168493106226</v>
      </c>
      <c r="S91" s="26">
        <v>4.62</v>
      </c>
      <c r="T91" s="27">
        <v>46753</v>
      </c>
      <c r="U91" s="23">
        <f t="shared" si="90"/>
        <v>3612</v>
      </c>
      <c r="V91" s="26">
        <v>4.91</v>
      </c>
      <c r="W91" s="27">
        <v>47119</v>
      </c>
      <c r="X91" s="35">
        <f t="shared" si="91"/>
        <v>3972</v>
      </c>
      <c r="Y91" s="33">
        <f t="shared" si="92"/>
        <v>1.573261738351482</v>
      </c>
      <c r="Z91" s="33">
        <f t="shared" si="93"/>
        <v>1.696991447449417</v>
      </c>
      <c r="AA91" s="24">
        <f t="shared" si="94"/>
        <v>0.05</v>
      </c>
      <c r="AB91" s="24">
        <f t="shared" si="95"/>
        <v>4.6358453661415E-2</v>
      </c>
      <c r="AC91" s="25">
        <f t="shared" si="96"/>
        <v>0.1116870982491871</v>
      </c>
      <c r="AD91" s="25">
        <f t="shared" si="80"/>
        <v>4.6358453661415E-2</v>
      </c>
      <c r="AE91" s="21">
        <f t="shared" si="81"/>
        <v>7.0085118937895485E-2</v>
      </c>
      <c r="AF91" s="21">
        <f t="shared" si="82"/>
        <v>1.9129053004034224E-2</v>
      </c>
      <c r="AG91" s="9">
        <f t="shared" si="83"/>
        <v>0.13081615125322132</v>
      </c>
      <c r="AK91" t="b">
        <f t="shared" si="84"/>
        <v>1</v>
      </c>
      <c r="AL91" t="b">
        <f t="shared" si="85"/>
        <v>1</v>
      </c>
      <c r="AM91" t="b">
        <f t="shared" si="86"/>
        <v>1</v>
      </c>
      <c r="AN91" t="b">
        <f t="shared" si="87"/>
        <v>1</v>
      </c>
    </row>
    <row r="92" spans="1:40" x14ac:dyDescent="0.35">
      <c r="A92">
        <f t="shared" si="88"/>
        <v>91</v>
      </c>
      <c r="B92" t="str">
        <f t="shared" si="69"/>
        <v>Minerva4263320/09/2026</v>
      </c>
      <c r="C92" t="s">
        <v>387</v>
      </c>
      <c r="D92" t="b">
        <f t="shared" si="78"/>
        <v>1</v>
      </c>
      <c r="E92" s="50">
        <v>42633</v>
      </c>
      <c r="F92" s="54">
        <f>VLOOKUP(A92,Base!B:K,10,0)</f>
        <v>42633</v>
      </c>
      <c r="G92" s="28" t="s">
        <v>394</v>
      </c>
      <c r="H92" s="14">
        <f>NETWORKDAYS($F92,$G92,Feriados!$A$2:$A$1189)</f>
        <v>2511</v>
      </c>
      <c r="I92" s="14">
        <f t="shared" si="79"/>
        <v>3600</v>
      </c>
      <c r="J92" t="s">
        <v>651</v>
      </c>
      <c r="K92" s="29">
        <v>6.5000000000000002E-2</v>
      </c>
      <c r="L92" s="30">
        <v>33928.74</v>
      </c>
      <c r="M92" s="31">
        <v>46023</v>
      </c>
      <c r="N92" s="18">
        <f>NETWORKDAYS($F92,$M92,Feriados!$A$2:$A$1189)</f>
        <v>2332</v>
      </c>
      <c r="O92" s="30">
        <v>30079.01</v>
      </c>
      <c r="P92" s="31">
        <v>46388</v>
      </c>
      <c r="Q92" s="18">
        <f>NETWORKDAYS($F92,$P92,Feriados!$A$2:$A$1189)</f>
        <v>2582</v>
      </c>
      <c r="R92" s="17">
        <f t="shared" si="89"/>
        <v>31125.614126380216</v>
      </c>
      <c r="S92" s="26">
        <v>5.35</v>
      </c>
      <c r="T92" s="27">
        <v>46023</v>
      </c>
      <c r="U92" s="23">
        <f t="shared" si="90"/>
        <v>3341</v>
      </c>
      <c r="V92" s="26">
        <v>5.8</v>
      </c>
      <c r="W92" s="27">
        <v>46388</v>
      </c>
      <c r="X92" s="35">
        <f t="shared" si="91"/>
        <v>3701</v>
      </c>
      <c r="Y92" s="33">
        <f t="shared" si="92"/>
        <v>1.6220383028114269</v>
      </c>
      <c r="Z92" s="33">
        <f t="shared" si="93"/>
        <v>1.7853619184803164</v>
      </c>
      <c r="AA92" s="24">
        <f t="shared" si="94"/>
        <v>0.71944444444444444</v>
      </c>
      <c r="AB92" s="24">
        <f t="shared" si="95"/>
        <v>5.6826482341724827E-2</v>
      </c>
      <c r="AC92" s="25">
        <f t="shared" si="96"/>
        <v>0.12426809247708182</v>
      </c>
      <c r="AD92" s="25">
        <f t="shared" si="80"/>
        <v>5.6826482341724827E-2</v>
      </c>
      <c r="AE92" s="21">
        <f t="shared" si="81"/>
        <v>7.4627381848374696E-2</v>
      </c>
      <c r="AF92" s="21">
        <f t="shared" si="82"/>
        <v>1.7976200985041269E-2</v>
      </c>
      <c r="AG92" s="9">
        <f t="shared" si="83"/>
        <v>0.14224429346212308</v>
      </c>
      <c r="AK92" t="b">
        <f t="shared" si="84"/>
        <v>1</v>
      </c>
      <c r="AL92" t="b">
        <f t="shared" si="85"/>
        <v>1</v>
      </c>
      <c r="AM92" t="b">
        <f t="shared" si="86"/>
        <v>1</v>
      </c>
      <c r="AN92" t="b">
        <f t="shared" si="87"/>
        <v>1</v>
      </c>
    </row>
    <row r="93" spans="1:40" x14ac:dyDescent="0.35">
      <c r="A93">
        <f t="shared" si="88"/>
        <v>92</v>
      </c>
      <c r="B93" t="str">
        <f t="shared" si="69"/>
        <v>Minerva4439018/03/2031</v>
      </c>
      <c r="C93" t="s">
        <v>387</v>
      </c>
      <c r="D93" t="b">
        <f t="shared" si="78"/>
        <v>1</v>
      </c>
      <c r="E93" s="50">
        <v>44390</v>
      </c>
      <c r="F93" s="54">
        <f>VLOOKUP(A93,Base!B:K,10,0)</f>
        <v>44390</v>
      </c>
      <c r="G93" s="28" t="s">
        <v>392</v>
      </c>
      <c r="H93" s="14">
        <f>NETWORKDAYS($F93,$G93,Feriados!$A$2:$A$1189)</f>
        <v>2432</v>
      </c>
      <c r="I93" s="14">
        <f t="shared" si="79"/>
        <v>3485</v>
      </c>
      <c r="J93" t="s">
        <v>651</v>
      </c>
      <c r="K93" s="29">
        <v>4.3749999999999997E-2</v>
      </c>
      <c r="L93" s="30">
        <v>42953.94</v>
      </c>
      <c r="M93" s="31">
        <v>47849</v>
      </c>
      <c r="N93" s="18">
        <f>NETWORKDAYS($F93,$M93,Feriados!$A$2:$A$1189)</f>
        <v>2380</v>
      </c>
      <c r="O93" s="30">
        <v>35270.28</v>
      </c>
      <c r="P93" s="31">
        <v>48580</v>
      </c>
      <c r="Q93" s="18">
        <f>NETWORKDAYS($F93,$P93,Feriados!$A$2:$A$1189)</f>
        <v>2885</v>
      </c>
      <c r="R93" s="17">
        <f t="shared" si="89"/>
        <v>42091.010906007374</v>
      </c>
      <c r="S93" s="26">
        <v>1.92</v>
      </c>
      <c r="T93" s="27">
        <v>47849</v>
      </c>
      <c r="U93" s="23">
        <f t="shared" si="90"/>
        <v>3408</v>
      </c>
      <c r="V93" s="26">
        <v>2.09</v>
      </c>
      <c r="W93" s="27">
        <v>48580</v>
      </c>
      <c r="X93" s="35">
        <f t="shared" si="91"/>
        <v>4128</v>
      </c>
      <c r="Y93" s="33">
        <f t="shared" si="92"/>
        <v>1.1972618069441796</v>
      </c>
      <c r="Z93" s="33">
        <f t="shared" si="93"/>
        <v>1.2676734766745505</v>
      </c>
      <c r="AA93" s="24">
        <f t="shared" si="94"/>
        <v>0.10694444444444444</v>
      </c>
      <c r="AB93" s="24">
        <f t="shared" si="95"/>
        <v>1.941519290871585E-2</v>
      </c>
      <c r="AC93" s="25">
        <f t="shared" si="96"/>
        <v>9.3807521645437264E-2</v>
      </c>
      <c r="AD93" s="25">
        <f t="shared" si="80"/>
        <v>1.941519290871585E-2</v>
      </c>
      <c r="AE93" s="21">
        <f t="shared" si="81"/>
        <v>7.4460473554054163E-2</v>
      </c>
      <c r="AF93" s="21">
        <f t="shared" si="82"/>
        <v>2.5288359312976905E-2</v>
      </c>
      <c r="AG93" s="9">
        <f t="shared" si="83"/>
        <v>0.11909588095841417</v>
      </c>
      <c r="AK93" t="b">
        <f t="shared" si="84"/>
        <v>1</v>
      </c>
      <c r="AL93" t="b">
        <f t="shared" si="85"/>
        <v>1</v>
      </c>
      <c r="AM93" t="b">
        <f t="shared" si="86"/>
        <v>1</v>
      </c>
      <c r="AN93" t="b">
        <f t="shared" si="87"/>
        <v>1</v>
      </c>
    </row>
    <row r="94" spans="1:40" x14ac:dyDescent="0.35">
      <c r="A94">
        <f t="shared" si="88"/>
        <v>93</v>
      </c>
      <c r="B94" t="str">
        <f t="shared" si="69"/>
        <v>Minerva4130531/01/2023</v>
      </c>
      <c r="C94" t="s">
        <v>387</v>
      </c>
      <c r="D94" t="b">
        <f t="shared" si="78"/>
        <v>1</v>
      </c>
      <c r="E94" s="50">
        <v>41305</v>
      </c>
      <c r="F94" s="54">
        <f>VLOOKUP(A94,Base!B:K,10,0)</f>
        <v>41305</v>
      </c>
      <c r="G94" s="28" t="s">
        <v>395</v>
      </c>
      <c r="H94" s="14">
        <f>NETWORKDAYS($F94,$G94,Feriados!$A$2:$A$1189)</f>
        <v>2513</v>
      </c>
      <c r="I94" s="14">
        <f t="shared" si="79"/>
        <v>3600</v>
      </c>
      <c r="J94" t="s">
        <v>651</v>
      </c>
      <c r="K94" s="29">
        <v>7.7499999999999999E-2</v>
      </c>
      <c r="L94" s="30">
        <v>39830.269999999997</v>
      </c>
      <c r="M94" s="31">
        <v>44927</v>
      </c>
      <c r="N94" s="18">
        <f>NETWORKDAYS($F94,$M94,Feriados!$A$2:$A$1189)</f>
        <v>2491</v>
      </c>
      <c r="O94" s="30">
        <v>38046.28</v>
      </c>
      <c r="P94" s="31">
        <v>45108</v>
      </c>
      <c r="Q94" s="18">
        <f>NETWORKDAYS($F94,$P94,Feriados!$A$2:$A$1189)</f>
        <v>2615</v>
      </c>
      <c r="R94" s="17">
        <f t="shared" si="89"/>
        <v>39507.761088138024</v>
      </c>
      <c r="S94" s="26">
        <v>4.0199999999999996</v>
      </c>
      <c r="T94" s="27">
        <v>44927</v>
      </c>
      <c r="U94" s="23">
        <f t="shared" si="90"/>
        <v>3571</v>
      </c>
      <c r="V94" s="26">
        <v>4.22</v>
      </c>
      <c r="W94" s="27">
        <v>45292</v>
      </c>
      <c r="X94" s="35">
        <f t="shared" si="91"/>
        <v>3931</v>
      </c>
      <c r="Y94" s="33">
        <f t="shared" si="92"/>
        <v>1.4783921132923661</v>
      </c>
      <c r="Z94" s="33">
        <f t="shared" si="93"/>
        <v>1.5704195706127377</v>
      </c>
      <c r="AA94" s="24">
        <f t="shared" si="94"/>
        <v>8.0555555555555561E-2</v>
      </c>
      <c r="AB94" s="24">
        <f t="shared" si="95"/>
        <v>4.0375770322589544E-2</v>
      </c>
      <c r="AC94" s="25">
        <f t="shared" si="96"/>
        <v>9.760001133285412E-2</v>
      </c>
      <c r="AD94" s="25">
        <f t="shared" si="80"/>
        <v>4.0375770322589544E-2</v>
      </c>
      <c r="AE94" s="21">
        <f t="shared" si="81"/>
        <v>6.0898558086364574E-2</v>
      </c>
      <c r="AF94" s="21">
        <f t="shared" si="82"/>
        <v>4.1470649175676666E-2</v>
      </c>
      <c r="AG94" s="9">
        <f t="shared" si="83"/>
        <v>0.13907066050853079</v>
      </c>
      <c r="AK94" t="b">
        <f t="shared" si="84"/>
        <v>1</v>
      </c>
      <c r="AL94" t="b">
        <f t="shared" si="85"/>
        <v>1</v>
      </c>
      <c r="AM94" t="b">
        <f t="shared" si="86"/>
        <v>1</v>
      </c>
      <c r="AN94" t="b">
        <f t="shared" si="87"/>
        <v>1</v>
      </c>
    </row>
    <row r="95" spans="1:40" x14ac:dyDescent="0.35">
      <c r="A95">
        <f t="shared" si="88"/>
        <v>94</v>
      </c>
      <c r="B95" t="str">
        <f t="shared" si="69"/>
        <v>Minerva4290220/09/2026</v>
      </c>
      <c r="C95" t="s">
        <v>387</v>
      </c>
      <c r="D95" t="b">
        <f t="shared" si="78"/>
        <v>1</v>
      </c>
      <c r="E95" s="50">
        <v>42902</v>
      </c>
      <c r="F95" s="54">
        <f>VLOOKUP(A95,Base!B:K,10,0)</f>
        <v>42902</v>
      </c>
      <c r="G95" s="28" t="s">
        <v>394</v>
      </c>
      <c r="H95" s="14">
        <f>NETWORKDAYS($F95,$G95,Feriados!$A$2:$A$1189)</f>
        <v>2327</v>
      </c>
      <c r="I95" s="14">
        <f t="shared" si="79"/>
        <v>3334</v>
      </c>
      <c r="J95" t="s">
        <v>651</v>
      </c>
      <c r="K95" s="29">
        <v>6.5000000000000002E-2</v>
      </c>
      <c r="L95" s="30">
        <v>41817.11</v>
      </c>
      <c r="M95" s="31">
        <v>46023</v>
      </c>
      <c r="N95" s="18">
        <f>NETWORKDAYS($F95,$M95,Feriados!$A$2:$A$1189)</f>
        <v>2148</v>
      </c>
      <c r="O95" s="30">
        <v>37587.760000000002</v>
      </c>
      <c r="P95" s="31">
        <v>46388</v>
      </c>
      <c r="Q95" s="18">
        <f>NETWORKDAYS($F95,$P95,Feriados!$A$2:$A$1189)</f>
        <v>2398</v>
      </c>
      <c r="R95" s="17">
        <f t="shared" si="89"/>
        <v>38743.405771838748</v>
      </c>
      <c r="S95" s="26">
        <v>5.21</v>
      </c>
      <c r="T95" s="27">
        <v>46023</v>
      </c>
      <c r="U95" s="23">
        <f t="shared" si="90"/>
        <v>3075</v>
      </c>
      <c r="V95" s="26">
        <v>5.57</v>
      </c>
      <c r="W95" s="27">
        <v>46388</v>
      </c>
      <c r="X95" s="35">
        <f t="shared" si="91"/>
        <v>3435</v>
      </c>
      <c r="Y95" s="33">
        <f t="shared" si="92"/>
        <v>1.5431342750942465</v>
      </c>
      <c r="Z95" s="33">
        <f t="shared" si="93"/>
        <v>1.6773195535076897</v>
      </c>
      <c r="AA95" s="24">
        <f t="shared" si="94"/>
        <v>0.71944444444444444</v>
      </c>
      <c r="AB95" s="24">
        <f t="shared" si="95"/>
        <v>5.4767281660851541E-2</v>
      </c>
      <c r="AC95" s="25">
        <f t="shared" si="96"/>
        <v>0.10814268396040871</v>
      </c>
      <c r="AD95" s="25">
        <f t="shared" si="80"/>
        <v>5.4767281660851541E-2</v>
      </c>
      <c r="AE95" s="21">
        <f t="shared" si="81"/>
        <v>5.9987326497484839E-2</v>
      </c>
      <c r="AF95" s="21">
        <f t="shared" si="82"/>
        <v>1.8719447467970385E-2</v>
      </c>
      <c r="AG95" s="9">
        <f t="shared" si="83"/>
        <v>0.1268621314283791</v>
      </c>
      <c r="AK95" t="b">
        <f t="shared" si="84"/>
        <v>1</v>
      </c>
      <c r="AL95" t="b">
        <f t="shared" si="85"/>
        <v>1</v>
      </c>
      <c r="AM95" t="b">
        <f t="shared" si="86"/>
        <v>1</v>
      </c>
      <c r="AN95" t="b">
        <f t="shared" si="87"/>
        <v>1</v>
      </c>
    </row>
    <row r="96" spans="1:40" x14ac:dyDescent="0.35">
      <c r="A96">
        <f t="shared" si="88"/>
        <v>95</v>
      </c>
      <c r="B96" t="str">
        <f t="shared" si="69"/>
        <v>Minerva4099710/02/2022</v>
      </c>
      <c r="C96" t="s">
        <v>387</v>
      </c>
      <c r="D96" t="b">
        <f t="shared" si="78"/>
        <v>1</v>
      </c>
      <c r="E96" s="50">
        <v>40997</v>
      </c>
      <c r="F96" s="54">
        <f>VLOOKUP(A96,Base!B:K,10,0)</f>
        <v>40997</v>
      </c>
      <c r="G96" s="28" t="s">
        <v>396</v>
      </c>
      <c r="H96" s="14">
        <f>NETWORKDAYS($F96,$G96,Feriados!$A$2:$A$1189)</f>
        <v>2480</v>
      </c>
      <c r="I96" s="14">
        <f t="shared" si="79"/>
        <v>3551</v>
      </c>
      <c r="J96" t="s">
        <v>651</v>
      </c>
      <c r="K96" s="29">
        <v>0.1225</v>
      </c>
      <c r="L96" s="30">
        <v>35672.69</v>
      </c>
      <c r="M96" s="31">
        <v>44562</v>
      </c>
      <c r="N96" s="18">
        <f>NETWORKDAYS($F96,$M96,Feriados!$A$2:$A$1189)</f>
        <v>2451</v>
      </c>
      <c r="O96" s="30">
        <v>31791.09</v>
      </c>
      <c r="P96" s="31">
        <v>44927</v>
      </c>
      <c r="Q96" s="18">
        <f>NETWORKDAYS($F96,$P96,Feriados!$A$2:$A$1189)</f>
        <v>2702</v>
      </c>
      <c r="R96" s="17">
        <f t="shared" si="89"/>
        <v>35201.036394249648</v>
      </c>
      <c r="S96" s="26">
        <v>4.8099999999999996</v>
      </c>
      <c r="T96" s="27">
        <v>44562</v>
      </c>
      <c r="U96" s="23">
        <f t="shared" si="90"/>
        <v>3512</v>
      </c>
      <c r="V96" s="26">
        <v>4.99</v>
      </c>
      <c r="W96" s="27">
        <v>44927</v>
      </c>
      <c r="X96" s="35">
        <f t="shared" si="91"/>
        <v>3872</v>
      </c>
      <c r="Y96" s="33">
        <f t="shared" si="92"/>
        <v>1.5813932402218411</v>
      </c>
      <c r="Z96" s="33">
        <f t="shared" si="93"/>
        <v>1.6883317882574786</v>
      </c>
      <c r="AA96" s="24">
        <f t="shared" si="94"/>
        <v>0.10833333333333334</v>
      </c>
      <c r="AB96" s="24">
        <f t="shared" si="95"/>
        <v>4.8312466587472347E-2</v>
      </c>
      <c r="AC96" s="25">
        <f t="shared" si="96"/>
        <v>0.11192582528851358</v>
      </c>
      <c r="AD96" s="25">
        <f t="shared" si="80"/>
        <v>4.8312466587472347E-2</v>
      </c>
      <c r="AE96" s="21">
        <f t="shared" si="81"/>
        <v>6.8754745875746037E-2</v>
      </c>
      <c r="AF96" s="21">
        <f t="shared" si="82"/>
        <v>7.8918372935750769E-2</v>
      </c>
      <c r="AG96" s="9">
        <f t="shared" si="83"/>
        <v>0.19084419822426435</v>
      </c>
      <c r="AK96" t="b">
        <f t="shared" si="84"/>
        <v>1</v>
      </c>
      <c r="AL96" t="b">
        <f t="shared" si="85"/>
        <v>1</v>
      </c>
      <c r="AM96" t="b">
        <f t="shared" si="86"/>
        <v>1</v>
      </c>
      <c r="AN96" t="b">
        <f t="shared" si="87"/>
        <v>1</v>
      </c>
    </row>
    <row r="97" spans="1:40" x14ac:dyDescent="0.35">
      <c r="A97">
        <f t="shared" si="88"/>
        <v>96</v>
      </c>
      <c r="B97" t="str">
        <f t="shared" si="69"/>
        <v>Minerva4187131/01/2023</v>
      </c>
      <c r="C97" t="s">
        <v>387</v>
      </c>
      <c r="D97" t="b">
        <f t="shared" si="78"/>
        <v>1</v>
      </c>
      <c r="E97" s="50">
        <v>41871</v>
      </c>
      <c r="F97" s="54">
        <f>VLOOKUP(A97,Base!B:K,10,0)</f>
        <v>41871</v>
      </c>
      <c r="G97" s="28" t="s">
        <v>395</v>
      </c>
      <c r="H97" s="14">
        <f>NETWORKDAYS($F97,$G97,Feriados!$A$2:$A$1189)</f>
        <v>2123</v>
      </c>
      <c r="I97" s="14">
        <f t="shared" si="79"/>
        <v>3041</v>
      </c>
      <c r="J97" t="s">
        <v>651</v>
      </c>
      <c r="K97" s="29">
        <v>7.7499999999999999E-2</v>
      </c>
      <c r="L97" s="30">
        <v>39841.79</v>
      </c>
      <c r="M97" s="31">
        <v>44927</v>
      </c>
      <c r="N97" s="38">
        <f>NETWORKDAYS($F97,$M97,Feriados!$A$2:$A$1189)</f>
        <v>2101</v>
      </c>
      <c r="O97" s="30">
        <v>37687.870000000003</v>
      </c>
      <c r="P97" s="31">
        <v>45108</v>
      </c>
      <c r="Q97" s="18">
        <f>NETWORKDAYS($F97,$P97,Feriados!$A$2:$A$1189)</f>
        <v>2225</v>
      </c>
      <c r="R97" s="17">
        <f t="shared" si="89"/>
        <v>39450.855637036213</v>
      </c>
      <c r="S97" s="26">
        <v>4.46</v>
      </c>
      <c r="T97" s="27">
        <v>44927</v>
      </c>
      <c r="U97" s="23">
        <f t="shared" si="90"/>
        <v>3011</v>
      </c>
      <c r="V97" s="26">
        <v>4.74</v>
      </c>
      <c r="W97" s="27">
        <v>45292</v>
      </c>
      <c r="X97" s="35">
        <f t="shared" si="91"/>
        <v>3371</v>
      </c>
      <c r="Y97" s="33">
        <f t="shared" si="92"/>
        <v>1.440442326224012</v>
      </c>
      <c r="Z97" s="33">
        <f t="shared" si="93"/>
        <v>1.5428789955479016</v>
      </c>
      <c r="AA97" s="24">
        <f t="shared" si="94"/>
        <v>8.3333333333333329E-2</v>
      </c>
      <c r="AB97" s="24">
        <f t="shared" si="95"/>
        <v>4.4858339854765727E-2</v>
      </c>
      <c r="AC97" s="25">
        <f t="shared" si="96"/>
        <v>0.11672974248104273</v>
      </c>
      <c r="AD97" s="25">
        <f t="shared" si="80"/>
        <v>4.4858339854765727E-2</v>
      </c>
      <c r="AE97" s="21">
        <f t="shared" si="81"/>
        <v>7.4940656807617634E-2</v>
      </c>
      <c r="AF97" s="21">
        <f t="shared" si="82"/>
        <v>3.7178928481767404E-2</v>
      </c>
      <c r="AG97" s="9">
        <f t="shared" si="83"/>
        <v>0.15390867096281013</v>
      </c>
      <c r="AK97" t="b">
        <f t="shared" si="84"/>
        <v>1</v>
      </c>
      <c r="AL97" t="b">
        <f t="shared" si="85"/>
        <v>1</v>
      </c>
      <c r="AM97" t="b">
        <f t="shared" si="86"/>
        <v>1</v>
      </c>
      <c r="AN97" t="b">
        <f t="shared" si="87"/>
        <v>1</v>
      </c>
    </row>
    <row r="98" spans="1:40" x14ac:dyDescent="0.35">
      <c r="A98">
        <f t="shared" si="88"/>
        <v>97</v>
      </c>
      <c r="B98" t="str">
        <f t="shared" si="69"/>
        <v>Minerva4094910/02/2022</v>
      </c>
      <c r="C98" t="s">
        <v>387</v>
      </c>
      <c r="D98" t="b">
        <f t="shared" si="78"/>
        <v>1</v>
      </c>
      <c r="E98" s="50">
        <v>40949</v>
      </c>
      <c r="F98" s="54">
        <f>VLOOKUP(A98,Base!B:K,10,0)</f>
        <v>40949</v>
      </c>
      <c r="G98" s="28" t="s">
        <v>396</v>
      </c>
      <c r="H98" s="14">
        <f>NETWORKDAYS($F98,$G98,Feriados!$A$2:$A$1189)</f>
        <v>2512</v>
      </c>
      <c r="I98" s="14">
        <f t="shared" si="79"/>
        <v>3600</v>
      </c>
      <c r="J98" t="s">
        <v>651</v>
      </c>
      <c r="K98" s="29">
        <v>0.1225</v>
      </c>
      <c r="L98" s="30">
        <v>34700.629999999997</v>
      </c>
      <c r="M98" s="31">
        <v>44562</v>
      </c>
      <c r="N98" s="18">
        <f>NETWORKDAYS($F98,$M98,Feriados!$A$2:$A$1189)</f>
        <v>2483</v>
      </c>
      <c r="O98" s="30">
        <v>31028.15</v>
      </c>
      <c r="P98" s="31">
        <v>44927</v>
      </c>
      <c r="Q98" s="18">
        <f>NETWORKDAYS($F98,$P98,Feriados!$A$2:$A$1189)</f>
        <v>2734</v>
      </c>
      <c r="R98" s="17">
        <f t="shared" si="89"/>
        <v>34255.030633422211</v>
      </c>
      <c r="S98" s="26">
        <v>4.54</v>
      </c>
      <c r="T98" s="27">
        <v>44562</v>
      </c>
      <c r="U98" s="23">
        <f t="shared" si="90"/>
        <v>3561</v>
      </c>
      <c r="V98" s="26">
        <v>4.84</v>
      </c>
      <c r="W98" s="27">
        <v>44927</v>
      </c>
      <c r="X98" s="35">
        <f t="shared" si="91"/>
        <v>3921</v>
      </c>
      <c r="Y98" s="33">
        <f t="shared" si="92"/>
        <v>1.5514437013842353</v>
      </c>
      <c r="Z98" s="33">
        <f t="shared" si="93"/>
        <v>1.6732983212948473</v>
      </c>
      <c r="AA98" s="24">
        <f t="shared" si="94"/>
        <v>0.10833333333333334</v>
      </c>
      <c r="AB98" s="24">
        <f t="shared" si="95"/>
        <v>4.5753531991649554E-2</v>
      </c>
      <c r="AC98" s="25">
        <f t="shared" si="96"/>
        <v>0.11346287381085962</v>
      </c>
      <c r="AD98" s="25">
        <f t="shared" si="80"/>
        <v>4.5753531991649554E-2</v>
      </c>
      <c r="AE98" s="21">
        <f t="shared" si="81"/>
        <v>7.2165242590507273E-2</v>
      </c>
      <c r="AF98" s="21">
        <f t="shared" si="82"/>
        <v>8.0867187505597959E-2</v>
      </c>
      <c r="AG98" s="9">
        <f t="shared" si="83"/>
        <v>0.19433006131645758</v>
      </c>
      <c r="AK98" t="b">
        <f t="shared" si="84"/>
        <v>1</v>
      </c>
      <c r="AL98" t="b">
        <f t="shared" si="85"/>
        <v>1</v>
      </c>
      <c r="AM98" t="b">
        <f t="shared" si="86"/>
        <v>1</v>
      </c>
      <c r="AN98" t="b">
        <f t="shared" si="87"/>
        <v>1</v>
      </c>
    </row>
    <row r="99" spans="1:40" x14ac:dyDescent="0.35">
      <c r="A99">
        <f t="shared" si="88"/>
        <v>98</v>
      </c>
      <c r="B99" t="str">
        <f t="shared" si="69"/>
        <v>Movida4423508/02/2031</v>
      </c>
      <c r="C99" t="s">
        <v>398</v>
      </c>
      <c r="D99" t="b">
        <f t="shared" si="78"/>
        <v>1</v>
      </c>
      <c r="E99" s="50">
        <v>44235</v>
      </c>
      <c r="F99" s="54">
        <f>VLOOKUP(A99,Base!B:K,10,0)</f>
        <v>44235</v>
      </c>
      <c r="G99" s="28" t="s">
        <v>260</v>
      </c>
      <c r="H99" s="14">
        <f>NETWORKDAYS($F99,$G99,Feriados!$A$2:$A$1189)</f>
        <v>2513</v>
      </c>
      <c r="I99" s="14">
        <f t="shared" si="79"/>
        <v>3600</v>
      </c>
      <c r="J99" t="s">
        <v>651</v>
      </c>
      <c r="K99" s="29">
        <v>5.2499999999999998E-2</v>
      </c>
      <c r="L99" s="30">
        <v>47644.7</v>
      </c>
      <c r="M99" s="31">
        <v>47849</v>
      </c>
      <c r="N99" s="18">
        <f>NETWORKDAYS($F99,$M99,Feriados!$A$2:$A$1189)</f>
        <v>2486</v>
      </c>
      <c r="O99" s="30">
        <v>40126.85</v>
      </c>
      <c r="P99" s="31">
        <v>48580</v>
      </c>
      <c r="Q99" s="18">
        <f>NETWORKDAYS($F99,$P99,Feriados!$A$2:$A$1189)</f>
        <v>2991</v>
      </c>
      <c r="R99" s="17">
        <f t="shared" si="89"/>
        <v>47209.258198154763</v>
      </c>
      <c r="S99" s="26">
        <v>1.87</v>
      </c>
      <c r="T99" s="27">
        <v>47849</v>
      </c>
      <c r="U99" s="23">
        <f t="shared" si="90"/>
        <v>3563</v>
      </c>
      <c r="V99" s="26">
        <v>1.97</v>
      </c>
      <c r="W99" s="27">
        <v>48580</v>
      </c>
      <c r="X99" s="35">
        <f t="shared" si="91"/>
        <v>4283</v>
      </c>
      <c r="Y99" s="33">
        <f t="shared" si="92"/>
        <v>1.2012574113029648</v>
      </c>
      <c r="Z99" s="33">
        <f t="shared" si="93"/>
        <v>1.2612415082185213</v>
      </c>
      <c r="AA99" s="24">
        <f t="shared" si="94"/>
        <v>5.1388888888888887E-2</v>
      </c>
      <c r="AB99" s="24">
        <f t="shared" si="95"/>
        <v>1.8761110347497612E-2</v>
      </c>
      <c r="AC99" s="25">
        <f t="shared" si="96"/>
        <v>7.8172083235880097E-2</v>
      </c>
      <c r="AD99" s="25">
        <f t="shared" si="80"/>
        <v>1.8761110347497612E-2</v>
      </c>
      <c r="AE99" s="21">
        <f t="shared" si="81"/>
        <v>5.9741293014096808E-2</v>
      </c>
      <c r="AF99" s="21">
        <f t="shared" si="82"/>
        <v>3.4508060670419782E-2</v>
      </c>
      <c r="AG99" s="9">
        <f t="shared" si="83"/>
        <v>0.11268014390629988</v>
      </c>
      <c r="AK99" t="b">
        <f t="shared" si="84"/>
        <v>1</v>
      </c>
      <c r="AL99" t="b">
        <f t="shared" si="85"/>
        <v>1</v>
      </c>
      <c r="AM99" t="b">
        <f t="shared" si="86"/>
        <v>1</v>
      </c>
      <c r="AN99" t="b">
        <f t="shared" si="87"/>
        <v>1</v>
      </c>
    </row>
    <row r="100" spans="1:40" x14ac:dyDescent="0.35">
      <c r="A100">
        <f t="shared" si="88"/>
        <v>99</v>
      </c>
      <c r="B100" t="str">
        <f t="shared" si="69"/>
        <v>Movida4445408/02/2031</v>
      </c>
      <c r="C100" t="s">
        <v>398</v>
      </c>
      <c r="D100" t="b">
        <f t="shared" ref="D100:D132" si="97">E100=F100</f>
        <v>1</v>
      </c>
      <c r="E100" s="50">
        <v>44454</v>
      </c>
      <c r="F100" s="54">
        <f>VLOOKUP(A100,Base!B:K,10,0)</f>
        <v>44454</v>
      </c>
      <c r="G100" s="28" t="s">
        <v>260</v>
      </c>
      <c r="H100" s="14">
        <f>NETWORKDAYS($F100,$G100,Feriados!$A$2:$A$1189)</f>
        <v>2362</v>
      </c>
      <c r="I100" s="14">
        <f t="shared" ref="I100:I132" si="98">DAYS360(F100,G100,0)</f>
        <v>3383</v>
      </c>
      <c r="J100" t="s">
        <v>651</v>
      </c>
      <c r="K100" s="29">
        <v>5.2499999999999998E-2</v>
      </c>
      <c r="L100" s="30">
        <v>38022.71</v>
      </c>
      <c r="M100" s="31">
        <v>47849</v>
      </c>
      <c r="N100" s="18">
        <f>NETWORKDAYS($F100,$M100,Feriados!$A$2:$A$1189)</f>
        <v>2335</v>
      </c>
      <c r="O100" s="30">
        <v>30535.84</v>
      </c>
      <c r="P100" s="31">
        <v>48580</v>
      </c>
      <c r="Q100" s="18">
        <f>NETWORKDAYS($F100,$P100,Feriados!$A$2:$A$1189)</f>
        <v>2840</v>
      </c>
      <c r="R100" s="17">
        <f t="shared" si="89"/>
        <v>37579.534085118634</v>
      </c>
      <c r="S100" s="26">
        <v>2.0299999999999998</v>
      </c>
      <c r="T100" s="27">
        <v>47849</v>
      </c>
      <c r="U100" s="23">
        <f t="shared" si="90"/>
        <v>3346</v>
      </c>
      <c r="V100" s="26">
        <v>2.38</v>
      </c>
      <c r="W100" s="27">
        <v>48580</v>
      </c>
      <c r="X100" s="35">
        <f t="shared" si="91"/>
        <v>4066</v>
      </c>
      <c r="Y100" s="33">
        <f t="shared" si="92"/>
        <v>1.2053713303747779</v>
      </c>
      <c r="Z100" s="33">
        <f t="shared" si="93"/>
        <v>1.3042899990146115</v>
      </c>
      <c r="AA100" s="24">
        <f t="shared" si="94"/>
        <v>5.1388888888888887E-2</v>
      </c>
      <c r="AB100" s="24">
        <f t="shared" si="95"/>
        <v>2.0515826489405864E-2</v>
      </c>
      <c r="AC100" s="25">
        <f t="shared" si="96"/>
        <v>0.11006424862694364</v>
      </c>
      <c r="AD100" s="25">
        <f t="shared" ref="AD100:AD132" si="99">+AB100</f>
        <v>2.0515826489405864E-2</v>
      </c>
      <c r="AE100" s="21">
        <f t="shared" ref="AE100:AE132" si="100">IFERROR((((1+$AC100)^($H100/252))/(1+$AD100*$I100/360))^(252/$H100)-1,"NA")</f>
        <v>8.9380236953290781E-2</v>
      </c>
      <c r="AF100" s="21">
        <f t="shared" ref="AF100:AF132" si="101">IFERROR(((((1+$K100)*(1+AE100))^($H100/252))/((1+$AC100)^($H100/252)))^(252/$H100)-1,"NA")</f>
        <v>3.2888592540073924E-2</v>
      </c>
      <c r="AG100" s="9">
        <f t="shared" ref="AG100:AG132" si="102">AC100+AF100</f>
        <v>0.14295284116701756</v>
      </c>
      <c r="AK100" t="b">
        <f t="shared" ref="AK100:AK132" si="103">N100&lt;$H100</f>
        <v>1</v>
      </c>
      <c r="AL100" t="b">
        <f t="shared" ref="AL100:AL132" si="104">Q100&gt;$H100</f>
        <v>1</v>
      </c>
      <c r="AM100" t="b">
        <f t="shared" ref="AM100:AM132" si="105">U100&lt;$I100</f>
        <v>1</v>
      </c>
      <c r="AN100" t="b">
        <f t="shared" ref="AN100:AN132" si="106">X100&gt;$I100</f>
        <v>1</v>
      </c>
    </row>
    <row r="101" spans="1:40" x14ac:dyDescent="0.35">
      <c r="A101">
        <f t="shared" si="88"/>
        <v>100</v>
      </c>
      <c r="B101" t="str">
        <f t="shared" si="69"/>
        <v>Natura Cosméticos4431903/05/2028</v>
      </c>
      <c r="C101" t="s">
        <v>431</v>
      </c>
      <c r="D101" t="b">
        <f t="shared" si="97"/>
        <v>1</v>
      </c>
      <c r="E101" s="50">
        <v>44319</v>
      </c>
      <c r="F101" s="54">
        <f>VLOOKUP(A101,Base!B:K,10,0)</f>
        <v>44319</v>
      </c>
      <c r="G101" s="28" t="s">
        <v>449</v>
      </c>
      <c r="H101" s="14">
        <f>NETWORKDAYS($F101,$G101,Feriados!$A$2:$A$1189)</f>
        <v>1761</v>
      </c>
      <c r="I101" s="14">
        <f t="shared" si="98"/>
        <v>2520</v>
      </c>
      <c r="J101" t="s">
        <v>651</v>
      </c>
      <c r="K101" s="29">
        <v>4.1250000000000002E-2</v>
      </c>
      <c r="L101" s="30">
        <v>57397.14</v>
      </c>
      <c r="M101" s="31">
        <v>46753</v>
      </c>
      <c r="N101" s="18">
        <f>NETWORKDAYS($F101,$M101,Feriados!$A$2:$A$1189)</f>
        <v>1678</v>
      </c>
      <c r="O101" s="30">
        <v>52248.56</v>
      </c>
      <c r="P101" s="31">
        <v>47119</v>
      </c>
      <c r="Q101" s="18">
        <f>NETWORKDAYS($F101,$P101,Feriados!$A$2:$A$1189)</f>
        <v>1927</v>
      </c>
      <c r="R101" s="17">
        <f t="shared" si="89"/>
        <v>55626.910970323923</v>
      </c>
      <c r="S101" s="26">
        <v>1.95</v>
      </c>
      <c r="T101" s="27">
        <v>46753</v>
      </c>
      <c r="U101" s="23">
        <f t="shared" si="90"/>
        <v>2398</v>
      </c>
      <c r="V101" s="26">
        <v>2.13</v>
      </c>
      <c r="W101" s="27">
        <v>47119</v>
      </c>
      <c r="X101" s="35">
        <f t="shared" si="91"/>
        <v>2758</v>
      </c>
      <c r="Y101" s="33">
        <f t="shared" si="92"/>
        <v>1.137282278036533</v>
      </c>
      <c r="Z101" s="33">
        <f t="shared" si="93"/>
        <v>1.1752349349524465</v>
      </c>
      <c r="AA101" s="24">
        <f t="shared" si="94"/>
        <v>0.33888888888888891</v>
      </c>
      <c r="AB101" s="24">
        <f t="shared" si="95"/>
        <v>2.0167240698447664E-2</v>
      </c>
      <c r="AC101" s="25">
        <f t="shared" si="96"/>
        <v>8.7551557605774599E-2</v>
      </c>
      <c r="AD101" s="25">
        <f t="shared" si="99"/>
        <v>2.0167240698447664E-2</v>
      </c>
      <c r="AE101" s="21">
        <f t="shared" si="100"/>
        <v>6.7192964796723764E-2</v>
      </c>
      <c r="AF101" s="21">
        <f t="shared" si="101"/>
        <v>2.1758156496881842E-2</v>
      </c>
      <c r="AG101" s="9">
        <f t="shared" si="102"/>
        <v>0.10930971410265644</v>
      </c>
      <c r="AK101" t="b">
        <f t="shared" si="103"/>
        <v>1</v>
      </c>
      <c r="AL101" t="b">
        <f t="shared" si="104"/>
        <v>1</v>
      </c>
      <c r="AM101" t="b">
        <f t="shared" si="105"/>
        <v>1</v>
      </c>
      <c r="AN101" t="b">
        <f t="shared" si="106"/>
        <v>1</v>
      </c>
    </row>
    <row r="102" spans="1:40" x14ac:dyDescent="0.35">
      <c r="A102">
        <f t="shared" si="88"/>
        <v>101</v>
      </c>
      <c r="B102" t="str">
        <f t="shared" si="69"/>
        <v>Natura Cosméticos4313201/02/2023</v>
      </c>
      <c r="C102" t="s">
        <v>431</v>
      </c>
      <c r="D102" t="b">
        <f t="shared" si="97"/>
        <v>1</v>
      </c>
      <c r="E102" s="50">
        <v>43132</v>
      </c>
      <c r="F102" s="54">
        <f>VLOOKUP(A102,Base!B:K,10,0)</f>
        <v>43132</v>
      </c>
      <c r="G102" s="28" t="s">
        <v>450</v>
      </c>
      <c r="H102" s="14">
        <f>NETWORKDAYS($F102,$G102,Feriados!$A$2:$A$1189)</f>
        <v>1257</v>
      </c>
      <c r="I102" s="14">
        <f t="shared" si="98"/>
        <v>1800</v>
      </c>
      <c r="J102" t="s">
        <v>651</v>
      </c>
      <c r="K102" s="29">
        <v>5.3749999999999999E-2</v>
      </c>
      <c r="L102" s="30">
        <v>64206.45</v>
      </c>
      <c r="M102" s="31">
        <v>44927</v>
      </c>
      <c r="N102" s="18">
        <f>NETWORKDAYS($F102,$M102,Feriados!$A$2:$A$1189)</f>
        <v>1234</v>
      </c>
      <c r="O102" s="30">
        <v>61109.120000000003</v>
      </c>
      <c r="P102" s="31">
        <v>45108</v>
      </c>
      <c r="Q102" s="18">
        <f>NETWORKDAYS($F102,$P102,Feriados!$A$2:$A$1189)</f>
        <v>1358</v>
      </c>
      <c r="R102" s="17">
        <f t="shared" si="89"/>
        <v>63620.317479727113</v>
      </c>
      <c r="S102" s="26">
        <v>3.73</v>
      </c>
      <c r="T102" s="27">
        <v>44927</v>
      </c>
      <c r="U102" s="23">
        <f t="shared" si="90"/>
        <v>1770</v>
      </c>
      <c r="V102" s="26">
        <v>3.85</v>
      </c>
      <c r="W102" s="27">
        <v>45108</v>
      </c>
      <c r="X102" s="35">
        <f t="shared" si="91"/>
        <v>1950</v>
      </c>
      <c r="Y102" s="33">
        <f t="shared" si="92"/>
        <v>1.1972821965802076</v>
      </c>
      <c r="Z102" s="33">
        <f t="shared" si="93"/>
        <v>1.2270677622268877</v>
      </c>
      <c r="AA102" s="24">
        <f t="shared" si="94"/>
        <v>0.16666666666666666</v>
      </c>
      <c r="AB102" s="24">
        <f t="shared" si="95"/>
        <v>3.7516564041488065E-2</v>
      </c>
      <c r="AC102" s="25">
        <f t="shared" si="96"/>
        <v>9.4900319768617791E-2</v>
      </c>
      <c r="AD102" s="25">
        <f t="shared" si="99"/>
        <v>3.7516564041488065E-2</v>
      </c>
      <c r="AE102" s="21">
        <f t="shared" si="100"/>
        <v>5.7806331674783662E-2</v>
      </c>
      <c r="AF102" s="21">
        <f t="shared" si="101"/>
        <v>1.805013833392799E-2</v>
      </c>
      <c r="AG102" s="9">
        <f t="shared" si="102"/>
        <v>0.11295045810254578</v>
      </c>
      <c r="AK102" t="b">
        <f t="shared" si="103"/>
        <v>1</v>
      </c>
      <c r="AL102" t="b">
        <f t="shared" si="104"/>
        <v>1</v>
      </c>
      <c r="AM102" t="b">
        <f t="shared" si="105"/>
        <v>1</v>
      </c>
      <c r="AN102" t="b">
        <f t="shared" si="106"/>
        <v>1</v>
      </c>
    </row>
    <row r="103" spans="1:40" x14ac:dyDescent="0.35">
      <c r="A103">
        <f t="shared" si="88"/>
        <v>102</v>
      </c>
      <c r="B103" t="str">
        <f t="shared" ref="B103" si="107">C103&amp;F103&amp;G103</f>
        <v>Natura Cosméticos4466447227</v>
      </c>
      <c r="C103" t="s">
        <v>431</v>
      </c>
      <c r="D103" t="b">
        <f t="shared" si="97"/>
        <v>1</v>
      </c>
      <c r="E103" s="50">
        <v>44664</v>
      </c>
      <c r="F103" s="54">
        <f>VLOOKUP(A103,Base!B:K,10,0)</f>
        <v>44664</v>
      </c>
      <c r="G103" s="28">
        <v>47227</v>
      </c>
      <c r="H103" s="14">
        <f>NETWORKDAYS($F103,$G103,Feriados!$A$2:$A$1189)</f>
        <v>1762</v>
      </c>
      <c r="I103" s="14">
        <f t="shared" ref="I103" si="108">DAYS360(F103,G103,0)</f>
        <v>2526</v>
      </c>
      <c r="J103" t="s">
        <v>651</v>
      </c>
      <c r="K103" s="29">
        <v>6.1249999999999999E-2</v>
      </c>
      <c r="L103" s="30">
        <v>47477.45</v>
      </c>
      <c r="M103" s="31">
        <v>47119</v>
      </c>
      <c r="N103" s="18">
        <f>NETWORKDAYS($F103,$M103,Feriados!$A$2:$A$1189)</f>
        <v>1687</v>
      </c>
      <c r="O103" s="30">
        <v>42427.69</v>
      </c>
      <c r="P103" s="31">
        <v>47484</v>
      </c>
      <c r="Q103" s="18">
        <f>NETWORKDAYS($F103,$P103,Feriados!$A$2:$A$1189)</f>
        <v>1937</v>
      </c>
      <c r="R103" s="17">
        <f t="shared" si="89"/>
        <v>45902.462624121988</v>
      </c>
      <c r="S103" s="26">
        <v>3.53</v>
      </c>
      <c r="T103" s="27">
        <v>47119</v>
      </c>
      <c r="U103" s="23">
        <f t="shared" si="90"/>
        <v>2418</v>
      </c>
      <c r="V103" s="26">
        <v>3.6</v>
      </c>
      <c r="W103" s="27">
        <v>47484</v>
      </c>
      <c r="X103" s="35">
        <f t="shared" ref="X103" si="109">DAYS360($F103,W103,0)</f>
        <v>2778</v>
      </c>
      <c r="Y103" s="33">
        <f t="shared" ref="Y103" si="110">(1+S103%)^(U103/360)</f>
        <v>1.2623934643359134</v>
      </c>
      <c r="Z103" s="33">
        <f t="shared" ref="Z103" si="111">(1+V103%)^(X103/360)</f>
        <v>1.3137904861099636</v>
      </c>
      <c r="AA103" s="24">
        <f t="shared" ref="AA103" si="112">(I103-U103)/(X103-U103)</f>
        <v>0.3</v>
      </c>
      <c r="AB103" s="24">
        <f t="shared" ref="AB103" si="113">(Y103*((Z103/Y103)^AA103))^(360/I103)-1</f>
        <v>3.5530897821667295E-2</v>
      </c>
      <c r="AC103" s="25">
        <f t="shared" si="96"/>
        <v>0.11779967587853912</v>
      </c>
      <c r="AD103" s="25">
        <f t="shared" ref="AD103" si="114">+AB103</f>
        <v>3.5530897821667295E-2</v>
      </c>
      <c r="AE103" s="21">
        <f t="shared" si="100"/>
        <v>8.2775322700153975E-2</v>
      </c>
      <c r="AF103" s="21">
        <f t="shared" ref="AF103" si="115">IFERROR(((((1+$K103)*(1+AE103))^($H103/252))/((1+$AC103)^($H103/252)))^(252/$H103)-1,"NA")</f>
        <v>2.7997534810879632E-2</v>
      </c>
      <c r="AG103" s="9">
        <f t="shared" ref="AG103" si="116">AC103+AF103</f>
        <v>0.14579721068941875</v>
      </c>
    </row>
    <row r="104" spans="1:40" x14ac:dyDescent="0.35">
      <c r="A104">
        <f t="shared" si="88"/>
        <v>103</v>
      </c>
      <c r="B104" t="str">
        <f t="shared" ref="B104:B164" si="117">C104&amp;F104&amp;G104</f>
        <v>Oi4094910/02/2022</v>
      </c>
      <c r="C104" t="s">
        <v>452</v>
      </c>
      <c r="D104" t="b">
        <f t="shared" si="97"/>
        <v>1</v>
      </c>
      <c r="E104" s="50">
        <v>40949</v>
      </c>
      <c r="F104" s="54">
        <f>VLOOKUP(A104,Base!B:K,10,0)</f>
        <v>40949</v>
      </c>
      <c r="G104" s="28" t="s">
        <v>396</v>
      </c>
      <c r="H104" s="14">
        <f>NETWORKDAYS($F104,$G104,Feriados!$A$2:$A$1189)</f>
        <v>2512</v>
      </c>
      <c r="I104" s="14">
        <f t="shared" si="98"/>
        <v>3600</v>
      </c>
      <c r="J104" t="s">
        <v>651</v>
      </c>
      <c r="K104" s="29">
        <v>5.7500000000000002E-2</v>
      </c>
      <c r="L104" s="30">
        <v>34700.629999999997</v>
      </c>
      <c r="M104" s="31">
        <v>44562</v>
      </c>
      <c r="N104" s="18">
        <f>NETWORKDAYS($F104,$M104,Feriados!$A$2:$A$1189)</f>
        <v>2483</v>
      </c>
      <c r="O104" s="30">
        <v>31028.15</v>
      </c>
      <c r="P104" s="31">
        <v>44927</v>
      </c>
      <c r="Q104" s="18">
        <f>NETWORKDAYS($F104,$P104,Feriados!$A$2:$A$1189)</f>
        <v>2734</v>
      </c>
      <c r="R104" s="17">
        <f t="shared" si="89"/>
        <v>34255.030633422211</v>
      </c>
      <c r="S104" s="26">
        <v>4.54</v>
      </c>
      <c r="T104" s="27">
        <v>44562</v>
      </c>
      <c r="U104" s="23">
        <f t="shared" si="90"/>
        <v>3561</v>
      </c>
      <c r="V104" s="26">
        <v>4.84</v>
      </c>
      <c r="W104" s="27">
        <v>44927</v>
      </c>
      <c r="X104" s="35">
        <f t="shared" si="91"/>
        <v>3921</v>
      </c>
      <c r="Y104" s="33">
        <f t="shared" si="92"/>
        <v>1.5514437013842353</v>
      </c>
      <c r="Z104" s="33">
        <f t="shared" si="93"/>
        <v>1.6732983212948473</v>
      </c>
      <c r="AA104" s="24">
        <f t="shared" si="94"/>
        <v>0.10833333333333334</v>
      </c>
      <c r="AB104" s="24">
        <f t="shared" si="95"/>
        <v>4.5753531991649554E-2</v>
      </c>
      <c r="AC104" s="25">
        <f t="shared" si="96"/>
        <v>0.11346287381085962</v>
      </c>
      <c r="AD104" s="25">
        <f t="shared" si="99"/>
        <v>4.5753531991649554E-2</v>
      </c>
      <c r="AE104" s="21">
        <f t="shared" si="100"/>
        <v>7.2165242590507273E-2</v>
      </c>
      <c r="AF104" s="21">
        <f t="shared" si="101"/>
        <v>1.8277996246921946E-2</v>
      </c>
      <c r="AG104" s="9">
        <f t="shared" si="102"/>
        <v>0.13174087005778157</v>
      </c>
      <c r="AK104" t="b">
        <f t="shared" si="103"/>
        <v>1</v>
      </c>
      <c r="AL104" t="b">
        <f t="shared" si="104"/>
        <v>1</v>
      </c>
      <c r="AM104" t="b">
        <f t="shared" si="105"/>
        <v>1</v>
      </c>
      <c r="AN104" t="b">
        <f t="shared" si="106"/>
        <v>1</v>
      </c>
    </row>
    <row r="105" spans="1:40" x14ac:dyDescent="0.35">
      <c r="A105">
        <f t="shared" si="88"/>
        <v>104</v>
      </c>
      <c r="B105" t="str">
        <f t="shared" si="117"/>
        <v>Oi4330827/07/2025</v>
      </c>
      <c r="C105" t="s">
        <v>452</v>
      </c>
      <c r="D105" t="b">
        <f t="shared" si="97"/>
        <v>1</v>
      </c>
      <c r="E105" s="50">
        <v>43308</v>
      </c>
      <c r="F105" s="54">
        <f>VLOOKUP(A105,Base!B:K,10,0)</f>
        <v>43308</v>
      </c>
      <c r="G105" s="28" t="s">
        <v>461</v>
      </c>
      <c r="H105" s="14">
        <f>NETWORKDAYS($F105,$G105,Feriados!$A$2:$A$1189)</f>
        <v>1757</v>
      </c>
      <c r="I105" s="14">
        <f t="shared" si="98"/>
        <v>2520</v>
      </c>
      <c r="J105" t="s">
        <v>651</v>
      </c>
      <c r="K105" s="29">
        <v>0.1</v>
      </c>
      <c r="L105" s="30">
        <v>48778.11</v>
      </c>
      <c r="M105" s="31">
        <v>45839</v>
      </c>
      <c r="N105" s="18">
        <f>NETWORKDAYS($F105,$M105,Feriados!$A$2:$A$1189)</f>
        <v>1739</v>
      </c>
      <c r="O105" s="30">
        <v>45962.54</v>
      </c>
      <c r="P105" s="31">
        <v>46023</v>
      </c>
      <c r="Q105" s="18">
        <f>NETWORKDAYS($F105,$P105,Feriados!$A$2:$A$1189)</f>
        <v>1869</v>
      </c>
      <c r="R105" s="17">
        <f t="shared" si="89"/>
        <v>48378.2061234578</v>
      </c>
      <c r="S105" s="26">
        <v>4.97</v>
      </c>
      <c r="T105" s="27">
        <v>45839</v>
      </c>
      <c r="U105" s="23">
        <f t="shared" si="90"/>
        <v>2494</v>
      </c>
      <c r="V105" s="26">
        <v>5.07</v>
      </c>
      <c r="W105" s="27">
        <v>46023</v>
      </c>
      <c r="X105" s="35">
        <f t="shared" si="91"/>
        <v>2674</v>
      </c>
      <c r="Y105" s="33">
        <f t="shared" si="92"/>
        <v>1.3993778810873798</v>
      </c>
      <c r="Z105" s="33">
        <f t="shared" si="93"/>
        <v>1.4439070941358063</v>
      </c>
      <c r="AA105" s="24">
        <f t="shared" si="94"/>
        <v>0.14444444444444443</v>
      </c>
      <c r="AB105" s="24">
        <f t="shared" si="95"/>
        <v>4.9853209823779387E-2</v>
      </c>
      <c r="AC105" s="25">
        <f t="shared" si="96"/>
        <v>0.10976114807376547</v>
      </c>
      <c r="AD105" s="25">
        <f t="shared" si="99"/>
        <v>4.9853209823779387E-2</v>
      </c>
      <c r="AE105" s="21">
        <f t="shared" si="100"/>
        <v>6.3123346377536693E-2</v>
      </c>
      <c r="AF105" s="21">
        <f t="shared" si="101"/>
        <v>5.3772411338334658E-2</v>
      </c>
      <c r="AG105" s="9">
        <f t="shared" si="102"/>
        <v>0.16353355941210013</v>
      </c>
      <c r="AK105" t="b">
        <f t="shared" si="103"/>
        <v>1</v>
      </c>
      <c r="AL105" t="b">
        <f t="shared" si="104"/>
        <v>1</v>
      </c>
      <c r="AM105" t="b">
        <f t="shared" si="105"/>
        <v>1</v>
      </c>
      <c r="AN105" t="b">
        <f t="shared" si="106"/>
        <v>1</v>
      </c>
    </row>
    <row r="106" spans="1:40" x14ac:dyDescent="0.35">
      <c r="A106">
        <f t="shared" si="88"/>
        <v>105</v>
      </c>
      <c r="B106" t="str">
        <f t="shared" si="117"/>
        <v>Petrobras4398503/01/2031</v>
      </c>
      <c r="C106" t="s">
        <v>463</v>
      </c>
      <c r="D106" t="b">
        <f t="shared" si="97"/>
        <v>1</v>
      </c>
      <c r="E106" s="50">
        <v>43985</v>
      </c>
      <c r="F106" s="54">
        <f>VLOOKUP(A106,Base!B:K,10,0)</f>
        <v>43985</v>
      </c>
      <c r="G106" s="28" t="s">
        <v>475</v>
      </c>
      <c r="H106" s="14">
        <f>NETWORKDAYS($F106,$G106,Feriados!$A$2:$A$1189)</f>
        <v>2660</v>
      </c>
      <c r="I106" s="14">
        <f t="shared" si="98"/>
        <v>3810</v>
      </c>
      <c r="J106" t="s">
        <v>651</v>
      </c>
      <c r="K106" s="29">
        <v>5.5999999999999994E-2</v>
      </c>
      <c r="L106" s="30">
        <v>45712.160000000003</v>
      </c>
      <c r="M106" s="31">
        <v>47849</v>
      </c>
      <c r="N106" s="18">
        <f>NETWORKDAYS($F106,$M106,Feriados!$A$2:$A$1189)</f>
        <v>2658</v>
      </c>
      <c r="O106" s="30">
        <v>38520.29</v>
      </c>
      <c r="P106" s="31">
        <v>48580</v>
      </c>
      <c r="Q106" s="18">
        <f>NETWORKDAYS($F106,$P106,Feriados!$A$2:$A$1189)</f>
        <v>3163</v>
      </c>
      <c r="R106" s="17">
        <f t="shared" si="89"/>
        <v>45681.180512722567</v>
      </c>
      <c r="S106" s="26">
        <v>2.54</v>
      </c>
      <c r="T106" s="27">
        <v>47849</v>
      </c>
      <c r="U106" s="23">
        <f t="shared" si="90"/>
        <v>3808</v>
      </c>
      <c r="V106" s="26">
        <v>2.63</v>
      </c>
      <c r="W106" s="27">
        <v>48580</v>
      </c>
      <c r="X106" s="35">
        <f t="shared" si="91"/>
        <v>4528</v>
      </c>
      <c r="Y106" s="33">
        <f t="shared" si="92"/>
        <v>1.3038482405374343</v>
      </c>
      <c r="Z106" s="33">
        <f t="shared" si="93"/>
        <v>1.3861365126429575</v>
      </c>
      <c r="AA106" s="24">
        <f t="shared" si="94"/>
        <v>2.7777777777777779E-3</v>
      </c>
      <c r="AB106" s="24">
        <f t="shared" si="95"/>
        <v>2.5402969829783073E-2</v>
      </c>
      <c r="AC106" s="25">
        <f t="shared" si="96"/>
        <v>7.7048876211694317E-2</v>
      </c>
      <c r="AD106" s="25">
        <f t="shared" si="99"/>
        <v>2.5402969829783073E-2</v>
      </c>
      <c r="AE106" s="21">
        <f t="shared" si="100"/>
        <v>5.3025067694997041E-2</v>
      </c>
      <c r="AF106" s="21">
        <f t="shared" si="101"/>
        <v>3.2445691227251272E-2</v>
      </c>
      <c r="AG106" s="9">
        <f t="shared" si="102"/>
        <v>0.10949456743894559</v>
      </c>
      <c r="AK106" t="b">
        <f t="shared" si="103"/>
        <v>1</v>
      </c>
      <c r="AL106" t="b">
        <f t="shared" si="104"/>
        <v>1</v>
      </c>
      <c r="AM106" t="b">
        <f t="shared" si="105"/>
        <v>1</v>
      </c>
      <c r="AN106" t="b">
        <f t="shared" si="106"/>
        <v>1</v>
      </c>
    </row>
    <row r="107" spans="1:40" x14ac:dyDescent="0.35">
      <c r="A107">
        <f t="shared" si="88"/>
        <v>106</v>
      </c>
      <c r="B107" t="str">
        <f t="shared" si="117"/>
        <v>Petrobras4171517/03/2044</v>
      </c>
      <c r="C107" t="s">
        <v>463</v>
      </c>
      <c r="D107" t="b">
        <f t="shared" si="97"/>
        <v>1</v>
      </c>
      <c r="E107" s="50">
        <v>41715</v>
      </c>
      <c r="F107" s="54">
        <f>VLOOKUP(A107,Base!B:K,10,0)</f>
        <v>41715</v>
      </c>
      <c r="G107" s="28" t="s">
        <v>477</v>
      </c>
      <c r="H107" s="14">
        <f>NETWORKDAYS($F107,$G107,Feriados!$A$2:$A$1189)</f>
        <v>7538</v>
      </c>
      <c r="I107" s="14">
        <f t="shared" si="98"/>
        <v>10800</v>
      </c>
      <c r="J107" t="s">
        <v>651</v>
      </c>
      <c r="K107" s="29">
        <v>7.2499999999999995E-2</v>
      </c>
      <c r="L107" s="30" t="s">
        <v>29</v>
      </c>
      <c r="M107" s="31" t="s">
        <v>29</v>
      </c>
      <c r="N107" s="18" t="s">
        <v>29</v>
      </c>
      <c r="O107" s="30">
        <v>22915.75</v>
      </c>
      <c r="P107" s="31">
        <v>46023</v>
      </c>
      <c r="Q107" s="18">
        <f>NETWORKDAYS($F107,$P107,Feriados!$A$2:$A$1189)</f>
        <v>2965</v>
      </c>
      <c r="R107" s="17" t="s">
        <v>29</v>
      </c>
      <c r="S107" s="26" t="s">
        <v>29</v>
      </c>
      <c r="T107" s="27" t="s">
        <v>29</v>
      </c>
      <c r="U107" s="23" t="s">
        <v>29</v>
      </c>
      <c r="V107" s="26" t="s">
        <v>29</v>
      </c>
      <c r="W107" s="27" t="s">
        <v>29</v>
      </c>
      <c r="X107" s="35" t="s">
        <v>29</v>
      </c>
      <c r="Y107" s="33" t="s">
        <v>29</v>
      </c>
      <c r="Z107" s="33" t="s">
        <v>29</v>
      </c>
      <c r="AA107" s="24" t="s">
        <v>29</v>
      </c>
      <c r="AB107" s="26">
        <v>6.2100000000000002E-2</v>
      </c>
      <c r="AC107" s="37">
        <f>($AG$1/$O107)^(252/Q107)-1</f>
        <v>0.13340000027194998</v>
      </c>
      <c r="AD107" s="25">
        <f t="shared" si="99"/>
        <v>6.2100000000000002E-2</v>
      </c>
      <c r="AE107" s="21">
        <f t="shared" si="100"/>
        <v>9.4236981417718413E-2</v>
      </c>
      <c r="AF107" s="21">
        <f t="shared" si="101"/>
        <v>3.544129370823601E-2</v>
      </c>
      <c r="AG107" s="9">
        <f t="shared" si="102"/>
        <v>0.16884129398018599</v>
      </c>
      <c r="AK107" t="b">
        <f t="shared" si="103"/>
        <v>0</v>
      </c>
      <c r="AL107" t="b">
        <f t="shared" si="104"/>
        <v>0</v>
      </c>
      <c r="AM107" t="b">
        <f t="shared" si="105"/>
        <v>0</v>
      </c>
      <c r="AN107" t="b">
        <f t="shared" si="106"/>
        <v>1</v>
      </c>
    </row>
    <row r="108" spans="1:40" x14ac:dyDescent="0.35">
      <c r="A108">
        <f t="shared" si="88"/>
        <v>107</v>
      </c>
      <c r="B108" t="str">
        <f t="shared" si="117"/>
        <v>Petrobras4435710/06/2051</v>
      </c>
      <c r="C108" t="s">
        <v>463</v>
      </c>
      <c r="D108" t="b">
        <f t="shared" si="97"/>
        <v>1</v>
      </c>
      <c r="E108" s="50">
        <v>44357</v>
      </c>
      <c r="F108" s="54">
        <f>VLOOKUP(A108,Base!B:K,10,0)</f>
        <v>44357</v>
      </c>
      <c r="G108" s="28" t="s">
        <v>478</v>
      </c>
      <c r="H108" s="14">
        <f>NETWORKDAYS($F108,$G108,Feriados!$A$2:$A$1189)</f>
        <v>7536</v>
      </c>
      <c r="I108" s="14">
        <f t="shared" si="98"/>
        <v>10800</v>
      </c>
      <c r="J108" t="s">
        <v>651</v>
      </c>
      <c r="K108" s="29">
        <v>5.5E-2</v>
      </c>
      <c r="L108" s="30" t="s">
        <v>29</v>
      </c>
      <c r="M108" s="31" t="s">
        <v>29</v>
      </c>
      <c r="N108" s="18" t="s">
        <v>29</v>
      </c>
      <c r="O108" s="30">
        <v>27105.24</v>
      </c>
      <c r="P108" s="31">
        <v>49675</v>
      </c>
      <c r="Q108" s="18">
        <f>NETWORKDAYS($F108,$P108,Feriados!$A$2:$A$1189)</f>
        <v>3658</v>
      </c>
      <c r="R108" s="17" t="s">
        <v>29</v>
      </c>
      <c r="S108" s="26" t="s">
        <v>29</v>
      </c>
      <c r="T108" s="27" t="s">
        <v>29</v>
      </c>
      <c r="U108" s="23" t="s">
        <v>29</v>
      </c>
      <c r="V108" s="26" t="s">
        <v>29</v>
      </c>
      <c r="W108" s="27" t="s">
        <v>29</v>
      </c>
      <c r="X108" s="35" t="s">
        <v>29</v>
      </c>
      <c r="Y108" s="33" t="s">
        <v>29</v>
      </c>
      <c r="Z108" s="33" t="s">
        <v>29</v>
      </c>
      <c r="AA108" s="24" t="s">
        <v>29</v>
      </c>
      <c r="AB108" s="26">
        <v>2.3900000000000001E-2</v>
      </c>
      <c r="AC108" s="37">
        <f>($AG$1/$O108)^(252/Q108)-1</f>
        <v>9.4100004999577047E-2</v>
      </c>
      <c r="AD108" s="25">
        <f t="shared" si="99"/>
        <v>2.3900000000000001E-2</v>
      </c>
      <c r="AE108" s="21">
        <f t="shared" si="100"/>
        <v>7.4500002841584312E-2</v>
      </c>
      <c r="AF108" s="21">
        <f t="shared" si="101"/>
        <v>3.6100445862176533E-2</v>
      </c>
      <c r="AG108" s="9">
        <f t="shared" si="102"/>
        <v>0.13020045086175358</v>
      </c>
      <c r="AK108" t="b">
        <f t="shared" si="103"/>
        <v>0</v>
      </c>
      <c r="AL108" t="b">
        <f t="shared" si="104"/>
        <v>0</v>
      </c>
      <c r="AM108" t="b">
        <f t="shared" si="105"/>
        <v>0</v>
      </c>
      <c r="AN108" t="b">
        <f t="shared" si="106"/>
        <v>1</v>
      </c>
    </row>
    <row r="109" spans="1:40" x14ac:dyDescent="0.35">
      <c r="A109">
        <f t="shared" si="88"/>
        <v>108</v>
      </c>
      <c r="B109" t="str">
        <f t="shared" si="117"/>
        <v>Petrobras4275217/01/2027</v>
      </c>
      <c r="C109" t="s">
        <v>463</v>
      </c>
      <c r="D109" t="b">
        <f t="shared" si="97"/>
        <v>1</v>
      </c>
      <c r="E109" s="50">
        <v>42752</v>
      </c>
      <c r="F109" s="54">
        <f>VLOOKUP(A109,Base!B:K,10,0)</f>
        <v>42752</v>
      </c>
      <c r="G109" s="28" t="s">
        <v>479</v>
      </c>
      <c r="H109" s="14">
        <f>NETWORKDAYS($F109,$G109,Feriados!$A$2:$A$1189)</f>
        <v>2510</v>
      </c>
      <c r="I109" s="14">
        <f t="shared" si="98"/>
        <v>3600</v>
      </c>
      <c r="J109" t="s">
        <v>651</v>
      </c>
      <c r="K109" s="29">
        <v>7.3749999999999996E-2</v>
      </c>
      <c r="L109" s="30">
        <v>34851.69</v>
      </c>
      <c r="M109" s="31">
        <v>46388</v>
      </c>
      <c r="N109" s="18">
        <f>NETWORKDAYS($F109,$M109,Feriados!$A$2:$A$1189)</f>
        <v>2500</v>
      </c>
      <c r="O109" s="30">
        <v>31351.84</v>
      </c>
      <c r="P109" s="31">
        <v>46753</v>
      </c>
      <c r="Q109" s="18">
        <f>NETWORKDAYS($F109,$P109,Feriados!$A$2:$A$1189)</f>
        <v>2751</v>
      </c>
      <c r="R109" s="17">
        <f>$L109*(($O109/$L109)^(($H109-$N109)/($Q109-$N109)))</f>
        <v>34705.054800233331</v>
      </c>
      <c r="S109" s="26">
        <v>6.06</v>
      </c>
      <c r="T109" s="27">
        <v>46388</v>
      </c>
      <c r="U109" s="23">
        <f>DAYS360($F109,T109,0)</f>
        <v>3584</v>
      </c>
      <c r="V109" s="26">
        <v>6.37</v>
      </c>
      <c r="W109" s="27">
        <v>46753</v>
      </c>
      <c r="X109" s="35">
        <f>DAYS360($F109,W109,0)</f>
        <v>3944</v>
      </c>
      <c r="Y109" s="33">
        <f>(1+S109%)^(U109/360)</f>
        <v>1.7963071565648872</v>
      </c>
      <c r="Z109" s="33">
        <f>(1+V109%)^(X109/360)</f>
        <v>1.9670653531526692</v>
      </c>
      <c r="AA109" s="24">
        <f>(I109-U109)/(X109-U109)</f>
        <v>4.4444444444444446E-2</v>
      </c>
      <c r="AB109" s="24">
        <f>(Y109*((Z109/Y109)^AA109))^(360/I109)-1</f>
        <v>6.0750733755019048E-2</v>
      </c>
      <c r="AC109" s="25">
        <f>IFERROR(($AG$1/$R109)^(252/$H109)-1,"NA")</f>
        <v>0.1120999904355986</v>
      </c>
      <c r="AD109" s="25">
        <f t="shared" si="99"/>
        <v>6.0750733755019048E-2</v>
      </c>
      <c r="AE109" s="21">
        <f t="shared" si="100"/>
        <v>6.0343083723505497E-2</v>
      </c>
      <c r="AF109" s="21">
        <f t="shared" si="101"/>
        <v>2.3777894020265089E-2</v>
      </c>
      <c r="AG109" s="9">
        <f t="shared" si="102"/>
        <v>0.13587788445586368</v>
      </c>
      <c r="AK109" t="b">
        <f t="shared" si="103"/>
        <v>1</v>
      </c>
      <c r="AL109" t="b">
        <f t="shared" si="104"/>
        <v>1</v>
      </c>
      <c r="AM109" t="b">
        <f t="shared" si="105"/>
        <v>1</v>
      </c>
      <c r="AN109" t="b">
        <f t="shared" si="106"/>
        <v>1</v>
      </c>
    </row>
    <row r="110" spans="1:40" x14ac:dyDescent="0.35">
      <c r="A110">
        <f t="shared" si="88"/>
        <v>109</v>
      </c>
      <c r="B110" t="str">
        <f t="shared" si="117"/>
        <v>Petrobras4354319/03/2049</v>
      </c>
      <c r="C110" t="s">
        <v>463</v>
      </c>
      <c r="D110" t="b">
        <f t="shared" si="97"/>
        <v>1</v>
      </c>
      <c r="E110" s="50">
        <v>43543</v>
      </c>
      <c r="F110" s="54">
        <f>VLOOKUP(A110,Base!B:K,10,0)</f>
        <v>43543</v>
      </c>
      <c r="G110" s="28" t="s">
        <v>480</v>
      </c>
      <c r="H110" s="14">
        <f>NETWORKDAYS($F110,$G110,Feriados!$A$2:$A$1189)</f>
        <v>7538</v>
      </c>
      <c r="I110" s="14">
        <f t="shared" si="98"/>
        <v>10800</v>
      </c>
      <c r="J110" t="s">
        <v>651</v>
      </c>
      <c r="K110" s="29">
        <v>6.9000000000000006E-2</v>
      </c>
      <c r="L110" s="30" t="s">
        <v>29</v>
      </c>
      <c r="M110" s="31" t="s">
        <v>29</v>
      </c>
      <c r="N110" s="18" t="s">
        <v>29</v>
      </c>
      <c r="O110" s="30">
        <v>36029.919999999998</v>
      </c>
      <c r="P110" s="31">
        <v>47849</v>
      </c>
      <c r="Q110" s="18">
        <f>NETWORKDAYS($F110,$P110,Feriados!$A$2:$A$1189)</f>
        <v>2963</v>
      </c>
      <c r="R110" s="17" t="s">
        <v>29</v>
      </c>
      <c r="S110" s="26" t="s">
        <v>29</v>
      </c>
      <c r="T110" s="27" t="s">
        <v>29</v>
      </c>
      <c r="U110" s="23" t="s">
        <v>29</v>
      </c>
      <c r="V110" s="26" t="s">
        <v>29</v>
      </c>
      <c r="W110" s="27" t="s">
        <v>29</v>
      </c>
      <c r="X110" s="35" t="s">
        <v>29</v>
      </c>
      <c r="Y110" s="33" t="s">
        <v>29</v>
      </c>
      <c r="Z110" s="33" t="s">
        <v>29</v>
      </c>
      <c r="AA110" s="24" t="s">
        <v>29</v>
      </c>
      <c r="AB110" s="26">
        <v>4.6199999999999998E-2</v>
      </c>
      <c r="AC110" s="37">
        <f>($AG$1/$O110)^(252/Q110)-1</f>
        <v>9.0700005193390609E-2</v>
      </c>
      <c r="AD110" s="25">
        <f t="shared" si="99"/>
        <v>4.6199999999999998E-2</v>
      </c>
      <c r="AE110" s="21">
        <f t="shared" si="100"/>
        <v>5.9447788944651192E-2</v>
      </c>
      <c r="AF110" s="21">
        <f t="shared" si="101"/>
        <v>3.8369561739408864E-2</v>
      </c>
      <c r="AG110" s="9">
        <f t="shared" si="102"/>
        <v>0.12906956693279947</v>
      </c>
      <c r="AK110" t="b">
        <f t="shared" si="103"/>
        <v>0</v>
      </c>
      <c r="AL110" t="b">
        <f t="shared" si="104"/>
        <v>0</v>
      </c>
      <c r="AM110" t="b">
        <f t="shared" si="105"/>
        <v>0</v>
      </c>
      <c r="AN110" t="b">
        <f t="shared" si="106"/>
        <v>1</v>
      </c>
    </row>
    <row r="111" spans="1:40" x14ac:dyDescent="0.35">
      <c r="A111">
        <f t="shared" si="88"/>
        <v>110</v>
      </c>
      <c r="B111" t="str">
        <f t="shared" si="117"/>
        <v>Petrobras4171517/03/2024</v>
      </c>
      <c r="C111" t="s">
        <v>463</v>
      </c>
      <c r="D111" t="b">
        <f t="shared" si="97"/>
        <v>1</v>
      </c>
      <c r="E111" s="50">
        <v>41715</v>
      </c>
      <c r="F111" s="54">
        <f>VLOOKUP(A111,Base!B:K,10,0)</f>
        <v>41715</v>
      </c>
      <c r="G111" s="28" t="s">
        <v>481</v>
      </c>
      <c r="H111" s="14">
        <f>NETWORKDAYS($F111,$G111,Feriados!$A$2:$A$1189)</f>
        <v>2510</v>
      </c>
      <c r="I111" s="14">
        <f t="shared" si="98"/>
        <v>3600</v>
      </c>
      <c r="J111" t="s">
        <v>651</v>
      </c>
      <c r="K111" s="29">
        <v>6.25E-2</v>
      </c>
      <c r="L111" s="30">
        <v>29736.31</v>
      </c>
      <c r="M111" s="31">
        <v>45292</v>
      </c>
      <c r="N111" s="18">
        <f>NETWORKDAYS($F111,$M111,Feriados!$A$2:$A$1189)</f>
        <v>2458</v>
      </c>
      <c r="O111" s="30">
        <v>27842.75</v>
      </c>
      <c r="P111" s="31">
        <v>45474</v>
      </c>
      <c r="Q111" s="18">
        <f>NETWORKDAYS($F111,$P111,Feriados!$A$2:$A$1189)</f>
        <v>2583</v>
      </c>
      <c r="R111" s="17">
        <f>$L111*(($O111/$L111)^(($H111-$N111)/($Q111-$N111)))</f>
        <v>28933.428395718973</v>
      </c>
      <c r="S111" s="26">
        <v>5.45</v>
      </c>
      <c r="T111" s="27">
        <v>45292</v>
      </c>
      <c r="U111" s="23">
        <f>DAYS360($F111,T111,0)</f>
        <v>3524</v>
      </c>
      <c r="V111" s="26">
        <v>5.93</v>
      </c>
      <c r="W111" s="27">
        <v>45658</v>
      </c>
      <c r="X111" s="35">
        <f>DAYS360($F111,W111,0)</f>
        <v>3884</v>
      </c>
      <c r="Y111" s="33">
        <f>(1+S111%)^(U111/360)</f>
        <v>1.6811267194309474</v>
      </c>
      <c r="Z111" s="33">
        <f>(1+V111%)^(X111/360)</f>
        <v>1.8617737902047446</v>
      </c>
      <c r="AA111" s="24">
        <f>(I111-U111)/(X111-U111)</f>
        <v>0.21111111111111111</v>
      </c>
      <c r="AB111" s="24">
        <f>(Y111*((Z111/Y111)^AA111))^(360/I111)-1</f>
        <v>5.559135771350765E-2</v>
      </c>
      <c r="AC111" s="25">
        <f>IFERROR(($AG$1/$R111)^(252/$H111)-1,"NA")</f>
        <v>0.13259487465871467</v>
      </c>
      <c r="AD111" s="25">
        <f t="shared" si="99"/>
        <v>5.559135771350765E-2</v>
      </c>
      <c r="AE111" s="21">
        <f t="shared" si="100"/>
        <v>8.3426756230930543E-2</v>
      </c>
      <c r="AF111" s="21">
        <f t="shared" si="101"/>
        <v>1.6374834684147466E-2</v>
      </c>
      <c r="AG111" s="9">
        <f t="shared" si="102"/>
        <v>0.14896970934286213</v>
      </c>
      <c r="AK111" t="b">
        <f t="shared" si="103"/>
        <v>1</v>
      </c>
      <c r="AL111" t="b">
        <f t="shared" si="104"/>
        <v>1</v>
      </c>
      <c r="AM111" t="b">
        <f t="shared" si="105"/>
        <v>1</v>
      </c>
      <c r="AN111" t="b">
        <f t="shared" si="106"/>
        <v>1</v>
      </c>
    </row>
    <row r="112" spans="1:40" x14ac:dyDescent="0.35">
      <c r="A112">
        <f t="shared" si="88"/>
        <v>111</v>
      </c>
      <c r="B112" t="str">
        <f t="shared" si="117"/>
        <v>Petrobras4313201/02/2029</v>
      </c>
      <c r="C112" t="s">
        <v>463</v>
      </c>
      <c r="D112" t="b">
        <f t="shared" si="97"/>
        <v>1</v>
      </c>
      <c r="E112" s="50">
        <v>43132</v>
      </c>
      <c r="F112" s="54">
        <f>VLOOKUP(A112,Base!B:K,10,0)</f>
        <v>43132</v>
      </c>
      <c r="G112" s="28" t="s">
        <v>483</v>
      </c>
      <c r="H112" s="14">
        <f>NETWORKDAYS($F112,$G112,Feriados!$A$2:$A$1189)</f>
        <v>2763</v>
      </c>
      <c r="I112" s="14">
        <f t="shared" si="98"/>
        <v>3960</v>
      </c>
      <c r="J112" t="s">
        <v>651</v>
      </c>
      <c r="K112" s="29">
        <v>5.7500000000000002E-2</v>
      </c>
      <c r="L112" s="30">
        <v>34851.06</v>
      </c>
      <c r="M112" s="31">
        <v>47119</v>
      </c>
      <c r="N112" s="18">
        <f>NETWORKDAYS($F112,$M112,Feriados!$A$2:$A$1189)</f>
        <v>2740</v>
      </c>
      <c r="O112" s="30">
        <v>31526.11</v>
      </c>
      <c r="P112" s="31">
        <v>47484</v>
      </c>
      <c r="Q112" s="18">
        <f>NETWORKDAYS($F112,$P112,Feriados!$A$2:$A$1189)</f>
        <v>2990</v>
      </c>
      <c r="R112" s="17">
        <f>$L112*(($O112/$L112)^(($H112-$N112)/($Q112-$N112)))</f>
        <v>34531.050935136547</v>
      </c>
      <c r="S112" s="26">
        <v>4.7</v>
      </c>
      <c r="T112" s="27">
        <v>47119</v>
      </c>
      <c r="U112" s="23">
        <f>DAYS360($F112,T112,0)</f>
        <v>3930</v>
      </c>
      <c r="V112" s="26">
        <v>4.76</v>
      </c>
      <c r="W112" s="27">
        <v>47484</v>
      </c>
      <c r="X112" s="35">
        <f>DAYS360($F112,W112,0)</f>
        <v>4290</v>
      </c>
      <c r="Y112" s="33">
        <f>(1+S112%)^(U112/360)</f>
        <v>1.651015973244228</v>
      </c>
      <c r="Z112" s="33">
        <f>(1+V112%)^(X112/360)</f>
        <v>1.7404554833541914</v>
      </c>
      <c r="AA112" s="24">
        <f>(I112-U112)/(X112-U112)</f>
        <v>8.3333333333333329E-2</v>
      </c>
      <c r="AB112" s="24">
        <f>(Y112*((Z112/Y112)^AA112))^(360/I112)-1</f>
        <v>4.7054152552439721E-2</v>
      </c>
      <c r="AC112" s="25">
        <f>IFERROR(($AG$1/$R112)^(252/$H112)-1,"NA")</f>
        <v>0.10183781517936108</v>
      </c>
      <c r="AD112" s="25">
        <f t="shared" si="99"/>
        <v>4.7054152552439721E-2</v>
      </c>
      <c r="AE112" s="21">
        <f t="shared" si="100"/>
        <v>6.0706657238653872E-2</v>
      </c>
      <c r="AF112" s="21">
        <f t="shared" si="101"/>
        <v>1.8023954684549093E-2</v>
      </c>
      <c r="AG112" s="9">
        <f t="shared" si="102"/>
        <v>0.11986176986391017</v>
      </c>
      <c r="AK112" t="b">
        <f t="shared" si="103"/>
        <v>1</v>
      </c>
      <c r="AL112" t="b">
        <f t="shared" si="104"/>
        <v>1</v>
      </c>
      <c r="AM112" t="b">
        <f t="shared" si="105"/>
        <v>1</v>
      </c>
      <c r="AN112" t="b">
        <f t="shared" si="106"/>
        <v>1</v>
      </c>
    </row>
    <row r="113" spans="1:40" x14ac:dyDescent="0.35">
      <c r="A113">
        <f t="shared" si="88"/>
        <v>112</v>
      </c>
      <c r="B113" t="str">
        <f t="shared" si="117"/>
        <v>Petrobras4057027/01/2041</v>
      </c>
      <c r="C113" t="s">
        <v>463</v>
      </c>
      <c r="D113" t="b">
        <f t="shared" si="97"/>
        <v>1</v>
      </c>
      <c r="E113" s="50">
        <v>40570</v>
      </c>
      <c r="F113" s="54">
        <f>VLOOKUP(A113,Base!B:K,10,0)</f>
        <v>40570</v>
      </c>
      <c r="G113" s="28" t="s">
        <v>485</v>
      </c>
      <c r="H113" s="14">
        <f>NETWORKDAYS($F113,$G113,Feriados!$A$2:$A$1189)</f>
        <v>7535</v>
      </c>
      <c r="I113" s="14">
        <f t="shared" si="98"/>
        <v>10800</v>
      </c>
      <c r="J113" t="s">
        <v>651</v>
      </c>
      <c r="K113" s="29">
        <v>6.7500000000000004E-2</v>
      </c>
      <c r="L113" s="30" t="s">
        <v>29</v>
      </c>
      <c r="M113" s="31" t="s">
        <v>29</v>
      </c>
      <c r="N113" s="18" t="s">
        <v>29</v>
      </c>
      <c r="O113" s="30">
        <v>19415.27</v>
      </c>
      <c r="P113" s="31">
        <v>45658</v>
      </c>
      <c r="Q113" s="18">
        <f>NETWORKDAYS($F113,$P113,Feriados!$A$2:$A$1189)</f>
        <v>3499</v>
      </c>
      <c r="R113" s="17" t="s">
        <v>29</v>
      </c>
      <c r="S113" s="26" t="s">
        <v>29</v>
      </c>
      <c r="T113" s="27" t="s">
        <v>29</v>
      </c>
      <c r="U113" s="23" t="s">
        <v>29</v>
      </c>
      <c r="V113" s="26" t="s">
        <v>29</v>
      </c>
      <c r="W113" s="27" t="s">
        <v>29</v>
      </c>
      <c r="X113" s="35" t="s">
        <v>29</v>
      </c>
      <c r="Y113" s="33" t="s">
        <v>29</v>
      </c>
      <c r="Z113" s="33" t="s">
        <v>29</v>
      </c>
      <c r="AA113" s="24" t="s">
        <v>29</v>
      </c>
      <c r="AB113" s="26">
        <v>6.5000000000000002E-2</v>
      </c>
      <c r="AC113" s="37">
        <f>($AG$1/$O113)^(252/Q113)-1</f>
        <v>0.12530000502435401</v>
      </c>
      <c r="AD113" s="25">
        <f t="shared" si="99"/>
        <v>6.5000000000000002E-2</v>
      </c>
      <c r="AE113" s="21">
        <f t="shared" si="100"/>
        <v>8.5314554165739853E-2</v>
      </c>
      <c r="AF113" s="21">
        <f t="shared" si="101"/>
        <v>2.9568365235058458E-2</v>
      </c>
      <c r="AG113" s="9">
        <f t="shared" si="102"/>
        <v>0.15486837025941247</v>
      </c>
      <c r="AK113" t="b">
        <f t="shared" si="103"/>
        <v>0</v>
      </c>
      <c r="AL113" t="b">
        <f t="shared" si="104"/>
        <v>0</v>
      </c>
      <c r="AM113" t="b">
        <f t="shared" si="105"/>
        <v>0</v>
      </c>
      <c r="AN113" t="b">
        <f t="shared" si="106"/>
        <v>1</v>
      </c>
    </row>
    <row r="114" spans="1:40" x14ac:dyDescent="0.35">
      <c r="A114">
        <f t="shared" si="88"/>
        <v>113</v>
      </c>
      <c r="B114" t="str">
        <f t="shared" si="117"/>
        <v>Petrobras4251323/05/2026</v>
      </c>
      <c r="C114" t="s">
        <v>463</v>
      </c>
      <c r="D114" t="b">
        <f t="shared" si="97"/>
        <v>1</v>
      </c>
      <c r="E114" s="50">
        <v>42513</v>
      </c>
      <c r="F114" s="54">
        <f>VLOOKUP(A114,Base!B:K,10,0)</f>
        <v>42513</v>
      </c>
      <c r="G114" s="28" t="s">
        <v>486</v>
      </c>
      <c r="H114" s="14">
        <f>NETWORKDAYS($F114,$G114,Feriados!$A$2:$A$1189)</f>
        <v>2512</v>
      </c>
      <c r="I114" s="14">
        <f t="shared" si="98"/>
        <v>3600</v>
      </c>
      <c r="J114" t="s">
        <v>651</v>
      </c>
      <c r="K114" s="29">
        <v>8.7499999999999994E-2</v>
      </c>
      <c r="L114" s="30">
        <v>31140.99</v>
      </c>
      <c r="M114" s="31">
        <v>46023</v>
      </c>
      <c r="N114" s="18">
        <f>NETWORKDAYS($F114,$M114,Feriados!$A$2:$A$1189)</f>
        <v>2416</v>
      </c>
      <c r="O114" s="30">
        <v>27496.48</v>
      </c>
      <c r="P114" s="31">
        <v>46388</v>
      </c>
      <c r="Q114" s="18">
        <f>NETWORKDAYS($F114,$P114,Feriados!$A$2:$A$1189)</f>
        <v>2666</v>
      </c>
      <c r="R114" s="17">
        <f>$L114*(($O114/$L114)^(($H114-$N114)/($Q114-$N114)))</f>
        <v>29687.605772687613</v>
      </c>
      <c r="S114" s="26">
        <v>6.35</v>
      </c>
      <c r="T114" s="27">
        <v>46023</v>
      </c>
      <c r="U114" s="23">
        <f>DAYS360($F114,T114,0)</f>
        <v>3458</v>
      </c>
      <c r="V114" s="26">
        <v>6.65</v>
      </c>
      <c r="W114" s="27">
        <v>46388</v>
      </c>
      <c r="X114" s="35">
        <f>DAYS360($F114,W114,0)</f>
        <v>3818</v>
      </c>
      <c r="Y114" s="33">
        <f>(1+S114%)^(U114/360)</f>
        <v>1.806460568990865</v>
      </c>
      <c r="Z114" s="33">
        <f>(1+V114%)^(X114/360)</f>
        <v>1.9794313843999785</v>
      </c>
      <c r="AA114" s="24">
        <f>(I114-U114)/(X114-U114)</f>
        <v>0.39444444444444443</v>
      </c>
      <c r="AB114" s="24">
        <f>(Y114*((Z114/Y114)^AA114))^(360/I114)-1</f>
        <v>6.4753962663923748E-2</v>
      </c>
      <c r="AC114" s="25">
        <f>IFERROR(($AG$1/$R114)^(252/$H114)-1,"NA")</f>
        <v>0.12956298460828131</v>
      </c>
      <c r="AD114" s="25">
        <f t="shared" si="99"/>
        <v>6.4753962663923748E-2</v>
      </c>
      <c r="AE114" s="21">
        <f t="shared" si="100"/>
        <v>7.4379738192001277E-2</v>
      </c>
      <c r="AF114" s="21">
        <f t="shared" si="101"/>
        <v>3.4371682858379105E-2</v>
      </c>
      <c r="AG114" s="9">
        <f t="shared" si="102"/>
        <v>0.16393466746666041</v>
      </c>
      <c r="AK114" t="b">
        <f t="shared" si="103"/>
        <v>1</v>
      </c>
      <c r="AL114" t="b">
        <f t="shared" si="104"/>
        <v>1</v>
      </c>
      <c r="AM114" t="b">
        <f t="shared" si="105"/>
        <v>1</v>
      </c>
      <c r="AN114" t="b">
        <f t="shared" si="106"/>
        <v>1</v>
      </c>
    </row>
    <row r="115" spans="1:40" x14ac:dyDescent="0.35">
      <c r="A115">
        <f t="shared" si="88"/>
        <v>114</v>
      </c>
      <c r="B115" t="str">
        <f t="shared" si="117"/>
        <v>Petrobras4398503/06/2050</v>
      </c>
      <c r="C115" t="s">
        <v>463</v>
      </c>
      <c r="D115" t="b">
        <f t="shared" si="97"/>
        <v>1</v>
      </c>
      <c r="E115" s="50">
        <v>43985</v>
      </c>
      <c r="F115" s="54">
        <f>VLOOKUP(A115,Base!B:K,10,0)</f>
        <v>43985</v>
      </c>
      <c r="G115" s="28" t="s">
        <v>487</v>
      </c>
      <c r="H115" s="14">
        <f>NETWORKDAYS($F115,$G115,Feriados!$A$2:$A$1189)</f>
        <v>7537</v>
      </c>
      <c r="I115" s="14">
        <f t="shared" si="98"/>
        <v>10800</v>
      </c>
      <c r="J115" t="s">
        <v>651</v>
      </c>
      <c r="K115" s="29">
        <v>6.7500000000000004E-2</v>
      </c>
      <c r="L115" s="30" t="s">
        <v>29</v>
      </c>
      <c r="M115" s="31" t="s">
        <v>29</v>
      </c>
      <c r="N115" s="18" t="s">
        <v>29</v>
      </c>
      <c r="O115" s="30">
        <v>33154.03</v>
      </c>
      <c r="P115" s="31">
        <v>49310</v>
      </c>
      <c r="Q115" s="18">
        <f>NETWORKDAYS($F115,$P115,Feriados!$A$2:$A$1189)</f>
        <v>3663</v>
      </c>
      <c r="R115" s="17" t="s">
        <v>29</v>
      </c>
      <c r="S115" s="26" t="s">
        <v>29</v>
      </c>
      <c r="T115" s="27" t="s">
        <v>29</v>
      </c>
      <c r="U115" s="23" t="s">
        <v>29</v>
      </c>
      <c r="V115" s="26" t="s">
        <v>29</v>
      </c>
      <c r="W115" s="27" t="s">
        <v>29</v>
      </c>
      <c r="X115" s="35" t="s">
        <v>29</v>
      </c>
      <c r="Y115" s="33" t="s">
        <v>29</v>
      </c>
      <c r="Z115" s="33" t="s">
        <v>29</v>
      </c>
      <c r="AA115" s="24" t="s">
        <v>29</v>
      </c>
      <c r="AB115" s="26">
        <v>2.76E-2</v>
      </c>
      <c r="AC115" s="37">
        <f>($AG$1/$O115)^(252/Q115)-1</f>
        <v>7.8909993714618487E-2</v>
      </c>
      <c r="AD115" s="25">
        <f t="shared" si="99"/>
        <v>2.76E-2</v>
      </c>
      <c r="AE115" s="21">
        <f t="shared" si="100"/>
        <v>5.7367671321374658E-2</v>
      </c>
      <c r="AF115" s="21">
        <f t="shared" si="101"/>
        <v>4.6185498059376995E-2</v>
      </c>
      <c r="AG115" s="9">
        <f t="shared" si="102"/>
        <v>0.12509549177399548</v>
      </c>
      <c r="AK115" t="b">
        <f t="shared" si="103"/>
        <v>0</v>
      </c>
      <c r="AL115" t="b">
        <f t="shared" si="104"/>
        <v>0</v>
      </c>
      <c r="AM115" t="b">
        <f t="shared" si="105"/>
        <v>0</v>
      </c>
      <c r="AN115" t="b">
        <f t="shared" si="106"/>
        <v>1</v>
      </c>
    </row>
    <row r="116" spans="1:40" x14ac:dyDescent="0.35">
      <c r="A116">
        <f t="shared" si="88"/>
        <v>115</v>
      </c>
      <c r="B116" t="str">
        <f t="shared" si="117"/>
        <v>Petrobras4141420/05/2043</v>
      </c>
      <c r="C116" t="s">
        <v>463</v>
      </c>
      <c r="D116" t="b">
        <f t="shared" si="97"/>
        <v>1</v>
      </c>
      <c r="E116" s="50">
        <v>41414</v>
      </c>
      <c r="F116" s="54">
        <f>VLOOKUP(A116,Base!B:K,10,0)</f>
        <v>41414</v>
      </c>
      <c r="G116" s="28" t="s">
        <v>488</v>
      </c>
      <c r="H116" s="14">
        <f>NETWORKDAYS($F116,$G116,Feriados!$A$2:$A$1189)</f>
        <v>7539</v>
      </c>
      <c r="I116" s="14">
        <f t="shared" si="98"/>
        <v>10800</v>
      </c>
      <c r="J116" t="s">
        <v>651</v>
      </c>
      <c r="K116" s="29">
        <v>5.6250000000000001E-2</v>
      </c>
      <c r="L116" s="30" t="s">
        <v>29</v>
      </c>
      <c r="M116" s="31" t="s">
        <v>29</v>
      </c>
      <c r="N116" s="18" t="s">
        <v>29</v>
      </c>
      <c r="O116" s="30">
        <v>32989.519999999997</v>
      </c>
      <c r="P116" s="31">
        <v>45658</v>
      </c>
      <c r="Q116" s="18">
        <f>NETWORKDAYS($F116,$P116,Feriados!$A$2:$A$1189)</f>
        <v>2921</v>
      </c>
      <c r="R116" s="17" t="s">
        <v>29</v>
      </c>
      <c r="S116" s="26" t="s">
        <v>29</v>
      </c>
      <c r="T116" s="27" t="s">
        <v>29</v>
      </c>
      <c r="U116" s="23" t="s">
        <v>29</v>
      </c>
      <c r="V116" s="26" t="s">
        <v>29</v>
      </c>
      <c r="W116" s="27" t="s">
        <v>29</v>
      </c>
      <c r="X116" s="35" t="s">
        <v>29</v>
      </c>
      <c r="Y116" s="33" t="s">
        <v>29</v>
      </c>
      <c r="Z116" s="33" t="s">
        <v>29</v>
      </c>
      <c r="AA116" s="24" t="s">
        <v>29</v>
      </c>
      <c r="AB116" s="26">
        <v>4.7300000000000002E-2</v>
      </c>
      <c r="AC116" s="37">
        <f>($AG$1/$O116)^(252/Q116)-1</f>
        <v>0.10039999971039348</v>
      </c>
      <c r="AD116" s="25">
        <f t="shared" si="99"/>
        <v>4.7300000000000002E-2</v>
      </c>
      <c r="AE116" s="21">
        <f t="shared" si="100"/>
        <v>6.8383318779703828E-2</v>
      </c>
      <c r="AF116" s="21">
        <f t="shared" si="101"/>
        <v>2.5517885094564541E-2</v>
      </c>
      <c r="AG116" s="9">
        <f t="shared" si="102"/>
        <v>0.12591788480495802</v>
      </c>
      <c r="AK116" t="b">
        <f t="shared" si="103"/>
        <v>0</v>
      </c>
      <c r="AL116" t="b">
        <f t="shared" si="104"/>
        <v>0</v>
      </c>
      <c r="AM116" t="b">
        <f t="shared" si="105"/>
        <v>0</v>
      </c>
      <c r="AN116" t="b">
        <f t="shared" si="106"/>
        <v>1</v>
      </c>
    </row>
    <row r="117" spans="1:40" x14ac:dyDescent="0.35">
      <c r="A117">
        <f t="shared" si="88"/>
        <v>116</v>
      </c>
      <c r="B117" t="str">
        <f t="shared" si="117"/>
        <v>Petrobras4300527/01/2028</v>
      </c>
      <c r="C117" t="s">
        <v>463</v>
      </c>
      <c r="D117" t="b">
        <f t="shared" si="97"/>
        <v>1</v>
      </c>
      <c r="E117" s="50">
        <v>43005</v>
      </c>
      <c r="F117" s="54">
        <f>VLOOKUP(A117,Base!B:K,10,0)</f>
        <v>43005</v>
      </c>
      <c r="G117" s="28" t="s">
        <v>476</v>
      </c>
      <c r="H117" s="14">
        <f>NETWORKDAYS($F117,$G117,Feriados!$A$2:$A$1189)</f>
        <v>2596</v>
      </c>
      <c r="I117" s="14">
        <f t="shared" si="98"/>
        <v>3720</v>
      </c>
      <c r="J117" t="s">
        <v>651</v>
      </c>
      <c r="K117" s="29">
        <v>5.9989999999999995E-2</v>
      </c>
      <c r="L117" s="30">
        <v>56679.040000000001</v>
      </c>
      <c r="M117" s="31">
        <v>46753</v>
      </c>
      <c r="N117" s="18">
        <f>NETWORKDAYS($F117,$M117,Feriados!$A$2:$A$1189)</f>
        <v>2577</v>
      </c>
      <c r="O117" s="30">
        <v>52426.239999999998</v>
      </c>
      <c r="P117" s="31">
        <v>47119</v>
      </c>
      <c r="Q117" s="18">
        <f>NETWORKDAYS($F117,$P117,Feriados!$A$2:$A$1189)</f>
        <v>2826</v>
      </c>
      <c r="R117" s="17">
        <f t="shared" ref="R117:R139" si="118">$L117*(($O117/$L117)^(($H117-$N117)/($Q117-$N117)))</f>
        <v>56342.711021612195</v>
      </c>
      <c r="S117" s="26">
        <v>2.93</v>
      </c>
      <c r="T117" s="27">
        <v>46753</v>
      </c>
      <c r="U117" s="23">
        <f t="shared" ref="U117:U139" si="119">DAYS360($F117,T117,0)</f>
        <v>3694</v>
      </c>
      <c r="V117" s="26">
        <v>3.02</v>
      </c>
      <c r="W117" s="27">
        <v>47119</v>
      </c>
      <c r="X117" s="35">
        <f t="shared" ref="X117:X139" si="120">DAYS360($F117,W117,0)</f>
        <v>4054</v>
      </c>
      <c r="Y117" s="33">
        <f t="shared" ref="Y117:Y139" si="121">(1+S117%)^(U117/360)</f>
        <v>1.3449141912879727</v>
      </c>
      <c r="Z117" s="33">
        <f t="shared" ref="Z117:Z139" si="122">(1+V117%)^(X117/360)</f>
        <v>1.3980121959150087</v>
      </c>
      <c r="AA117" s="24">
        <f t="shared" ref="AA117:AA139" si="123">(I117-U117)/(X117-U117)</f>
        <v>7.2222222222222215E-2</v>
      </c>
      <c r="AB117" s="24">
        <f t="shared" ref="AB117:AB139" si="124">(Y117*((Z117/Y117)^AA117))^(360/I117)-1</f>
        <v>2.937080750610277E-2</v>
      </c>
      <c r="AC117" s="25">
        <f t="shared" ref="AC117:AC139" si="125">IFERROR(($AG$1/$R117)^(252/$H117)-1,"NA")</f>
        <v>5.7272127820325425E-2</v>
      </c>
      <c r="AD117" s="25">
        <f t="shared" si="99"/>
        <v>2.937080750610277E-2</v>
      </c>
      <c r="AE117" s="21">
        <f t="shared" si="100"/>
        <v>3.0416323949078006E-2</v>
      </c>
      <c r="AF117" s="21">
        <f t="shared" si="101"/>
        <v>3.3065159368694585E-2</v>
      </c>
      <c r="AG117" s="9">
        <f t="shared" si="102"/>
        <v>9.033728718902001E-2</v>
      </c>
      <c r="AK117" t="b">
        <f t="shared" si="103"/>
        <v>1</v>
      </c>
      <c r="AL117" t="b">
        <f t="shared" si="104"/>
        <v>1</v>
      </c>
      <c r="AM117" t="b">
        <f t="shared" si="105"/>
        <v>1</v>
      </c>
      <c r="AN117" t="b">
        <f t="shared" si="106"/>
        <v>1</v>
      </c>
    </row>
    <row r="118" spans="1:40" x14ac:dyDescent="0.35">
      <c r="A118">
        <f t="shared" si="88"/>
        <v>117</v>
      </c>
      <c r="B118" t="str">
        <f t="shared" si="117"/>
        <v>Petrobras4372615/01/2030</v>
      </c>
      <c r="C118" t="s">
        <v>463</v>
      </c>
      <c r="D118" t="b">
        <f t="shared" si="97"/>
        <v>1</v>
      </c>
      <c r="E118" s="50">
        <v>43726</v>
      </c>
      <c r="F118" s="54">
        <f>VLOOKUP(A118,Base!B:K,10,0)</f>
        <v>43726</v>
      </c>
      <c r="G118" s="28" t="s">
        <v>482</v>
      </c>
      <c r="H118" s="14">
        <f>NETWORKDAYS($F118,$G118,Feriados!$A$2:$A$1189)</f>
        <v>2592</v>
      </c>
      <c r="I118" s="14">
        <f t="shared" si="98"/>
        <v>3717</v>
      </c>
      <c r="J118" t="s">
        <v>651</v>
      </c>
      <c r="K118" s="29">
        <v>5.0930000000000003E-2</v>
      </c>
      <c r="L118" s="30">
        <v>47891.46</v>
      </c>
      <c r="M118" s="31">
        <v>47484</v>
      </c>
      <c r="N118" s="18">
        <f>NETWORKDAYS($F118,$M118,Feriados!$A$2:$A$1189)</f>
        <v>2582</v>
      </c>
      <c r="O118" s="30">
        <v>44409.2</v>
      </c>
      <c r="P118" s="31">
        <v>47849</v>
      </c>
      <c r="Q118" s="18">
        <f>NETWORKDAYS($F118,$P118,Feriados!$A$2:$A$1189)</f>
        <v>2835</v>
      </c>
      <c r="R118" s="17">
        <f t="shared" si="118"/>
        <v>47748.773675288576</v>
      </c>
      <c r="S118" s="26">
        <v>3</v>
      </c>
      <c r="T118" s="27">
        <v>47484</v>
      </c>
      <c r="U118" s="23">
        <f t="shared" si="119"/>
        <v>3703</v>
      </c>
      <c r="V118" s="26">
        <v>3.06</v>
      </c>
      <c r="W118" s="27">
        <v>47849</v>
      </c>
      <c r="X118" s="35">
        <f t="shared" si="120"/>
        <v>4063</v>
      </c>
      <c r="Y118" s="33">
        <f t="shared" si="121"/>
        <v>1.3553302128579034</v>
      </c>
      <c r="Z118" s="33">
        <f t="shared" si="122"/>
        <v>1.4051955097138766</v>
      </c>
      <c r="AA118" s="24">
        <f t="shared" si="123"/>
        <v>3.888888888888889E-2</v>
      </c>
      <c r="AB118" s="24">
        <f t="shared" si="124"/>
        <v>3.0025498225595637E-2</v>
      </c>
      <c r="AC118" s="25">
        <f t="shared" si="125"/>
        <v>7.4513821439961436E-2</v>
      </c>
      <c r="AD118" s="25">
        <f t="shared" si="99"/>
        <v>3.0025498225595637E-2</v>
      </c>
      <c r="AE118" s="21">
        <f t="shared" si="100"/>
        <v>4.6671026868073673E-2</v>
      </c>
      <c r="AF118" s="21">
        <f t="shared" si="101"/>
        <v>2.3698309243131543E-2</v>
      </c>
      <c r="AG118" s="9">
        <f t="shared" si="102"/>
        <v>9.821213068309298E-2</v>
      </c>
      <c r="AK118" t="b">
        <f t="shared" si="103"/>
        <v>1</v>
      </c>
      <c r="AL118" t="b">
        <f t="shared" si="104"/>
        <v>1</v>
      </c>
      <c r="AM118" t="b">
        <f t="shared" si="105"/>
        <v>1</v>
      </c>
      <c r="AN118" t="b">
        <f t="shared" si="106"/>
        <v>1</v>
      </c>
    </row>
    <row r="119" spans="1:40" x14ac:dyDescent="0.35">
      <c r="A119">
        <f t="shared" si="88"/>
        <v>118</v>
      </c>
      <c r="B119" t="str">
        <f t="shared" si="117"/>
        <v>Petrobras4300527/01/2025</v>
      </c>
      <c r="C119" t="s">
        <v>463</v>
      </c>
      <c r="D119" t="b">
        <f t="shared" si="97"/>
        <v>1</v>
      </c>
      <c r="E119" s="50">
        <v>43005</v>
      </c>
      <c r="F119" s="54">
        <f>VLOOKUP(A119,Base!B:K,10,0)</f>
        <v>43005</v>
      </c>
      <c r="G119" s="28" t="s">
        <v>484</v>
      </c>
      <c r="H119" s="14">
        <f>NETWORKDAYS($F119,$G119,Feriados!$A$2:$A$1189)</f>
        <v>1841</v>
      </c>
      <c r="I119" s="14">
        <f t="shared" si="98"/>
        <v>2640</v>
      </c>
      <c r="J119" t="s">
        <v>651</v>
      </c>
      <c r="K119" s="29">
        <v>5.2990000000000002E-2</v>
      </c>
      <c r="L119" s="30">
        <v>50348.72</v>
      </c>
      <c r="M119" s="31">
        <v>45658</v>
      </c>
      <c r="N119" s="18">
        <f>NETWORKDAYS($F119,$M119,Feriados!$A$2:$A$1189)</f>
        <v>1823</v>
      </c>
      <c r="O119" s="30">
        <v>45348.67</v>
      </c>
      <c r="P119" s="31">
        <v>46023</v>
      </c>
      <c r="Q119" s="18">
        <f>NETWORKDAYS($F119,$P119,Feriados!$A$2:$A$1189)</f>
        <v>2076</v>
      </c>
      <c r="R119" s="17">
        <f t="shared" si="118"/>
        <v>49975.447956856486</v>
      </c>
      <c r="S119" s="26">
        <v>4.05</v>
      </c>
      <c r="T119" s="27">
        <v>45658</v>
      </c>
      <c r="U119" s="23">
        <f t="shared" si="119"/>
        <v>2614</v>
      </c>
      <c r="V119" s="26">
        <v>4.34</v>
      </c>
      <c r="W119" s="27">
        <v>46023</v>
      </c>
      <c r="X119" s="35">
        <f t="shared" si="120"/>
        <v>2974</v>
      </c>
      <c r="Y119" s="33">
        <f t="shared" si="121"/>
        <v>1.3341255199354443</v>
      </c>
      <c r="Z119" s="33">
        <f t="shared" si="122"/>
        <v>1.4204448497017781</v>
      </c>
      <c r="AA119" s="24">
        <f t="shared" si="123"/>
        <v>7.2222222222222215E-2</v>
      </c>
      <c r="AB119" s="24">
        <f t="shared" si="124"/>
        <v>4.0735640828361452E-2</v>
      </c>
      <c r="AC119" s="25">
        <f t="shared" si="125"/>
        <v>9.9600237398933755E-2</v>
      </c>
      <c r="AD119" s="25">
        <f t="shared" si="99"/>
        <v>4.0735640828361452E-2</v>
      </c>
      <c r="AE119" s="21">
        <f t="shared" si="100"/>
        <v>6.0953158331208623E-2</v>
      </c>
      <c r="AF119" s="21">
        <f t="shared" si="101"/>
        <v>1.5981106764594299E-2</v>
      </c>
      <c r="AG119" s="9">
        <f t="shared" si="102"/>
        <v>0.11558134416352805</v>
      </c>
      <c r="AK119" t="b">
        <f t="shared" si="103"/>
        <v>1</v>
      </c>
      <c r="AL119" t="b">
        <f t="shared" si="104"/>
        <v>1</v>
      </c>
      <c r="AM119" t="b">
        <f t="shared" si="105"/>
        <v>1</v>
      </c>
      <c r="AN119" t="b">
        <f t="shared" si="106"/>
        <v>1</v>
      </c>
    </row>
    <row r="120" spans="1:40" x14ac:dyDescent="0.35">
      <c r="A120">
        <f t="shared" si="88"/>
        <v>119</v>
      </c>
      <c r="B120" t="str">
        <f t="shared" si="117"/>
        <v>Petrobras4141420/05/2023</v>
      </c>
      <c r="C120" t="s">
        <v>463</v>
      </c>
      <c r="D120" t="b">
        <f t="shared" si="97"/>
        <v>1</v>
      </c>
      <c r="E120" s="50">
        <v>41414</v>
      </c>
      <c r="F120" s="54">
        <f>VLOOKUP(A120,Base!B:K,10,0)</f>
        <v>41414</v>
      </c>
      <c r="G120" s="28" t="s">
        <v>489</v>
      </c>
      <c r="H120" s="14">
        <f>NETWORKDAYS($F120,$G120,Feriados!$A$2:$A$1189)</f>
        <v>2513</v>
      </c>
      <c r="I120" s="14">
        <f t="shared" si="98"/>
        <v>3600</v>
      </c>
      <c r="J120" t="s">
        <v>651</v>
      </c>
      <c r="K120" s="29">
        <v>4.3749999999999997E-2</v>
      </c>
      <c r="L120" s="30">
        <v>39931.19</v>
      </c>
      <c r="M120" s="31">
        <v>44927</v>
      </c>
      <c r="N120" s="18">
        <f>NETWORKDAYS($F120,$M120,Feriados!$A$2:$A$1189)</f>
        <v>2418</v>
      </c>
      <c r="O120" s="30">
        <v>38094.89</v>
      </c>
      <c r="P120" s="31">
        <v>45108</v>
      </c>
      <c r="Q120" s="18">
        <f>NETWORKDAYS($F120,$P120,Feriados!$A$2:$A$1189)</f>
        <v>2542</v>
      </c>
      <c r="R120" s="17">
        <f t="shared" si="118"/>
        <v>38516.635132879281</v>
      </c>
      <c r="S120" s="26">
        <v>4.29</v>
      </c>
      <c r="T120" s="27">
        <v>44927</v>
      </c>
      <c r="U120" s="23">
        <f t="shared" si="119"/>
        <v>3461</v>
      </c>
      <c r="V120" s="26">
        <v>4.53</v>
      </c>
      <c r="W120" s="27">
        <v>45292</v>
      </c>
      <c r="X120" s="35">
        <f t="shared" si="120"/>
        <v>3821</v>
      </c>
      <c r="Y120" s="33">
        <f t="shared" si="121"/>
        <v>1.4975556775578298</v>
      </c>
      <c r="Z120" s="33">
        <f t="shared" si="122"/>
        <v>1.6003733458762168</v>
      </c>
      <c r="AA120" s="24">
        <f t="shared" si="123"/>
        <v>0.38611111111111113</v>
      </c>
      <c r="AB120" s="24">
        <f t="shared" si="124"/>
        <v>4.38828865955736E-2</v>
      </c>
      <c r="AC120" s="25">
        <f t="shared" si="125"/>
        <v>0.10040000663479187</v>
      </c>
      <c r="AD120" s="25">
        <f t="shared" si="99"/>
        <v>4.38828865955736E-2</v>
      </c>
      <c r="AE120" s="21">
        <f t="shared" si="100"/>
        <v>6.0976235655680222E-2</v>
      </c>
      <c r="AF120" s="21">
        <f t="shared" si="101"/>
        <v>6.35581542044239E-3</v>
      </c>
      <c r="AG120" s="9">
        <f t="shared" si="102"/>
        <v>0.10675582205523426</v>
      </c>
      <c r="AK120" t="b">
        <f t="shared" si="103"/>
        <v>1</v>
      </c>
      <c r="AL120" t="b">
        <f t="shared" si="104"/>
        <v>1</v>
      </c>
      <c r="AM120" t="b">
        <f t="shared" si="105"/>
        <v>1</v>
      </c>
      <c r="AN120" t="b">
        <f t="shared" si="106"/>
        <v>1</v>
      </c>
    </row>
    <row r="121" spans="1:40" x14ac:dyDescent="0.35">
      <c r="A121">
        <f t="shared" si="88"/>
        <v>120</v>
      </c>
      <c r="B121" t="str">
        <f t="shared" si="117"/>
        <v>Petrobras4057027/01/2021</v>
      </c>
      <c r="C121" t="s">
        <v>463</v>
      </c>
      <c r="D121" t="b">
        <f t="shared" si="97"/>
        <v>1</v>
      </c>
      <c r="E121" s="50">
        <v>40570</v>
      </c>
      <c r="F121" s="54">
        <f>VLOOKUP(A121,Base!B:K,10,0)</f>
        <v>40570</v>
      </c>
      <c r="G121" s="28" t="s">
        <v>490</v>
      </c>
      <c r="H121" s="14">
        <f>NETWORKDAYS($F121,$G121,Feriados!$A$2:$A$1189)</f>
        <v>2512</v>
      </c>
      <c r="I121" s="14">
        <f t="shared" si="98"/>
        <v>3600</v>
      </c>
      <c r="J121" t="s">
        <v>651</v>
      </c>
      <c r="K121" s="29">
        <v>5.3749999999999999E-2</v>
      </c>
      <c r="L121" s="30">
        <v>31088.97</v>
      </c>
      <c r="M121" s="31">
        <v>44197</v>
      </c>
      <c r="N121" s="18">
        <f>NETWORKDAYS($F121,$M121,Feriados!$A$2:$A$1189)</f>
        <v>2494</v>
      </c>
      <c r="O121" s="30">
        <v>27640.22</v>
      </c>
      <c r="P121" s="31">
        <v>44562</v>
      </c>
      <c r="Q121" s="18">
        <f>NETWORKDAYS($F121,$P121,Feriados!$A$2:$A$1189)</f>
        <v>2745</v>
      </c>
      <c r="R121" s="17">
        <f t="shared" si="118"/>
        <v>30827.926403662674</v>
      </c>
      <c r="S121" s="26">
        <v>5.46</v>
      </c>
      <c r="T121" s="27">
        <v>44197</v>
      </c>
      <c r="U121" s="23">
        <f t="shared" si="119"/>
        <v>3574</v>
      </c>
      <c r="V121" s="26">
        <v>5.71</v>
      </c>
      <c r="W121" s="27">
        <v>44562</v>
      </c>
      <c r="X121" s="35">
        <f t="shared" si="120"/>
        <v>3934</v>
      </c>
      <c r="Y121" s="33">
        <f t="shared" si="121"/>
        <v>1.6951581426871729</v>
      </c>
      <c r="Z121" s="33">
        <f t="shared" si="122"/>
        <v>1.8345733681713723</v>
      </c>
      <c r="AA121" s="24">
        <f t="shared" si="123"/>
        <v>7.2222222222222215E-2</v>
      </c>
      <c r="AB121" s="24">
        <f t="shared" si="124"/>
        <v>5.4797092017617732E-2</v>
      </c>
      <c r="AC121" s="25">
        <f t="shared" si="125"/>
        <v>0.12530001649606692</v>
      </c>
      <c r="AD121" s="25">
        <f t="shared" si="99"/>
        <v>5.4797092017617732E-2</v>
      </c>
      <c r="AE121" s="21">
        <f t="shared" si="100"/>
        <v>7.7039451066710285E-2</v>
      </c>
      <c r="AF121" s="21">
        <f t="shared" si="101"/>
        <v>8.5579889134503873E-3</v>
      </c>
      <c r="AG121" s="9">
        <f t="shared" si="102"/>
        <v>0.13385800540951731</v>
      </c>
      <c r="AK121" t="b">
        <f t="shared" si="103"/>
        <v>1</v>
      </c>
      <c r="AL121" t="b">
        <f t="shared" si="104"/>
        <v>1</v>
      </c>
      <c r="AM121" t="b">
        <f t="shared" si="105"/>
        <v>1</v>
      </c>
      <c r="AN121" t="b">
        <f t="shared" si="106"/>
        <v>1</v>
      </c>
    </row>
    <row r="122" spans="1:40" x14ac:dyDescent="0.35">
      <c r="A122">
        <f t="shared" si="88"/>
        <v>121</v>
      </c>
      <c r="B122" t="str">
        <f t="shared" si="117"/>
        <v>Petrobras4275217/01/2022</v>
      </c>
      <c r="C122" t="s">
        <v>463</v>
      </c>
      <c r="D122" t="b">
        <f t="shared" si="97"/>
        <v>1</v>
      </c>
      <c r="E122" s="50">
        <v>42752</v>
      </c>
      <c r="F122" s="54">
        <f>VLOOKUP(A122,Base!B:K,10,0)</f>
        <v>42752</v>
      </c>
      <c r="G122" s="28" t="s">
        <v>491</v>
      </c>
      <c r="H122" s="14">
        <f>NETWORKDAYS($F122,$G122,Feriados!$A$2:$A$1189)</f>
        <v>1254</v>
      </c>
      <c r="I122" s="14">
        <f t="shared" si="98"/>
        <v>1800</v>
      </c>
      <c r="J122" t="s">
        <v>651</v>
      </c>
      <c r="K122" s="29">
        <v>6.1249999999999999E-2</v>
      </c>
      <c r="L122" s="30">
        <v>60030.69</v>
      </c>
      <c r="M122" s="31">
        <v>44562</v>
      </c>
      <c r="N122" s="18">
        <f>NETWORKDAYS($F122,$M122,Feriados!$A$2:$A$1189)</f>
        <v>1243</v>
      </c>
      <c r="O122" s="30">
        <v>56886.76</v>
      </c>
      <c r="P122" s="31">
        <v>44743</v>
      </c>
      <c r="Q122" s="18">
        <f>NETWORKDAYS($F122,$P122,Feriados!$A$2:$A$1189)</f>
        <v>1368</v>
      </c>
      <c r="R122" s="17">
        <f t="shared" si="118"/>
        <v>59747.187614723851</v>
      </c>
      <c r="S122" s="26">
        <v>4.1500000000000004</v>
      </c>
      <c r="T122" s="27">
        <v>44562</v>
      </c>
      <c r="U122" s="23">
        <f t="shared" si="119"/>
        <v>1784</v>
      </c>
      <c r="V122" s="26">
        <v>4.51</v>
      </c>
      <c r="W122" s="27">
        <v>44927</v>
      </c>
      <c r="X122" s="35">
        <f t="shared" si="120"/>
        <v>2144</v>
      </c>
      <c r="Y122" s="33">
        <f t="shared" si="121"/>
        <v>1.2232395513120524</v>
      </c>
      <c r="Z122" s="33">
        <f t="shared" si="122"/>
        <v>1.3004558916003437</v>
      </c>
      <c r="AA122" s="24">
        <f t="shared" si="123"/>
        <v>4.4444444444444446E-2</v>
      </c>
      <c r="AB122" s="24">
        <f t="shared" si="124"/>
        <v>4.1690266541024368E-2</v>
      </c>
      <c r="AC122" s="25">
        <f t="shared" si="125"/>
        <v>0.10904854608776837</v>
      </c>
      <c r="AD122" s="25">
        <f t="shared" si="99"/>
        <v>4.1690266541024368E-2</v>
      </c>
      <c r="AE122" s="21">
        <f t="shared" si="100"/>
        <v>6.7642947572684298E-2</v>
      </c>
      <c r="AF122" s="21">
        <f t="shared" si="101"/>
        <v>2.1628928786174617E-2</v>
      </c>
      <c r="AG122" s="9">
        <f t="shared" si="102"/>
        <v>0.13067747487394299</v>
      </c>
      <c r="AK122" t="b">
        <f t="shared" si="103"/>
        <v>1</v>
      </c>
      <c r="AL122" t="b">
        <f t="shared" si="104"/>
        <v>1</v>
      </c>
      <c r="AM122" t="b">
        <f t="shared" si="105"/>
        <v>1</v>
      </c>
      <c r="AN122" t="b">
        <f t="shared" si="106"/>
        <v>1</v>
      </c>
    </row>
    <row r="123" spans="1:40" x14ac:dyDescent="0.35">
      <c r="A123">
        <f t="shared" si="88"/>
        <v>122</v>
      </c>
      <c r="B123" t="str">
        <f t="shared" si="117"/>
        <v>Petrobras4251323/05/2021</v>
      </c>
      <c r="C123" t="s">
        <v>463</v>
      </c>
      <c r="D123" t="b">
        <f t="shared" si="97"/>
        <v>1</v>
      </c>
      <c r="E123" s="50">
        <v>42513</v>
      </c>
      <c r="F123" s="54">
        <f>VLOOKUP(A123,Base!B:K,10,0)</f>
        <v>42513</v>
      </c>
      <c r="G123" s="28" t="s">
        <v>492</v>
      </c>
      <c r="H123" s="14">
        <f>NETWORKDAYS($F123,$G123,Feriados!$A$2:$A$1189)</f>
        <v>1254</v>
      </c>
      <c r="I123" s="14">
        <f t="shared" si="98"/>
        <v>1800</v>
      </c>
      <c r="J123" t="s">
        <v>651</v>
      </c>
      <c r="K123" s="29">
        <v>8.3750000000000005E-2</v>
      </c>
      <c r="L123" s="30">
        <v>56249.02</v>
      </c>
      <c r="M123" s="31">
        <v>44287</v>
      </c>
      <c r="N123" s="18">
        <f>NETWORKDAYS($F123,$M123,Feriados!$A$2:$A$1189)</f>
        <v>1220</v>
      </c>
      <c r="O123" s="30">
        <v>54599.65</v>
      </c>
      <c r="P123" s="31">
        <v>44378</v>
      </c>
      <c r="Q123" s="18">
        <f>NETWORKDAYS($F123,$P123,Feriados!$A$2:$A$1189)</f>
        <v>1282</v>
      </c>
      <c r="R123" s="17">
        <f t="shared" si="118"/>
        <v>55338.451374401375</v>
      </c>
      <c r="S123" s="26">
        <v>4.29</v>
      </c>
      <c r="T123" s="27">
        <v>44287</v>
      </c>
      <c r="U123" s="23">
        <f t="shared" si="119"/>
        <v>1748</v>
      </c>
      <c r="V123" s="26">
        <v>4.37</v>
      </c>
      <c r="W123" s="27">
        <v>44378</v>
      </c>
      <c r="X123" s="35">
        <f t="shared" si="120"/>
        <v>1838</v>
      </c>
      <c r="Y123" s="33">
        <f t="shared" si="121"/>
        <v>1.2262479245138029</v>
      </c>
      <c r="Z123" s="33">
        <f t="shared" si="122"/>
        <v>1.2440538624091249</v>
      </c>
      <c r="AA123" s="24">
        <f t="shared" si="123"/>
        <v>0.57777777777777772</v>
      </c>
      <c r="AB123" s="24">
        <f t="shared" si="124"/>
        <v>4.3371906048499831E-2</v>
      </c>
      <c r="AC123" s="25">
        <f t="shared" si="125"/>
        <v>0.12626478936830443</v>
      </c>
      <c r="AD123" s="25">
        <f t="shared" si="99"/>
        <v>4.3371906048499831E-2</v>
      </c>
      <c r="AE123" s="21">
        <f t="shared" si="100"/>
        <v>8.27067579523173E-2</v>
      </c>
      <c r="AF123" s="21">
        <f t="shared" si="101"/>
        <v>4.1836218274165615E-2</v>
      </c>
      <c r="AG123" s="9">
        <f t="shared" si="102"/>
        <v>0.16810100764247005</v>
      </c>
      <c r="AK123" t="b">
        <f t="shared" si="103"/>
        <v>1</v>
      </c>
      <c r="AL123" t="b">
        <f t="shared" si="104"/>
        <v>1</v>
      </c>
      <c r="AM123" t="b">
        <f t="shared" si="105"/>
        <v>1</v>
      </c>
      <c r="AN123" t="b">
        <f t="shared" si="106"/>
        <v>1</v>
      </c>
    </row>
    <row r="124" spans="1:40" x14ac:dyDescent="0.35">
      <c r="A124">
        <f t="shared" si="88"/>
        <v>123</v>
      </c>
      <c r="B124" t="str">
        <f t="shared" si="117"/>
        <v>Petrobras4094506/02/2017</v>
      </c>
      <c r="C124" t="s">
        <v>463</v>
      </c>
      <c r="D124" t="b">
        <f t="shared" si="97"/>
        <v>1</v>
      </c>
      <c r="E124" s="50">
        <v>40945</v>
      </c>
      <c r="F124" s="54">
        <f>VLOOKUP(A124,Base!B:K,10,0)</f>
        <v>40945</v>
      </c>
      <c r="G124" s="28" t="s">
        <v>493</v>
      </c>
      <c r="H124" s="14">
        <f>NETWORKDAYS($F124,$G124,Feriados!$A$2:$A$1189)</f>
        <v>1259</v>
      </c>
      <c r="I124" s="14">
        <f t="shared" si="98"/>
        <v>1800</v>
      </c>
      <c r="J124" t="s">
        <v>651</v>
      </c>
      <c r="K124" s="29">
        <v>3.5000000000000003E-2</v>
      </c>
      <c r="L124" s="30">
        <v>60197.94</v>
      </c>
      <c r="M124" s="31">
        <v>42736</v>
      </c>
      <c r="N124" s="18">
        <f>NETWORKDAYS($F124,$M124,Feriados!$A$2:$A$1189)</f>
        <v>1233</v>
      </c>
      <c r="O124" s="30">
        <v>58494.04</v>
      </c>
      <c r="P124" s="31">
        <v>42826</v>
      </c>
      <c r="Q124" s="18">
        <f>NETWORKDAYS($F124,$P124,Feriados!$A$2:$A$1189)</f>
        <v>1296</v>
      </c>
      <c r="R124" s="17">
        <f t="shared" si="118"/>
        <v>59488.809193778601</v>
      </c>
      <c r="S124" s="26">
        <v>3.74</v>
      </c>
      <c r="T124" s="27">
        <v>42736</v>
      </c>
      <c r="U124" s="23">
        <f t="shared" si="119"/>
        <v>1765</v>
      </c>
      <c r="V124" s="26">
        <v>3.89</v>
      </c>
      <c r="W124" s="27">
        <v>42826</v>
      </c>
      <c r="X124" s="35">
        <f t="shared" si="120"/>
        <v>1855</v>
      </c>
      <c r="Y124" s="33">
        <f t="shared" si="121"/>
        <v>1.197239092416938</v>
      </c>
      <c r="Z124" s="33">
        <f t="shared" si="122"/>
        <v>1.2173089959275398</v>
      </c>
      <c r="AA124" s="24">
        <f t="shared" si="123"/>
        <v>0.3888888888888889</v>
      </c>
      <c r="AB124" s="24">
        <f t="shared" si="124"/>
        <v>3.8000897175200832E-2</v>
      </c>
      <c r="AC124" s="25">
        <f t="shared" si="125"/>
        <v>0.10955485287756206</v>
      </c>
      <c r="AD124" s="25">
        <f t="shared" si="99"/>
        <v>3.8000897175200832E-2</v>
      </c>
      <c r="AE124" s="21">
        <f t="shared" si="100"/>
        <v>7.1586062045106535E-2</v>
      </c>
      <c r="AF124" s="21">
        <f t="shared" si="101"/>
        <v>-4.1753560869517425E-4</v>
      </c>
      <c r="AG124" s="9">
        <f t="shared" si="102"/>
        <v>0.10913731726886688</v>
      </c>
      <c r="AK124" t="b">
        <f t="shared" si="103"/>
        <v>1</v>
      </c>
      <c r="AL124" t="b">
        <f t="shared" si="104"/>
        <v>1</v>
      </c>
      <c r="AM124" t="b">
        <f t="shared" si="105"/>
        <v>1</v>
      </c>
      <c r="AN124" t="b">
        <f t="shared" si="106"/>
        <v>1</v>
      </c>
    </row>
    <row r="125" spans="1:40" x14ac:dyDescent="0.35">
      <c r="A125">
        <f t="shared" si="88"/>
        <v>124</v>
      </c>
      <c r="B125" t="str">
        <f t="shared" si="117"/>
        <v>Petrobras4171517/03/2017</v>
      </c>
      <c r="C125" t="s">
        <v>463</v>
      </c>
      <c r="D125" t="b">
        <f t="shared" si="97"/>
        <v>1</v>
      </c>
      <c r="E125" s="50">
        <v>41715</v>
      </c>
      <c r="F125" s="54">
        <f>VLOOKUP(A125,Base!B:K,10,0)</f>
        <v>41715</v>
      </c>
      <c r="G125" s="28" t="s">
        <v>494</v>
      </c>
      <c r="H125" s="14">
        <f>NETWORKDAYS($F125,$G125,Feriados!$A$2:$A$1189)</f>
        <v>757</v>
      </c>
      <c r="I125" s="14">
        <f t="shared" si="98"/>
        <v>1080</v>
      </c>
      <c r="J125" t="s">
        <v>651</v>
      </c>
      <c r="K125" s="29">
        <v>3.2500000000000001E-2</v>
      </c>
      <c r="L125" s="30">
        <v>71836.149999999994</v>
      </c>
      <c r="M125" s="31">
        <v>42736</v>
      </c>
      <c r="N125" s="18">
        <f>NETWORKDAYS($F125,$M125,Feriados!$A$2:$A$1189)</f>
        <v>704</v>
      </c>
      <c r="O125" s="30">
        <v>69627.850000000006</v>
      </c>
      <c r="P125" s="31">
        <v>42826</v>
      </c>
      <c r="Q125" s="18">
        <f>NETWORKDAYS($F125,$P125,Feriados!$A$2:$A$1189)</f>
        <v>767</v>
      </c>
      <c r="R125" s="17">
        <f t="shared" si="118"/>
        <v>69973.786582054439</v>
      </c>
      <c r="S125" s="26">
        <v>2.3199999999999998</v>
      </c>
      <c r="T125" s="27">
        <v>42736</v>
      </c>
      <c r="U125" s="23">
        <f t="shared" si="119"/>
        <v>1004</v>
      </c>
      <c r="V125" s="26">
        <v>2.4300000000000002</v>
      </c>
      <c r="W125" s="27">
        <v>42826</v>
      </c>
      <c r="X125" s="35">
        <f t="shared" si="120"/>
        <v>1094</v>
      </c>
      <c r="Y125" s="33">
        <f t="shared" si="121"/>
        <v>1.0660530463678746</v>
      </c>
      <c r="Z125" s="33">
        <f t="shared" si="122"/>
        <v>1.0756897226545088</v>
      </c>
      <c r="AA125" s="24">
        <f t="shared" si="123"/>
        <v>0.84444444444444444</v>
      </c>
      <c r="AB125" s="24">
        <f t="shared" si="124"/>
        <v>2.4140856931131882E-2</v>
      </c>
      <c r="AC125" s="25">
        <f t="shared" si="125"/>
        <v>0.12621142203979541</v>
      </c>
      <c r="AD125" s="25">
        <f t="shared" si="99"/>
        <v>2.4140856931131882E-2</v>
      </c>
      <c r="AE125" s="21">
        <f t="shared" si="100"/>
        <v>0.1003005166553177</v>
      </c>
      <c r="AF125" s="21">
        <f t="shared" si="101"/>
        <v>8.7451265491358399E-3</v>
      </c>
      <c r="AG125" s="9">
        <f t="shared" si="102"/>
        <v>0.13495654858893125</v>
      </c>
      <c r="AK125" t="b">
        <f t="shared" si="103"/>
        <v>1</v>
      </c>
      <c r="AL125" t="b">
        <f t="shared" si="104"/>
        <v>1</v>
      </c>
      <c r="AM125" t="b">
        <f t="shared" si="105"/>
        <v>1</v>
      </c>
      <c r="AN125" t="b">
        <f t="shared" si="106"/>
        <v>1</v>
      </c>
    </row>
    <row r="126" spans="1:40" x14ac:dyDescent="0.35">
      <c r="A126">
        <f t="shared" si="88"/>
        <v>125</v>
      </c>
      <c r="B126" t="str">
        <f t="shared" si="117"/>
        <v>Petrobras4057027/01/2016</v>
      </c>
      <c r="C126" t="s">
        <v>463</v>
      </c>
      <c r="D126" t="b">
        <f t="shared" si="97"/>
        <v>1</v>
      </c>
      <c r="E126" s="50">
        <v>40570</v>
      </c>
      <c r="F126" s="54">
        <f>VLOOKUP(A126,Base!B:K,10,0)</f>
        <v>40570</v>
      </c>
      <c r="G126" s="28" t="s">
        <v>495</v>
      </c>
      <c r="H126" s="14">
        <f>NETWORKDAYS($F126,$G126,Feriados!$A$2:$A$1189)</f>
        <v>1258</v>
      </c>
      <c r="I126" s="14">
        <f t="shared" si="98"/>
        <v>1800</v>
      </c>
      <c r="J126" t="s">
        <v>651</v>
      </c>
      <c r="K126" s="29">
        <v>3.875E-2</v>
      </c>
      <c r="L126" s="30">
        <v>55648.01</v>
      </c>
      <c r="M126" s="31">
        <v>42370</v>
      </c>
      <c r="N126" s="18">
        <f>NETWORKDAYS($F126,$M126,Feriados!$A$2:$A$1189)</f>
        <v>1240</v>
      </c>
      <c r="O126" s="30">
        <v>52581.08</v>
      </c>
      <c r="P126" s="31">
        <v>42552</v>
      </c>
      <c r="Q126" s="18">
        <f>NETWORKDAYS($F126,$P126,Feriados!$A$2:$A$1189)</f>
        <v>1365</v>
      </c>
      <c r="R126" s="17">
        <f t="shared" si="118"/>
        <v>55195.584758606114</v>
      </c>
      <c r="S126" s="26">
        <v>3.77</v>
      </c>
      <c r="T126" s="27">
        <v>42370</v>
      </c>
      <c r="U126" s="23">
        <f t="shared" si="119"/>
        <v>1774</v>
      </c>
      <c r="V126" s="26">
        <v>3.97</v>
      </c>
      <c r="W126" s="27">
        <v>42552</v>
      </c>
      <c r="X126" s="35">
        <f t="shared" si="120"/>
        <v>1954</v>
      </c>
      <c r="Y126" s="33">
        <f t="shared" si="121"/>
        <v>1.2000472369970052</v>
      </c>
      <c r="Z126" s="33">
        <f t="shared" si="122"/>
        <v>1.2353018884377203</v>
      </c>
      <c r="AA126" s="24">
        <f t="shared" si="123"/>
        <v>0.14444444444444443</v>
      </c>
      <c r="AB126" s="24">
        <f t="shared" si="124"/>
        <v>3.8013350415567082E-2</v>
      </c>
      <c r="AC126" s="25">
        <f t="shared" si="125"/>
        <v>0.12642219093091955</v>
      </c>
      <c r="AD126" s="25">
        <f t="shared" si="99"/>
        <v>3.8013350415567082E-2</v>
      </c>
      <c r="AE126" s="21">
        <f t="shared" si="100"/>
        <v>8.7834690632968559E-2</v>
      </c>
      <c r="AF126" s="21">
        <f t="shared" si="101"/>
        <v>3.165859118178016E-3</v>
      </c>
      <c r="AG126" s="9">
        <f t="shared" si="102"/>
        <v>0.12958805004909757</v>
      </c>
      <c r="AK126" t="b">
        <f t="shared" si="103"/>
        <v>1</v>
      </c>
      <c r="AL126" t="b">
        <f t="shared" si="104"/>
        <v>1</v>
      </c>
      <c r="AM126" t="b">
        <f t="shared" si="105"/>
        <v>1</v>
      </c>
      <c r="AN126" t="b">
        <f t="shared" si="106"/>
        <v>1</v>
      </c>
    </row>
    <row r="127" spans="1:40" x14ac:dyDescent="0.35">
      <c r="A127">
        <f t="shared" si="88"/>
        <v>126</v>
      </c>
      <c r="B127" t="str">
        <f t="shared" si="117"/>
        <v>Petrobras4094506/02/2015</v>
      </c>
      <c r="C127" t="s">
        <v>463</v>
      </c>
      <c r="D127" t="b">
        <f t="shared" si="97"/>
        <v>1</v>
      </c>
      <c r="E127" s="50">
        <v>40945</v>
      </c>
      <c r="F127" s="54">
        <f>VLOOKUP(A127,Base!B:K,10,0)</f>
        <v>40945</v>
      </c>
      <c r="G127" s="28" t="s">
        <v>497</v>
      </c>
      <c r="H127" s="14">
        <f>NETWORKDAYS($F127,$G127,Feriados!$A$2:$A$1189)</f>
        <v>758</v>
      </c>
      <c r="I127" s="14">
        <f t="shared" si="98"/>
        <v>1080</v>
      </c>
      <c r="J127" t="s">
        <v>651</v>
      </c>
      <c r="K127" s="29">
        <v>2.8750000000000001E-2</v>
      </c>
      <c r="L127" s="30">
        <v>74883.38</v>
      </c>
      <c r="M127" s="31">
        <v>42005</v>
      </c>
      <c r="N127" s="18">
        <f>NETWORKDAYS($F127,$M127,Feriados!$A$2:$A$1189)</f>
        <v>732</v>
      </c>
      <c r="O127" s="30">
        <v>72933.7</v>
      </c>
      <c r="P127" s="31">
        <v>42095</v>
      </c>
      <c r="Q127" s="18">
        <f>NETWORKDAYS($F127,$P127,Feriados!$A$2:$A$1189)</f>
        <v>794</v>
      </c>
      <c r="R127" s="17">
        <f t="shared" si="118"/>
        <v>74059.505809836584</v>
      </c>
      <c r="S127" s="26">
        <v>3.26</v>
      </c>
      <c r="T127" s="27">
        <v>42005</v>
      </c>
      <c r="U127" s="23">
        <f t="shared" si="119"/>
        <v>1045</v>
      </c>
      <c r="V127" s="26">
        <v>3.32</v>
      </c>
      <c r="W127" s="27">
        <v>42095</v>
      </c>
      <c r="X127" s="35">
        <f t="shared" si="120"/>
        <v>1135</v>
      </c>
      <c r="Y127" s="33">
        <f t="shared" si="121"/>
        <v>1.0975943186939614</v>
      </c>
      <c r="Z127" s="33">
        <f t="shared" si="122"/>
        <v>1.1084605806401073</v>
      </c>
      <c r="AA127" s="24">
        <f t="shared" si="123"/>
        <v>0.3888888888888889</v>
      </c>
      <c r="AB127" s="24">
        <f t="shared" si="124"/>
        <v>3.2845173936311367E-2</v>
      </c>
      <c r="AC127" s="25">
        <f t="shared" si="125"/>
        <v>0.10499002807549984</v>
      </c>
      <c r="AD127" s="25">
        <f t="shared" si="99"/>
        <v>3.2845173936311367E-2</v>
      </c>
      <c r="AE127" s="21">
        <f t="shared" si="100"/>
        <v>7.100020393601425E-2</v>
      </c>
      <c r="AF127" s="21">
        <f t="shared" si="101"/>
        <v>-2.8946580467299476E-3</v>
      </c>
      <c r="AG127" s="9">
        <f t="shared" si="102"/>
        <v>0.10209537002876989</v>
      </c>
      <c r="AK127" t="b">
        <f t="shared" si="103"/>
        <v>1</v>
      </c>
      <c r="AL127" t="b">
        <f t="shared" si="104"/>
        <v>1</v>
      </c>
      <c r="AM127" t="b">
        <f t="shared" si="105"/>
        <v>1</v>
      </c>
      <c r="AN127" t="b">
        <f t="shared" si="106"/>
        <v>1</v>
      </c>
    </row>
    <row r="128" spans="1:40" x14ac:dyDescent="0.35">
      <c r="A128">
        <f t="shared" si="88"/>
        <v>127</v>
      </c>
      <c r="B128" t="str">
        <f t="shared" si="117"/>
        <v>Petrobras4171517/03/2020</v>
      </c>
      <c r="C128" t="s">
        <v>463</v>
      </c>
      <c r="D128" t="b">
        <f t="shared" si="97"/>
        <v>1</v>
      </c>
      <c r="E128" s="50">
        <v>41715</v>
      </c>
      <c r="F128" s="54">
        <f>VLOOKUP(A128,Base!B:K,10,0)</f>
        <v>41715</v>
      </c>
      <c r="G128" s="28" t="s">
        <v>496</v>
      </c>
      <c r="H128" s="14">
        <f>NETWORKDAYS($F128,$G128,Feriados!$A$2:$A$1189)</f>
        <v>1508</v>
      </c>
      <c r="I128" s="14">
        <f t="shared" si="98"/>
        <v>2160</v>
      </c>
      <c r="J128" t="s">
        <v>651</v>
      </c>
      <c r="K128" s="29">
        <v>4.8750000000000002E-2</v>
      </c>
      <c r="L128" s="30">
        <v>49505.93</v>
      </c>
      <c r="M128" s="31">
        <v>43831</v>
      </c>
      <c r="N128" s="18">
        <f>NETWORKDAYS($F128,$M128,Feriados!$A$2:$A$1189)</f>
        <v>1456</v>
      </c>
      <c r="O128" s="30">
        <v>47979.18</v>
      </c>
      <c r="P128" s="31">
        <v>43922</v>
      </c>
      <c r="Q128" s="18">
        <f>NETWORKDAYS($F128,$P128,Feriados!$A$2:$A$1189)</f>
        <v>1519</v>
      </c>
      <c r="R128" s="17">
        <f t="shared" si="118"/>
        <v>48242.320886791313</v>
      </c>
      <c r="S128" s="26">
        <v>3.77</v>
      </c>
      <c r="T128" s="27">
        <v>43831</v>
      </c>
      <c r="U128" s="23">
        <f t="shared" si="119"/>
        <v>2084</v>
      </c>
      <c r="V128" s="26">
        <v>4</v>
      </c>
      <c r="W128" s="27">
        <v>44013</v>
      </c>
      <c r="X128" s="35">
        <f t="shared" si="120"/>
        <v>2264</v>
      </c>
      <c r="Y128" s="33">
        <f t="shared" si="121"/>
        <v>1.2389048734319557</v>
      </c>
      <c r="Z128" s="33">
        <f t="shared" si="122"/>
        <v>1.2797371524090573</v>
      </c>
      <c r="AA128" s="24">
        <f t="shared" si="123"/>
        <v>0.42222222222222222</v>
      </c>
      <c r="AB128" s="24">
        <f t="shared" si="124"/>
        <v>3.8717240220978333E-2</v>
      </c>
      <c r="AC128" s="25">
        <f t="shared" si="125"/>
        <v>0.12954079311695699</v>
      </c>
      <c r="AD128" s="25">
        <f t="shared" si="99"/>
        <v>3.8717240220978333E-2</v>
      </c>
      <c r="AE128" s="21">
        <f t="shared" si="100"/>
        <v>9.0792654518296878E-2</v>
      </c>
      <c r="AF128" s="21">
        <f t="shared" si="101"/>
        <v>1.2773335320889867E-2</v>
      </c>
      <c r="AG128" s="9">
        <f t="shared" si="102"/>
        <v>0.14231412843784685</v>
      </c>
      <c r="AK128" t="b">
        <f t="shared" si="103"/>
        <v>1</v>
      </c>
      <c r="AL128" t="b">
        <f t="shared" si="104"/>
        <v>1</v>
      </c>
      <c r="AM128" t="b">
        <f t="shared" si="105"/>
        <v>1</v>
      </c>
      <c r="AN128" t="b">
        <f t="shared" si="106"/>
        <v>1</v>
      </c>
    </row>
    <row r="129" spans="1:40" x14ac:dyDescent="0.35">
      <c r="A129">
        <f t="shared" si="88"/>
        <v>128</v>
      </c>
      <c r="B129" t="str">
        <f t="shared" si="117"/>
        <v>Queiroz Galvão4075130/07/2018</v>
      </c>
      <c r="C129" t="s">
        <v>499</v>
      </c>
      <c r="D129" t="b">
        <f t="shared" si="97"/>
        <v>1</v>
      </c>
      <c r="E129" s="50">
        <v>40751</v>
      </c>
      <c r="F129" s="54">
        <f>VLOOKUP(A129,Base!B:K,10,0)</f>
        <v>40751</v>
      </c>
      <c r="G129" s="28" t="s">
        <v>514</v>
      </c>
      <c r="H129" s="14">
        <f>NETWORKDAYS($F129,$G129,Feriados!$A$2:$A$1189)</f>
        <v>1761</v>
      </c>
      <c r="I129" s="14">
        <f t="shared" si="98"/>
        <v>2523</v>
      </c>
      <c r="J129" t="s">
        <v>651</v>
      </c>
      <c r="K129" s="29">
        <v>5.2499999999999998E-2</v>
      </c>
      <c r="L129" s="30">
        <v>46933.1</v>
      </c>
      <c r="M129" s="31">
        <v>43101</v>
      </c>
      <c r="N129" s="18">
        <f>NETWORKDAYS($F129,$M129,Feriados!$A$2:$A$1189)</f>
        <v>1616</v>
      </c>
      <c r="O129" s="30">
        <v>41915.18</v>
      </c>
      <c r="P129" s="31">
        <v>43466</v>
      </c>
      <c r="Q129" s="18">
        <f>NETWORKDAYS($F129,$P129,Feriados!$A$2:$A$1189)</f>
        <v>1866</v>
      </c>
      <c r="R129" s="17">
        <f t="shared" si="118"/>
        <v>43953.823084974443</v>
      </c>
      <c r="S129" s="26">
        <v>4.71</v>
      </c>
      <c r="T129" s="27">
        <v>43101</v>
      </c>
      <c r="U129" s="23">
        <f t="shared" si="119"/>
        <v>2314</v>
      </c>
      <c r="V129" s="26">
        <v>5</v>
      </c>
      <c r="W129" s="27">
        <v>43466</v>
      </c>
      <c r="X129" s="35">
        <f t="shared" si="120"/>
        <v>2674</v>
      </c>
      <c r="Y129" s="33">
        <f t="shared" si="121"/>
        <v>1.3442481517977185</v>
      </c>
      <c r="Z129" s="33">
        <f t="shared" si="122"/>
        <v>1.4367771243519989</v>
      </c>
      <c r="AA129" s="24">
        <f t="shared" si="123"/>
        <v>0.5805555555555556</v>
      </c>
      <c r="AB129" s="24">
        <f t="shared" si="124"/>
        <v>4.8883424840065803E-2</v>
      </c>
      <c r="AC129" s="25">
        <f t="shared" si="125"/>
        <v>0.12483121793711938</v>
      </c>
      <c r="AD129" s="25">
        <f t="shared" si="99"/>
        <v>4.8883424840065803E-2</v>
      </c>
      <c r="AE129" s="21">
        <f t="shared" si="100"/>
        <v>7.8396655005536608E-2</v>
      </c>
      <c r="AF129" s="21">
        <f t="shared" si="101"/>
        <v>9.0513681464847728E-3</v>
      </c>
      <c r="AG129" s="9">
        <f t="shared" si="102"/>
        <v>0.13388258608360415</v>
      </c>
      <c r="AK129" t="b">
        <f t="shared" si="103"/>
        <v>1</v>
      </c>
      <c r="AL129" t="b">
        <f t="shared" si="104"/>
        <v>1</v>
      </c>
      <c r="AM129" t="b">
        <f t="shared" si="105"/>
        <v>1</v>
      </c>
      <c r="AN129" t="b">
        <f t="shared" si="106"/>
        <v>1</v>
      </c>
    </row>
    <row r="130" spans="1:40" x14ac:dyDescent="0.35">
      <c r="A130">
        <f t="shared" si="88"/>
        <v>129</v>
      </c>
      <c r="B130" t="str">
        <f t="shared" si="117"/>
        <v>Raizen4275520/01/2027</v>
      </c>
      <c r="C130" t="s">
        <v>516</v>
      </c>
      <c r="D130" t="b">
        <f t="shared" si="97"/>
        <v>1</v>
      </c>
      <c r="E130" s="50">
        <v>42755</v>
      </c>
      <c r="F130" s="54">
        <f>VLOOKUP(A130,Base!B:K,10,0)</f>
        <v>42755</v>
      </c>
      <c r="G130" s="28" t="s">
        <v>185</v>
      </c>
      <c r="H130" s="14">
        <f>NETWORKDAYS($F130,$G130,Feriados!$A$2:$A$1189)</f>
        <v>2510</v>
      </c>
      <c r="I130" s="14">
        <f t="shared" si="98"/>
        <v>3600</v>
      </c>
      <c r="J130" t="s">
        <v>651</v>
      </c>
      <c r="K130" s="29">
        <v>5.2999999999999999E-2</v>
      </c>
      <c r="L130" s="30">
        <v>35114.19</v>
      </c>
      <c r="M130" s="31">
        <v>46388</v>
      </c>
      <c r="N130" s="18">
        <f>NETWORKDAYS($F130,$M130,Feriados!$A$2:$A$1189)</f>
        <v>2497</v>
      </c>
      <c r="O130" s="30">
        <v>31607.8</v>
      </c>
      <c r="P130" s="31">
        <v>46753</v>
      </c>
      <c r="Q130" s="18">
        <f>NETWORKDAYS($F130,$P130,Feriados!$A$2:$A$1189)</f>
        <v>2748</v>
      </c>
      <c r="R130" s="17">
        <f t="shared" si="118"/>
        <v>34923.384379617848</v>
      </c>
      <c r="S130" s="26">
        <v>6.24</v>
      </c>
      <c r="T130" s="27">
        <v>46388</v>
      </c>
      <c r="U130" s="23">
        <f t="shared" si="119"/>
        <v>3581</v>
      </c>
      <c r="V130" s="26">
        <v>6.55</v>
      </c>
      <c r="W130" s="27">
        <v>46753</v>
      </c>
      <c r="X130" s="35">
        <f t="shared" si="120"/>
        <v>3941</v>
      </c>
      <c r="Y130" s="33">
        <f t="shared" si="121"/>
        <v>1.8259681365113425</v>
      </c>
      <c r="Z130" s="33">
        <f t="shared" si="122"/>
        <v>2.0027824840038719</v>
      </c>
      <c r="AA130" s="24">
        <f t="shared" si="123"/>
        <v>5.2777777777777778E-2</v>
      </c>
      <c r="AB130" s="24">
        <f t="shared" si="124"/>
        <v>6.2578862968512672E-2</v>
      </c>
      <c r="AC130" s="25">
        <f t="shared" si="125"/>
        <v>0.11140000133356875</v>
      </c>
      <c r="AD130" s="25">
        <f t="shared" si="99"/>
        <v>6.2578862968512672E-2</v>
      </c>
      <c r="AE130" s="21">
        <f t="shared" si="100"/>
        <v>5.8473270984331638E-2</v>
      </c>
      <c r="AF130" s="21">
        <f t="shared" si="101"/>
        <v>2.8543755705650042E-3</v>
      </c>
      <c r="AG130" s="9">
        <f t="shared" si="102"/>
        <v>0.11425437690413376</v>
      </c>
      <c r="AK130" t="b">
        <f t="shared" si="103"/>
        <v>1</v>
      </c>
      <c r="AL130" t="b">
        <f t="shared" si="104"/>
        <v>1</v>
      </c>
      <c r="AM130" t="b">
        <f t="shared" si="105"/>
        <v>1</v>
      </c>
      <c r="AN130" t="b">
        <f t="shared" si="106"/>
        <v>1</v>
      </c>
    </row>
    <row r="131" spans="1:40" x14ac:dyDescent="0.35">
      <c r="A131">
        <f t="shared" si="88"/>
        <v>130</v>
      </c>
      <c r="B131" t="str">
        <f t="shared" si="117"/>
        <v>Raizen4401920/01/2027</v>
      </c>
      <c r="C131" t="s">
        <v>516</v>
      </c>
      <c r="D131" t="b">
        <f t="shared" si="97"/>
        <v>1</v>
      </c>
      <c r="E131" s="50">
        <v>44019</v>
      </c>
      <c r="F131" s="54">
        <f>VLOOKUP(A131,Base!B:K,10,0)</f>
        <v>44019</v>
      </c>
      <c r="G131" s="28" t="s">
        <v>185</v>
      </c>
      <c r="H131" s="14">
        <f>NETWORKDAYS($F131,$G131,Feriados!$A$2:$A$1189)</f>
        <v>1645</v>
      </c>
      <c r="I131" s="14">
        <f t="shared" si="98"/>
        <v>2353</v>
      </c>
      <c r="J131" t="s">
        <v>651</v>
      </c>
      <c r="K131" s="29">
        <v>5.2999999999999999E-2</v>
      </c>
      <c r="L131" s="30">
        <v>66468.31</v>
      </c>
      <c r="M131" s="31">
        <v>46388</v>
      </c>
      <c r="N131" s="18">
        <f>NETWORKDAYS($F131,$M131,Feriados!$A$2:$A$1189)</f>
        <v>1632</v>
      </c>
      <c r="O131" s="30">
        <v>60909.73</v>
      </c>
      <c r="P131" s="31">
        <v>46753</v>
      </c>
      <c r="Q131" s="18">
        <f>NETWORKDAYS($F131,$P131,Feriados!$A$2:$A$1189)</f>
        <v>1883</v>
      </c>
      <c r="R131" s="17">
        <f t="shared" si="118"/>
        <v>66168.34012706895</v>
      </c>
      <c r="S131" s="26">
        <v>1.72</v>
      </c>
      <c r="T131" s="27">
        <v>46388</v>
      </c>
      <c r="U131" s="23">
        <f t="shared" si="119"/>
        <v>2334</v>
      </c>
      <c r="V131" s="26">
        <v>1.86</v>
      </c>
      <c r="W131" s="27">
        <v>46753</v>
      </c>
      <c r="X131" s="35">
        <f t="shared" si="120"/>
        <v>2694</v>
      </c>
      <c r="Y131" s="33">
        <f t="shared" si="121"/>
        <v>1.1169091417192418</v>
      </c>
      <c r="Z131" s="33">
        <f t="shared" si="122"/>
        <v>1.1478738025413253</v>
      </c>
      <c r="AA131" s="24">
        <f t="shared" si="123"/>
        <v>5.2777777777777778E-2</v>
      </c>
      <c r="AB131" s="24">
        <f t="shared" si="124"/>
        <v>1.728454231829657E-2</v>
      </c>
      <c r="AC131" s="25">
        <f t="shared" si="125"/>
        <v>6.5307186642215243E-2</v>
      </c>
      <c r="AD131" s="25">
        <f t="shared" si="99"/>
        <v>1.728454231829657E-2</v>
      </c>
      <c r="AE131" s="21">
        <f t="shared" si="100"/>
        <v>4.7981861930341152E-2</v>
      </c>
      <c r="AF131" s="21">
        <f t="shared" si="101"/>
        <v>3.5874829767077676E-2</v>
      </c>
      <c r="AG131" s="9">
        <f t="shared" si="102"/>
        <v>0.10118201640929292</v>
      </c>
      <c r="AK131" t="b">
        <f t="shared" si="103"/>
        <v>1</v>
      </c>
      <c r="AL131" t="b">
        <f t="shared" si="104"/>
        <v>1</v>
      </c>
      <c r="AM131" t="b">
        <f t="shared" si="105"/>
        <v>1</v>
      </c>
      <c r="AN131" t="b">
        <f t="shared" si="106"/>
        <v>1</v>
      </c>
    </row>
    <row r="132" spans="1:40" x14ac:dyDescent="0.35">
      <c r="A132">
        <f t="shared" si="88"/>
        <v>131</v>
      </c>
      <c r="B132" t="str">
        <f t="shared" si="117"/>
        <v>Rede D'or4385222/01/2030</v>
      </c>
      <c r="C132" t="s">
        <v>524</v>
      </c>
      <c r="D132" t="b">
        <f t="shared" si="97"/>
        <v>1</v>
      </c>
      <c r="E132" s="50">
        <v>43852</v>
      </c>
      <c r="F132" s="54">
        <f>VLOOKUP(A132,Base!B:K,10,0)</f>
        <v>43852</v>
      </c>
      <c r="G132" s="28" t="s">
        <v>545</v>
      </c>
      <c r="H132" s="14">
        <f>NETWORKDAYS($F132,$G132,Feriados!$A$2:$A$1189)</f>
        <v>2510</v>
      </c>
      <c r="I132" s="14">
        <f t="shared" si="98"/>
        <v>3600</v>
      </c>
      <c r="J132" t="s">
        <v>651</v>
      </c>
      <c r="K132" s="29">
        <v>4.4999999999999998E-2</v>
      </c>
      <c r="L132" s="30">
        <v>50823.48</v>
      </c>
      <c r="M132" s="31">
        <v>47484</v>
      </c>
      <c r="N132" s="18">
        <f>NETWORKDAYS($F132,$M132,Feriados!$A$2:$A$1189)</f>
        <v>2495</v>
      </c>
      <c r="O132" s="30">
        <v>46852.53</v>
      </c>
      <c r="P132" s="31">
        <v>47849</v>
      </c>
      <c r="Q132" s="18">
        <f>NETWORKDAYS($F132,$P132,Feriados!$A$2:$A$1189)</f>
        <v>2748</v>
      </c>
      <c r="R132" s="17">
        <f t="shared" si="118"/>
        <v>50578.931995026804</v>
      </c>
      <c r="S132" s="26">
        <v>3.03</v>
      </c>
      <c r="T132" s="27">
        <v>47484</v>
      </c>
      <c r="U132" s="23">
        <f t="shared" si="119"/>
        <v>3579</v>
      </c>
      <c r="V132" s="26">
        <v>3.09</v>
      </c>
      <c r="W132" s="27">
        <v>47849</v>
      </c>
      <c r="X132" s="35">
        <f t="shared" si="120"/>
        <v>3939</v>
      </c>
      <c r="Y132" s="33">
        <f t="shared" si="121"/>
        <v>1.3454909545332943</v>
      </c>
      <c r="Z132" s="33">
        <f t="shared" si="122"/>
        <v>1.395118093097075</v>
      </c>
      <c r="AA132" s="24">
        <f t="shared" si="123"/>
        <v>5.8333333333333334E-2</v>
      </c>
      <c r="AB132" s="24">
        <f t="shared" si="124"/>
        <v>3.0338285398097131E-2</v>
      </c>
      <c r="AC132" s="25">
        <f t="shared" si="125"/>
        <v>7.0831097663850207E-2</v>
      </c>
      <c r="AD132" s="25">
        <f t="shared" si="99"/>
        <v>3.0338285398097131E-2</v>
      </c>
      <c r="AE132" s="21">
        <f t="shared" si="100"/>
        <v>4.2720541365131925E-2</v>
      </c>
      <c r="AF132" s="21">
        <f t="shared" si="101"/>
        <v>1.7567539926467424E-2</v>
      </c>
      <c r="AG132" s="9">
        <f t="shared" si="102"/>
        <v>8.839863759031763E-2</v>
      </c>
      <c r="AK132" t="b">
        <f t="shared" si="103"/>
        <v>1</v>
      </c>
      <c r="AL132" t="b">
        <f t="shared" si="104"/>
        <v>1</v>
      </c>
      <c r="AM132" t="b">
        <f t="shared" si="105"/>
        <v>1</v>
      </c>
      <c r="AN132" t="b">
        <f t="shared" si="106"/>
        <v>1</v>
      </c>
    </row>
    <row r="133" spans="1:40" x14ac:dyDescent="0.35">
      <c r="A133">
        <f t="shared" si="88"/>
        <v>132</v>
      </c>
      <c r="B133" t="str">
        <f t="shared" si="117"/>
        <v>Rede D'or4311717/01/2028</v>
      </c>
      <c r="C133" t="s">
        <v>524</v>
      </c>
      <c r="D133" t="b">
        <f t="shared" ref="D133:D164" si="126">E133=F133</f>
        <v>1</v>
      </c>
      <c r="E133" s="50">
        <v>43117</v>
      </c>
      <c r="F133" s="54">
        <f>VLOOKUP(A133,Base!B:K,10,0)</f>
        <v>43117</v>
      </c>
      <c r="G133" s="28" t="s">
        <v>546</v>
      </c>
      <c r="H133" s="14">
        <f>NETWORKDAYS($F133,$G133,Feriados!$A$2:$A$1189)</f>
        <v>2513</v>
      </c>
      <c r="I133" s="14">
        <f t="shared" ref="I133:I164" si="127">DAYS360(F133,G133,0)</f>
        <v>3600</v>
      </c>
      <c r="J133" t="s">
        <v>651</v>
      </c>
      <c r="K133" s="29">
        <v>4.9500000000000002E-2</v>
      </c>
      <c r="L133" s="30">
        <v>37275.72</v>
      </c>
      <c r="M133" s="31">
        <v>46753</v>
      </c>
      <c r="N133" s="18">
        <f>NETWORKDAYS($F133,$M133,Feriados!$A$2:$A$1189)</f>
        <v>2502</v>
      </c>
      <c r="O133" s="30">
        <v>33489.800000000003</v>
      </c>
      <c r="P133" s="31">
        <v>47119</v>
      </c>
      <c r="Q133" s="18">
        <f>NETWORKDAYS($F133,$P133,Feriados!$A$2:$A$1189)</f>
        <v>2751</v>
      </c>
      <c r="R133" s="17">
        <f t="shared" si="118"/>
        <v>37099.770934769673</v>
      </c>
      <c r="S133" s="26">
        <v>4.1100000000000003</v>
      </c>
      <c r="T133" s="27">
        <v>46753</v>
      </c>
      <c r="U133" s="23">
        <f t="shared" si="119"/>
        <v>3584</v>
      </c>
      <c r="V133" s="26">
        <v>4.32</v>
      </c>
      <c r="W133" s="27">
        <v>47119</v>
      </c>
      <c r="X133" s="35">
        <f t="shared" si="120"/>
        <v>3944</v>
      </c>
      <c r="Y133" s="33">
        <f t="shared" si="121"/>
        <v>1.4932998542443212</v>
      </c>
      <c r="Z133" s="33">
        <f t="shared" si="122"/>
        <v>1.589377371209856</v>
      </c>
      <c r="AA133" s="24">
        <f t="shared" si="123"/>
        <v>4.4444444444444446E-2</v>
      </c>
      <c r="AB133" s="24">
        <f t="shared" si="124"/>
        <v>4.1202153875749215E-2</v>
      </c>
      <c r="AC133" s="25">
        <f t="shared" si="125"/>
        <v>0.10454351326992728</v>
      </c>
      <c r="AD133" s="25">
        <f t="shared" ref="AD133:AD164" si="128">+AB133</f>
        <v>4.1202153875749215E-2</v>
      </c>
      <c r="AE133" s="21">
        <f t="shared" ref="AE133:AE164" si="129">IFERROR((((1+$AC133)^($H133/252))/(1+$AD133*$I133/360))^(252/$H133)-1,"NA")</f>
        <v>6.6981670499729473E-2</v>
      </c>
      <c r="AF133" s="21">
        <f t="shared" ref="AF133:AF164" si="130">IFERROR(((((1+$K133)*(1+AE133))^($H133/252))/((1+$AC133)^($H133/252)))^(252/$H133)-1,"NA")</f>
        <v>1.3810003622565459E-2</v>
      </c>
      <c r="AG133" s="9">
        <f t="shared" ref="AG133:AG164" si="131">AC133+AF133</f>
        <v>0.11835351689249274</v>
      </c>
      <c r="AK133" t="b">
        <f t="shared" ref="AK133:AK164" si="132">N133&lt;$H133</f>
        <v>1</v>
      </c>
      <c r="AL133" t="b">
        <f t="shared" ref="AL133:AL164" si="133">Q133&gt;$H133</f>
        <v>1</v>
      </c>
      <c r="AM133" t="b">
        <f t="shared" ref="AM133:AM164" si="134">U133&lt;$I133</f>
        <v>1</v>
      </c>
      <c r="AN133" t="b">
        <f t="shared" ref="AN133:AN164" si="135">X133&gt;$I133</f>
        <v>1</v>
      </c>
    </row>
    <row r="134" spans="1:40" x14ac:dyDescent="0.35">
      <c r="A134">
        <f t="shared" si="88"/>
        <v>133</v>
      </c>
      <c r="B134" t="str">
        <f t="shared" si="117"/>
        <v>Rede D'or4387422/01/2030</v>
      </c>
      <c r="C134" t="s">
        <v>524</v>
      </c>
      <c r="D134" t="b">
        <f t="shared" si="126"/>
        <v>1</v>
      </c>
      <c r="E134" s="50">
        <v>43874</v>
      </c>
      <c r="F134" s="54">
        <f>VLOOKUP(A134,Base!B:K,10,0)</f>
        <v>43874</v>
      </c>
      <c r="G134" s="28" t="s">
        <v>545</v>
      </c>
      <c r="H134" s="14">
        <f>NETWORKDAYS($F134,$G134,Feriados!$A$2:$A$1189)</f>
        <v>2494</v>
      </c>
      <c r="I134" s="14">
        <f t="shared" si="127"/>
        <v>3579</v>
      </c>
      <c r="J134" t="s">
        <v>651</v>
      </c>
      <c r="K134" s="29">
        <v>4.4999999999999998E-2</v>
      </c>
      <c r="L134" s="30">
        <v>52710.51</v>
      </c>
      <c r="M134" s="31">
        <v>47484</v>
      </c>
      <c r="N134" s="18">
        <f>NETWORKDAYS($F134,$M134,Feriados!$A$2:$A$1189)</f>
        <v>2479</v>
      </c>
      <c r="O134" s="30">
        <v>48956.52</v>
      </c>
      <c r="P134" s="31">
        <v>47849</v>
      </c>
      <c r="Q134" s="18">
        <f>NETWORKDAYS($F134,$P134,Feriados!$A$2:$A$1189)</f>
        <v>2732</v>
      </c>
      <c r="R134" s="17">
        <f t="shared" si="118"/>
        <v>52480.123207815974</v>
      </c>
      <c r="S134" s="26">
        <v>3.02</v>
      </c>
      <c r="T134" s="27">
        <v>47484</v>
      </c>
      <c r="U134" s="23">
        <f t="shared" si="119"/>
        <v>3558</v>
      </c>
      <c r="V134" s="26">
        <v>3.13</v>
      </c>
      <c r="W134" s="27">
        <v>47849</v>
      </c>
      <c r="X134" s="35">
        <f t="shared" si="120"/>
        <v>3918</v>
      </c>
      <c r="Y134" s="33">
        <f t="shared" si="121"/>
        <v>1.3418622702180194</v>
      </c>
      <c r="Z134" s="33">
        <f t="shared" si="122"/>
        <v>1.3985358703150448</v>
      </c>
      <c r="AA134" s="24">
        <f t="shared" si="123"/>
        <v>5.8333333333333334E-2</v>
      </c>
      <c r="AB134" s="24">
        <f t="shared" si="124"/>
        <v>3.0270209398785219E-2</v>
      </c>
      <c r="AC134" s="25">
        <f t="shared" si="125"/>
        <v>6.7314528912174376E-2</v>
      </c>
      <c r="AD134" s="25">
        <f t="shared" si="128"/>
        <v>3.0270209398785219E-2</v>
      </c>
      <c r="AE134" s="21">
        <f t="shared" si="129"/>
        <v>3.9316219540821651E-2</v>
      </c>
      <c r="AF134" s="21">
        <f t="shared" si="130"/>
        <v>1.7587056110925259E-2</v>
      </c>
      <c r="AG134" s="9">
        <f t="shared" si="131"/>
        <v>8.4901585023099635E-2</v>
      </c>
      <c r="AK134" t="b">
        <f t="shared" si="132"/>
        <v>1</v>
      </c>
      <c r="AL134" t="b">
        <f t="shared" si="133"/>
        <v>1</v>
      </c>
      <c r="AM134" t="b">
        <f t="shared" si="134"/>
        <v>1</v>
      </c>
      <c r="AN134" t="b">
        <f t="shared" si="135"/>
        <v>1</v>
      </c>
    </row>
    <row r="135" spans="1:40" x14ac:dyDescent="0.35">
      <c r="A135">
        <f t="shared" ref="A135:A164" si="136">+A134+1</f>
        <v>134</v>
      </c>
      <c r="B135" t="str">
        <f t="shared" si="117"/>
        <v>Rumo4402210/01/2028</v>
      </c>
      <c r="C135" t="s">
        <v>548</v>
      </c>
      <c r="D135" t="b">
        <f t="shared" si="126"/>
        <v>1</v>
      </c>
      <c r="E135" s="50">
        <v>44022</v>
      </c>
      <c r="F135" s="54">
        <f>VLOOKUP(A135,Base!B:K,10,0)</f>
        <v>44022</v>
      </c>
      <c r="G135" s="28" t="s">
        <v>119</v>
      </c>
      <c r="H135" s="14">
        <f>NETWORKDAYS($F135,$G135,Feriados!$A$2:$A$1189)</f>
        <v>1886</v>
      </c>
      <c r="I135" s="14">
        <f t="shared" si="127"/>
        <v>2700</v>
      </c>
      <c r="J135" t="s">
        <v>651</v>
      </c>
      <c r="K135" s="29">
        <v>5.2499999999999998E-2</v>
      </c>
      <c r="L135" s="30">
        <v>61945.64</v>
      </c>
      <c r="M135" s="31">
        <v>46753</v>
      </c>
      <c r="N135" s="18">
        <f>NETWORKDAYS($F135,$M135,Feriados!$A$2:$A$1189)</f>
        <v>1880</v>
      </c>
      <c r="O135" s="30">
        <v>57089.67</v>
      </c>
      <c r="P135" s="31">
        <v>47119</v>
      </c>
      <c r="Q135" s="18">
        <f>NETWORKDAYS($F135,$P135,Feriados!$A$2:$A$1189)</f>
        <v>2129</v>
      </c>
      <c r="R135" s="17">
        <f t="shared" si="118"/>
        <v>61823.907415523099</v>
      </c>
      <c r="S135" s="26">
        <v>1.79</v>
      </c>
      <c r="T135" s="27">
        <v>46753</v>
      </c>
      <c r="U135" s="23">
        <f t="shared" si="119"/>
        <v>2691</v>
      </c>
      <c r="V135" s="26">
        <v>1.88</v>
      </c>
      <c r="W135" s="27">
        <v>47119</v>
      </c>
      <c r="X135" s="35">
        <f t="shared" si="120"/>
        <v>3051</v>
      </c>
      <c r="Y135" s="33">
        <f t="shared" si="121"/>
        <v>1.141814962800443</v>
      </c>
      <c r="Z135" s="33">
        <f t="shared" si="122"/>
        <v>1.1709914796338687</v>
      </c>
      <c r="AA135" s="24">
        <f t="shared" si="123"/>
        <v>2.5000000000000001E-2</v>
      </c>
      <c r="AB135" s="24">
        <f t="shared" si="124"/>
        <v>1.7925414083821645E-2</v>
      </c>
      <c r="AC135" s="25">
        <f t="shared" si="125"/>
        <v>6.6362501041920874E-2</v>
      </c>
      <c r="AD135" s="25">
        <f t="shared" si="128"/>
        <v>1.7925414083821645E-2</v>
      </c>
      <c r="AE135" s="21">
        <f t="shared" si="129"/>
        <v>4.8540326696994152E-2</v>
      </c>
      <c r="AF135" s="21">
        <f t="shared" si="130"/>
        <v>3.4909510387220566E-2</v>
      </c>
      <c r="AG135" s="9">
        <f t="shared" si="131"/>
        <v>0.10127201142914144</v>
      </c>
      <c r="AK135" t="b">
        <f t="shared" si="132"/>
        <v>1</v>
      </c>
      <c r="AL135" t="b">
        <f t="shared" si="133"/>
        <v>1</v>
      </c>
      <c r="AM135" t="b">
        <f t="shared" si="134"/>
        <v>1</v>
      </c>
      <c r="AN135" t="b">
        <f t="shared" si="135"/>
        <v>1</v>
      </c>
    </row>
    <row r="136" spans="1:40" x14ac:dyDescent="0.35">
      <c r="A136">
        <f t="shared" si="136"/>
        <v>135</v>
      </c>
      <c r="B136" t="str">
        <f t="shared" si="117"/>
        <v>Rumo4446118/01/2032</v>
      </c>
      <c r="C136" t="s">
        <v>548</v>
      </c>
      <c r="D136" t="b">
        <f t="shared" si="126"/>
        <v>1</v>
      </c>
      <c r="E136" s="50">
        <v>44461</v>
      </c>
      <c r="F136" s="54">
        <f>VLOOKUP(A136,Base!B:K,10,0)</f>
        <v>44461</v>
      </c>
      <c r="G136" s="28" t="s">
        <v>564</v>
      </c>
      <c r="H136" s="14">
        <f>NETWORKDAYS($F136,$G136,Feriados!$A$2:$A$1189)</f>
        <v>2594</v>
      </c>
      <c r="I136" s="14">
        <f t="shared" si="127"/>
        <v>3716</v>
      </c>
      <c r="J136" t="s">
        <v>651</v>
      </c>
      <c r="K136" s="29">
        <v>4.2000000000000003E-2</v>
      </c>
      <c r="L136" s="30">
        <v>39361.86</v>
      </c>
      <c r="M136" s="31">
        <v>47849</v>
      </c>
      <c r="N136" s="18">
        <f>NETWORKDAYS($F136,$M136,Feriados!$A$2:$A$1189)</f>
        <v>2330</v>
      </c>
      <c r="O136" s="30">
        <v>31834.49</v>
      </c>
      <c r="P136" s="31">
        <v>48580</v>
      </c>
      <c r="Q136" s="18">
        <f>NETWORKDAYS($F136,$P136,Feriados!$A$2:$A$1189)</f>
        <v>2835</v>
      </c>
      <c r="R136" s="17">
        <f t="shared" si="118"/>
        <v>35227.973260565152</v>
      </c>
      <c r="S136" s="26">
        <v>2.02</v>
      </c>
      <c r="T136" s="27">
        <v>47849</v>
      </c>
      <c r="U136" s="23">
        <f t="shared" si="119"/>
        <v>3339</v>
      </c>
      <c r="V136" s="26">
        <v>2.4</v>
      </c>
      <c r="W136" s="27">
        <v>48580</v>
      </c>
      <c r="X136" s="35">
        <f t="shared" si="120"/>
        <v>4059</v>
      </c>
      <c r="Y136" s="33">
        <f t="shared" si="121"/>
        <v>1.2038055341437592</v>
      </c>
      <c r="Z136" s="33">
        <f t="shared" si="122"/>
        <v>1.3065679810953954</v>
      </c>
      <c r="AA136" s="24">
        <f t="shared" si="123"/>
        <v>0.52361111111111114</v>
      </c>
      <c r="AB136" s="24">
        <f t="shared" si="124"/>
        <v>2.237165108402972E-2</v>
      </c>
      <c r="AC136" s="25">
        <f t="shared" si="125"/>
        <v>0.10667124025474162</v>
      </c>
      <c r="AD136" s="25">
        <f t="shared" si="128"/>
        <v>2.237165108402972E-2</v>
      </c>
      <c r="AE136" s="21">
        <f t="shared" si="129"/>
        <v>8.4558210138719669E-2</v>
      </c>
      <c r="AF136" s="21">
        <f t="shared" si="130"/>
        <v>2.1179202871856706E-2</v>
      </c>
      <c r="AG136" s="9">
        <f t="shared" si="131"/>
        <v>0.12785044312659832</v>
      </c>
      <c r="AK136" t="b">
        <f t="shared" si="132"/>
        <v>1</v>
      </c>
      <c r="AL136" t="b">
        <f t="shared" si="133"/>
        <v>1</v>
      </c>
      <c r="AM136" t="b">
        <f t="shared" si="134"/>
        <v>1</v>
      </c>
      <c r="AN136" t="b">
        <f t="shared" si="135"/>
        <v>1</v>
      </c>
    </row>
    <row r="137" spans="1:40" x14ac:dyDescent="0.35">
      <c r="A137">
        <f t="shared" si="136"/>
        <v>136</v>
      </c>
      <c r="B137" t="str">
        <f t="shared" si="117"/>
        <v>Simpar4421626/01/2031</v>
      </c>
      <c r="C137" t="s">
        <v>566</v>
      </c>
      <c r="D137" t="b">
        <f t="shared" si="126"/>
        <v>1</v>
      </c>
      <c r="E137" s="50">
        <v>44216</v>
      </c>
      <c r="F137" s="54">
        <f>VLOOKUP(A137,Base!B:K,10,0)</f>
        <v>44216</v>
      </c>
      <c r="G137" s="28" t="s">
        <v>589</v>
      </c>
      <c r="H137" s="14">
        <f>NETWORKDAYS($F137,$G137,Feriados!$A$2:$A$1189)</f>
        <v>2516</v>
      </c>
      <c r="I137" s="14">
        <f t="shared" si="127"/>
        <v>3606</v>
      </c>
      <c r="J137" t="s">
        <v>651</v>
      </c>
      <c r="K137" s="29">
        <v>5.2000000000000005E-2</v>
      </c>
      <c r="L137" s="30">
        <v>47220.89</v>
      </c>
      <c r="M137" s="31">
        <v>47849</v>
      </c>
      <c r="N137" s="18">
        <f>NETWORKDAYS($F137,$M137,Feriados!$A$2:$A$1189)</f>
        <v>2499</v>
      </c>
      <c r="O137" s="30">
        <v>39726.07</v>
      </c>
      <c r="P137" s="31">
        <v>48580</v>
      </c>
      <c r="Q137" s="18">
        <f>NETWORKDAYS($F137,$P137,Feriados!$A$2:$A$1189)</f>
        <v>3004</v>
      </c>
      <c r="R137" s="17">
        <f t="shared" si="118"/>
        <v>46946.956651569053</v>
      </c>
      <c r="S137" s="26">
        <v>1.54</v>
      </c>
      <c r="T137" s="27">
        <v>47849</v>
      </c>
      <c r="U137" s="23">
        <f t="shared" si="119"/>
        <v>3581</v>
      </c>
      <c r="V137" s="26">
        <v>1.67</v>
      </c>
      <c r="W137" s="27">
        <v>48580</v>
      </c>
      <c r="X137" s="35">
        <f t="shared" si="120"/>
        <v>4301</v>
      </c>
      <c r="Y137" s="33">
        <f t="shared" si="121"/>
        <v>1.1641831152030238</v>
      </c>
      <c r="Z137" s="33">
        <f t="shared" si="122"/>
        <v>1.2188050961090648</v>
      </c>
      <c r="AA137" s="24">
        <f t="shared" si="123"/>
        <v>3.4722222222222224E-2</v>
      </c>
      <c r="AB137" s="24">
        <f t="shared" si="124"/>
        <v>1.5453805692976497E-2</v>
      </c>
      <c r="AC137" s="25">
        <f t="shared" si="125"/>
        <v>7.8677113316716341E-2</v>
      </c>
      <c r="AD137" s="25">
        <f t="shared" si="128"/>
        <v>1.5453805692976497E-2</v>
      </c>
      <c r="AE137" s="21">
        <f t="shared" si="129"/>
        <v>6.3239283754916054E-2</v>
      </c>
      <c r="AF137" s="21">
        <f t="shared" si="130"/>
        <v>3.6943968404894223E-2</v>
      </c>
      <c r="AG137" s="9">
        <f t="shared" si="131"/>
        <v>0.11562108172161056</v>
      </c>
      <c r="AK137" t="b">
        <f t="shared" si="132"/>
        <v>1</v>
      </c>
      <c r="AL137" t="b">
        <f t="shared" si="133"/>
        <v>1</v>
      </c>
      <c r="AM137" t="b">
        <f t="shared" si="134"/>
        <v>1</v>
      </c>
      <c r="AN137" t="b">
        <f t="shared" si="135"/>
        <v>1</v>
      </c>
    </row>
    <row r="138" spans="1:40" x14ac:dyDescent="0.35">
      <c r="A138">
        <f t="shared" si="136"/>
        <v>137</v>
      </c>
      <c r="B138" t="str">
        <f t="shared" si="117"/>
        <v>Simpar4294226/07/2024</v>
      </c>
      <c r="C138" t="s">
        <v>566</v>
      </c>
      <c r="D138" t="b">
        <f t="shared" si="126"/>
        <v>1</v>
      </c>
      <c r="E138" s="50">
        <v>42942</v>
      </c>
      <c r="F138" s="54">
        <f>VLOOKUP(A138,Base!B:K,10,0)</f>
        <v>42942</v>
      </c>
      <c r="G138" s="28" t="s">
        <v>590</v>
      </c>
      <c r="H138" s="14">
        <f>NETWORKDAYS($F138,$G138,Feriados!$A$2:$A$1189)</f>
        <v>1757</v>
      </c>
      <c r="I138" s="14">
        <f t="shared" si="127"/>
        <v>2520</v>
      </c>
      <c r="J138" t="s">
        <v>651</v>
      </c>
      <c r="K138" s="29">
        <v>7.7499999999999999E-2</v>
      </c>
      <c r="L138" s="30">
        <v>51226.28</v>
      </c>
      <c r="M138" s="31">
        <v>45474</v>
      </c>
      <c r="N138" s="18">
        <f>NETWORKDAYS($F138,$M138,Feriados!$A$2:$A$1189)</f>
        <v>1738</v>
      </c>
      <c r="O138" s="30">
        <v>48532.02</v>
      </c>
      <c r="P138" s="31">
        <v>45658</v>
      </c>
      <c r="Q138" s="18">
        <f>NETWORKDAYS($F138,$P138,Feriados!$A$2:$A$1189)</f>
        <v>1867</v>
      </c>
      <c r="R138" s="17">
        <f t="shared" si="118"/>
        <v>50820.252039737439</v>
      </c>
      <c r="S138" s="26">
        <v>4.3600000000000003</v>
      </c>
      <c r="T138" s="27">
        <v>45292</v>
      </c>
      <c r="U138" s="23">
        <f t="shared" si="119"/>
        <v>2315</v>
      </c>
      <c r="V138" s="26">
        <v>4.74</v>
      </c>
      <c r="W138" s="27">
        <v>45658</v>
      </c>
      <c r="X138" s="35">
        <f t="shared" si="120"/>
        <v>2675</v>
      </c>
      <c r="Y138" s="33">
        <f t="shared" si="121"/>
        <v>1.3157832986496381</v>
      </c>
      <c r="Z138" s="33">
        <f t="shared" si="122"/>
        <v>1.4107419004648165</v>
      </c>
      <c r="AA138" s="24">
        <f t="shared" si="123"/>
        <v>0.56944444444444442</v>
      </c>
      <c r="AB138" s="24">
        <f t="shared" si="124"/>
        <v>4.5895333941572858E-2</v>
      </c>
      <c r="AC138" s="25">
        <f t="shared" si="125"/>
        <v>0.10195040917502585</v>
      </c>
      <c r="AD138" s="25">
        <f t="shared" si="128"/>
        <v>4.5895333941572858E-2</v>
      </c>
      <c r="AE138" s="21">
        <f t="shared" si="129"/>
        <v>5.8787493701432325E-2</v>
      </c>
      <c r="AF138" s="21">
        <f t="shared" si="130"/>
        <v>3.5294796357836722E-2</v>
      </c>
      <c r="AG138" s="9">
        <f t="shared" si="131"/>
        <v>0.13724520553286257</v>
      </c>
      <c r="AK138" t="b">
        <f t="shared" si="132"/>
        <v>1</v>
      </c>
      <c r="AL138" t="b">
        <f t="shared" si="133"/>
        <v>1</v>
      </c>
      <c r="AM138" t="b">
        <f t="shared" si="134"/>
        <v>1</v>
      </c>
      <c r="AN138" t="b">
        <f t="shared" si="135"/>
        <v>1</v>
      </c>
    </row>
    <row r="139" spans="1:40" x14ac:dyDescent="0.35">
      <c r="A139">
        <f t="shared" si="136"/>
        <v>138</v>
      </c>
      <c r="B139" t="str">
        <f t="shared" si="117"/>
        <v>Simpar4311626/07/2024</v>
      </c>
      <c r="C139" t="s">
        <v>566</v>
      </c>
      <c r="D139" t="b">
        <f t="shared" si="126"/>
        <v>1</v>
      </c>
      <c r="E139" s="50">
        <v>43116</v>
      </c>
      <c r="F139" s="54">
        <f>VLOOKUP(A139,Base!B:K,10,0)</f>
        <v>43116</v>
      </c>
      <c r="G139" s="28" t="s">
        <v>590</v>
      </c>
      <c r="H139" s="14">
        <f>NETWORKDAYS($F139,$G139,Feriados!$A$2:$A$1189)</f>
        <v>1639</v>
      </c>
      <c r="I139" s="14">
        <f t="shared" si="127"/>
        <v>2350</v>
      </c>
      <c r="J139" t="s">
        <v>651</v>
      </c>
      <c r="K139" s="29">
        <v>7.7499999999999999E-2</v>
      </c>
      <c r="L139" s="30">
        <v>54278.33</v>
      </c>
      <c r="M139" s="31">
        <v>45474</v>
      </c>
      <c r="N139" s="18">
        <f>NETWORKDAYS($F139,$M139,Feriados!$A$2:$A$1189)</f>
        <v>1620</v>
      </c>
      <c r="O139" s="30">
        <v>51380.41</v>
      </c>
      <c r="P139" s="31">
        <v>45658</v>
      </c>
      <c r="Q139" s="18">
        <f>NETWORKDAYS($F139,$P139,Feriados!$A$2:$A$1189)</f>
        <v>1749</v>
      </c>
      <c r="R139" s="17">
        <f t="shared" si="118"/>
        <v>53841.455594100233</v>
      </c>
      <c r="S139" s="26">
        <v>3.61</v>
      </c>
      <c r="T139" s="27">
        <v>45474</v>
      </c>
      <c r="U139" s="23">
        <f t="shared" si="119"/>
        <v>2325</v>
      </c>
      <c r="V139" s="26">
        <v>3.68</v>
      </c>
      <c r="W139" s="27">
        <v>45658</v>
      </c>
      <c r="X139" s="35">
        <f t="shared" si="120"/>
        <v>2505</v>
      </c>
      <c r="Y139" s="33">
        <f t="shared" si="121"/>
        <v>1.2573875117490811</v>
      </c>
      <c r="Z139" s="33">
        <f t="shared" si="122"/>
        <v>1.2859111493258031</v>
      </c>
      <c r="AA139" s="24">
        <f t="shared" si="123"/>
        <v>0.1388888888888889</v>
      </c>
      <c r="AB139" s="24">
        <f t="shared" si="124"/>
        <v>3.6203604938820355E-2</v>
      </c>
      <c r="AC139" s="25">
        <f t="shared" si="125"/>
        <v>9.9870131558157604E-2</v>
      </c>
      <c r="AD139" s="25">
        <f t="shared" si="128"/>
        <v>3.6203604938820355E-2</v>
      </c>
      <c r="AE139" s="21">
        <f t="shared" si="129"/>
        <v>6.4573329370892552E-2</v>
      </c>
      <c r="AF139" s="21">
        <f t="shared" si="130"/>
        <v>4.2921095395236586E-2</v>
      </c>
      <c r="AG139" s="9">
        <f t="shared" si="131"/>
        <v>0.14279122695339419</v>
      </c>
      <c r="AK139" t="b">
        <f t="shared" si="132"/>
        <v>1</v>
      </c>
      <c r="AL139" t="b">
        <f t="shared" si="133"/>
        <v>1</v>
      </c>
      <c r="AM139" t="b">
        <f t="shared" si="134"/>
        <v>1</v>
      </c>
      <c r="AN139" t="b">
        <f t="shared" si="135"/>
        <v>1</v>
      </c>
    </row>
    <row r="140" spans="1:40" x14ac:dyDescent="0.35">
      <c r="A140">
        <f t="shared" si="136"/>
        <v>139</v>
      </c>
      <c r="B140" t="str">
        <f t="shared" si="117"/>
        <v>Suzano4281016/03/2047</v>
      </c>
      <c r="C140" t="s">
        <v>592</v>
      </c>
      <c r="D140" t="b">
        <f t="shared" si="126"/>
        <v>1</v>
      </c>
      <c r="E140" s="50">
        <v>42810</v>
      </c>
      <c r="F140" s="54">
        <f>VLOOKUP(A140,Base!B:K,10,0)</f>
        <v>42810</v>
      </c>
      <c r="G140" s="28" t="s">
        <v>597</v>
      </c>
      <c r="H140" s="14">
        <f>NETWORKDAYS($F140,$G140,Feriados!$A$2:$A$1189)</f>
        <v>7532</v>
      </c>
      <c r="I140" s="14">
        <f t="shared" si="127"/>
        <v>10800</v>
      </c>
      <c r="J140" t="s">
        <v>651</v>
      </c>
      <c r="K140" s="29">
        <v>7.0000000000000007E-2</v>
      </c>
      <c r="L140" s="30" t="s">
        <v>29</v>
      </c>
      <c r="M140" s="31" t="s">
        <v>29</v>
      </c>
      <c r="N140" s="18" t="s">
        <v>29</v>
      </c>
      <c r="O140" s="30">
        <v>28128.68</v>
      </c>
      <c r="P140" s="31">
        <v>47484</v>
      </c>
      <c r="Q140" s="18">
        <f>NETWORKDAYS($F140,$P140,Feriados!$A$2:$A$1189)</f>
        <v>3210</v>
      </c>
      <c r="R140" s="17" t="s">
        <v>29</v>
      </c>
      <c r="S140" s="26" t="s">
        <v>29</v>
      </c>
      <c r="T140" s="27" t="s">
        <v>29</v>
      </c>
      <c r="U140" s="23" t="s">
        <v>29</v>
      </c>
      <c r="V140" s="26" t="s">
        <v>29</v>
      </c>
      <c r="W140" s="27" t="s">
        <v>29</v>
      </c>
      <c r="X140" s="35" t="s">
        <v>29</v>
      </c>
      <c r="Y140" s="33" t="s">
        <v>29</v>
      </c>
      <c r="Z140" s="33" t="s">
        <v>29</v>
      </c>
      <c r="AA140" s="24" t="s">
        <v>29</v>
      </c>
      <c r="AB140" s="26">
        <v>6.6900000000000001E-2</v>
      </c>
      <c r="AC140" s="37">
        <f>($AG$1/$O140)^(252/Q140)-1</f>
        <v>0.1046999895577676</v>
      </c>
      <c r="AD140" s="25">
        <f t="shared" si="128"/>
        <v>6.6900000000000001E-2</v>
      </c>
      <c r="AE140" s="21">
        <f t="shared" si="129"/>
        <v>6.4749195763186052E-2</v>
      </c>
      <c r="AF140" s="21">
        <f t="shared" si="130"/>
        <v>3.1304109926429291E-2</v>
      </c>
      <c r="AG140" s="9">
        <f t="shared" si="131"/>
        <v>0.13600409948419689</v>
      </c>
      <c r="AK140" t="b">
        <f t="shared" si="132"/>
        <v>0</v>
      </c>
      <c r="AL140" t="b">
        <f t="shared" si="133"/>
        <v>0</v>
      </c>
      <c r="AM140" t="b">
        <f t="shared" si="134"/>
        <v>0</v>
      </c>
      <c r="AN140" t="b">
        <f t="shared" si="135"/>
        <v>1</v>
      </c>
    </row>
    <row r="141" spans="1:40" x14ac:dyDescent="0.35">
      <c r="A141">
        <f t="shared" si="136"/>
        <v>140</v>
      </c>
      <c r="B141" t="str">
        <f t="shared" si="117"/>
        <v>Suzano4369115/01/2029</v>
      </c>
      <c r="C141" t="s">
        <v>592</v>
      </c>
      <c r="D141" t="b">
        <f t="shared" si="126"/>
        <v>1</v>
      </c>
      <c r="E141" s="50">
        <v>43691</v>
      </c>
      <c r="F141" s="54">
        <f>VLOOKUP(A141,Base!B:K,10,0)</f>
        <v>43691</v>
      </c>
      <c r="G141" s="28" t="s">
        <v>598</v>
      </c>
      <c r="H141" s="14">
        <f>NETWORKDAYS($F141,$G141,Feriados!$A$2:$A$1189)</f>
        <v>2367</v>
      </c>
      <c r="I141" s="14">
        <f t="shared" si="127"/>
        <v>3391</v>
      </c>
      <c r="J141" t="s">
        <v>651</v>
      </c>
      <c r="K141" s="29">
        <v>0.06</v>
      </c>
      <c r="L141" s="30">
        <v>50975.9</v>
      </c>
      <c r="M141" s="31">
        <v>47119</v>
      </c>
      <c r="N141" s="18">
        <f>NETWORKDAYS($F141,$M141,Feriados!$A$2:$A$1189)</f>
        <v>2357</v>
      </c>
      <c r="O141" s="30">
        <v>47231.98</v>
      </c>
      <c r="P141" s="31">
        <v>47484</v>
      </c>
      <c r="Q141" s="18">
        <f>NETWORKDAYS($F141,$P141,Feriados!$A$2:$A$1189)</f>
        <v>2607</v>
      </c>
      <c r="R141" s="17">
        <f t="shared" ref="R141:R147" si="137">$L141*(($O141/$L141)^(($H141-$N141)/($Q141-$N141)))</f>
        <v>50820.595790082414</v>
      </c>
      <c r="S141" s="26">
        <v>2.5299999999999998</v>
      </c>
      <c r="T141" s="27">
        <v>47119</v>
      </c>
      <c r="U141" s="23">
        <f t="shared" ref="U141:U147" si="138">DAYS360($F141,T141,0)</f>
        <v>3377</v>
      </c>
      <c r="V141" s="26">
        <v>2.71</v>
      </c>
      <c r="W141" s="27">
        <v>47484</v>
      </c>
      <c r="X141" s="35">
        <f t="shared" ref="X141:X147" si="139">DAYS360($F141,W141,0)</f>
        <v>3737</v>
      </c>
      <c r="Y141" s="33">
        <f t="shared" ref="Y141:Y147" si="140">(1+S141%)^(U141/360)</f>
        <v>1.2641191442384307</v>
      </c>
      <c r="Z141" s="33">
        <f t="shared" ref="Z141:Z147" si="141">(1+V141%)^(X141/360)</f>
        <v>1.3199168734990681</v>
      </c>
      <c r="AA141" s="24">
        <f t="shared" ref="AA141:AA147" si="142">(I141-U141)/(X141-U141)</f>
        <v>3.888888888888889E-2</v>
      </c>
      <c r="AB141" s="24">
        <f t="shared" ref="AB141:AB147" si="143">(Y141*((Z141/Y141)^AA141))^(360/I141)-1</f>
        <v>2.5377077697047445E-2</v>
      </c>
      <c r="AC141" s="25">
        <f t="shared" ref="AC141:AC147" si="144">IFERROR(($AG$1/$R141)^(252/$H141)-1,"NA")</f>
        <v>7.4722022038700375E-2</v>
      </c>
      <c r="AD141" s="25">
        <f t="shared" si="128"/>
        <v>2.5377077697047445E-2</v>
      </c>
      <c r="AE141" s="21">
        <f t="shared" si="129"/>
        <v>5.0475671369243358E-2</v>
      </c>
      <c r="AF141" s="21">
        <f t="shared" si="130"/>
        <v>3.6085786666145925E-2</v>
      </c>
      <c r="AG141" s="9">
        <f t="shared" si="131"/>
        <v>0.1108078087048463</v>
      </c>
      <c r="AK141" t="b">
        <f t="shared" si="132"/>
        <v>1</v>
      </c>
      <c r="AL141" t="b">
        <f t="shared" si="133"/>
        <v>1</v>
      </c>
      <c r="AM141" t="b">
        <f t="shared" si="134"/>
        <v>1</v>
      </c>
      <c r="AN141" t="b">
        <f t="shared" si="135"/>
        <v>1</v>
      </c>
    </row>
    <row r="142" spans="1:40" x14ac:dyDescent="0.35">
      <c r="A142">
        <f t="shared" si="136"/>
        <v>141</v>
      </c>
      <c r="B142" t="str">
        <f t="shared" si="117"/>
        <v>Suzano4437815/01/2032</v>
      </c>
      <c r="C142" t="s">
        <v>592</v>
      </c>
      <c r="D142" t="b">
        <f t="shared" si="126"/>
        <v>1</v>
      </c>
      <c r="E142" s="50">
        <v>44378</v>
      </c>
      <c r="F142" s="54">
        <f>VLOOKUP(A142,Base!B:K,10,0)</f>
        <v>44378</v>
      </c>
      <c r="G142" s="28" t="s">
        <v>599</v>
      </c>
      <c r="H142" s="14">
        <f>NETWORKDAYS($F142,$G142,Feriados!$A$2:$A$1189)</f>
        <v>2651</v>
      </c>
      <c r="I142" s="14">
        <f t="shared" si="127"/>
        <v>3794</v>
      </c>
      <c r="J142" t="s">
        <v>651</v>
      </c>
      <c r="K142" s="29">
        <v>3.125E-2</v>
      </c>
      <c r="L142" s="30">
        <v>43847.28</v>
      </c>
      <c r="M142" s="31">
        <v>47849</v>
      </c>
      <c r="N142" s="18">
        <f>NETWORKDAYS($F142,$M142,Feriados!$A$2:$A$1189)</f>
        <v>2388</v>
      </c>
      <c r="O142" s="30">
        <v>36179.230000000003</v>
      </c>
      <c r="P142" s="31">
        <v>48580</v>
      </c>
      <c r="Q142" s="18">
        <f>NETWORKDAYS($F142,$P142,Feriados!$A$2:$A$1189)</f>
        <v>2893</v>
      </c>
      <c r="R142" s="17">
        <f t="shared" si="137"/>
        <v>39670.273665710069</v>
      </c>
      <c r="S142" s="26">
        <v>1.93</v>
      </c>
      <c r="T142" s="27">
        <v>47849</v>
      </c>
      <c r="U142" s="23">
        <f t="shared" si="138"/>
        <v>3420</v>
      </c>
      <c r="V142" s="26">
        <v>2.1</v>
      </c>
      <c r="W142" s="27">
        <v>48580</v>
      </c>
      <c r="X142" s="35">
        <f t="shared" si="139"/>
        <v>4140</v>
      </c>
      <c r="Y142" s="33">
        <f t="shared" si="140"/>
        <v>1.1991381774611347</v>
      </c>
      <c r="Z142" s="33">
        <f t="shared" si="141"/>
        <v>1.2699775213622277</v>
      </c>
      <c r="AA142" s="24">
        <f t="shared" si="142"/>
        <v>0.51944444444444449</v>
      </c>
      <c r="AB142" s="24">
        <f t="shared" si="143"/>
        <v>2.0263239439065606E-2</v>
      </c>
      <c r="AC142" s="25">
        <f t="shared" si="144"/>
        <v>9.1865851470599225E-2</v>
      </c>
      <c r="AD142" s="25">
        <f t="shared" si="128"/>
        <v>2.0263239439065606E-2</v>
      </c>
      <c r="AE142" s="21">
        <f t="shared" si="129"/>
        <v>7.1960593873171996E-2</v>
      </c>
      <c r="AF142" s="21">
        <f t="shared" si="130"/>
        <v>1.2449799526929706E-2</v>
      </c>
      <c r="AG142" s="9">
        <f t="shared" si="131"/>
        <v>0.10431565099752893</v>
      </c>
      <c r="AK142" t="b">
        <f t="shared" si="132"/>
        <v>1</v>
      </c>
      <c r="AL142" t="b">
        <f t="shared" si="133"/>
        <v>1</v>
      </c>
      <c r="AM142" t="b">
        <f t="shared" si="134"/>
        <v>1</v>
      </c>
      <c r="AN142" t="b">
        <f t="shared" si="135"/>
        <v>1</v>
      </c>
    </row>
    <row r="143" spans="1:40" x14ac:dyDescent="0.35">
      <c r="A143">
        <f t="shared" si="136"/>
        <v>142</v>
      </c>
      <c r="B143" t="str">
        <f t="shared" si="117"/>
        <v>Suzano4408815/01/2031</v>
      </c>
      <c r="C143" t="s">
        <v>592</v>
      </c>
      <c r="D143" t="b">
        <f t="shared" si="126"/>
        <v>1</v>
      </c>
      <c r="E143" s="50">
        <v>44088</v>
      </c>
      <c r="F143" s="54">
        <f>VLOOKUP(A143,Base!B:K,10,0)</f>
        <v>44088</v>
      </c>
      <c r="G143" s="28" t="s">
        <v>600</v>
      </c>
      <c r="H143" s="14">
        <f>NETWORKDAYS($F143,$G143,Feriados!$A$2:$A$1189)</f>
        <v>2597</v>
      </c>
      <c r="I143" s="14">
        <f t="shared" si="127"/>
        <v>3721</v>
      </c>
      <c r="J143" t="s">
        <v>651</v>
      </c>
      <c r="K143" s="29">
        <v>3.7499999999999999E-2</v>
      </c>
      <c r="L143" s="30">
        <v>46341.19</v>
      </c>
      <c r="M143" s="31">
        <v>47849</v>
      </c>
      <c r="N143" s="18">
        <f>NETWORKDAYS($F143,$M143,Feriados!$A$2:$A$1189)</f>
        <v>2587</v>
      </c>
      <c r="O143" s="30">
        <v>39019.120000000003</v>
      </c>
      <c r="P143" s="31">
        <v>48580</v>
      </c>
      <c r="Q143" s="18">
        <f>NETWORKDAYS($F143,$P143,Feriados!$A$2:$A$1189)</f>
        <v>3092</v>
      </c>
      <c r="R143" s="17">
        <f t="shared" si="137"/>
        <v>46183.641968402866</v>
      </c>
      <c r="S143" s="26">
        <v>1.9</v>
      </c>
      <c r="T143" s="27">
        <v>47849</v>
      </c>
      <c r="U143" s="23">
        <f t="shared" si="138"/>
        <v>3707</v>
      </c>
      <c r="V143" s="26">
        <v>1.99</v>
      </c>
      <c r="W143" s="27">
        <v>48580</v>
      </c>
      <c r="X143" s="35">
        <f t="shared" si="139"/>
        <v>4427</v>
      </c>
      <c r="Y143" s="33">
        <f t="shared" si="140"/>
        <v>1.2138677945747078</v>
      </c>
      <c r="Z143" s="33">
        <f t="shared" si="141"/>
        <v>1.2741912190345426</v>
      </c>
      <c r="AA143" s="24">
        <f t="shared" si="142"/>
        <v>1.9444444444444445E-2</v>
      </c>
      <c r="AB143" s="24">
        <f t="shared" si="143"/>
        <v>1.9020811367459478E-2</v>
      </c>
      <c r="AC143" s="25">
        <f t="shared" si="144"/>
        <v>7.7845227882314738E-2</v>
      </c>
      <c r="AD143" s="25">
        <f t="shared" si="128"/>
        <v>1.9020811367459478E-2</v>
      </c>
      <c r="AE143" s="21">
        <f t="shared" si="129"/>
        <v>5.9235618190768946E-2</v>
      </c>
      <c r="AF143" s="21">
        <f t="shared" si="130"/>
        <v>1.958697356956085E-2</v>
      </c>
      <c r="AG143" s="9">
        <f t="shared" si="131"/>
        <v>9.7432201451875589E-2</v>
      </c>
      <c r="AK143" t="b">
        <f t="shared" si="132"/>
        <v>1</v>
      </c>
      <c r="AL143" t="b">
        <f t="shared" si="133"/>
        <v>1</v>
      </c>
      <c r="AM143" t="b">
        <f t="shared" si="134"/>
        <v>1</v>
      </c>
      <c r="AN143" t="b">
        <f t="shared" si="135"/>
        <v>1</v>
      </c>
    </row>
    <row r="144" spans="1:40" x14ac:dyDescent="0.35">
      <c r="A144">
        <f t="shared" si="136"/>
        <v>143</v>
      </c>
      <c r="B144" t="str">
        <f t="shared" si="117"/>
        <v>Suzano4445215/09/2028</v>
      </c>
      <c r="C144" t="s">
        <v>592</v>
      </c>
      <c r="D144" t="b">
        <f t="shared" si="126"/>
        <v>1</v>
      </c>
      <c r="E144" s="50">
        <v>44452</v>
      </c>
      <c r="F144" s="54">
        <f>VLOOKUP(A144,Base!B:K,10,0)</f>
        <v>44452</v>
      </c>
      <c r="G144" s="28" t="s">
        <v>601</v>
      </c>
      <c r="H144" s="14">
        <f>NETWORKDAYS($F144,$G144,Feriados!$A$2:$A$1189)</f>
        <v>1763</v>
      </c>
      <c r="I144" s="14">
        <f t="shared" si="127"/>
        <v>2522</v>
      </c>
      <c r="J144" t="s">
        <v>651</v>
      </c>
      <c r="K144" s="29">
        <v>2.5000000000000001E-2</v>
      </c>
      <c r="L144" s="30">
        <v>53033.120000000003</v>
      </c>
      <c r="M144" s="31">
        <v>46753</v>
      </c>
      <c r="N144" s="18">
        <f>NETWORKDAYS($F144,$M144,Feriados!$A$2:$A$1189)</f>
        <v>1585</v>
      </c>
      <c r="O144" s="30">
        <v>47657.63</v>
      </c>
      <c r="P144" s="31">
        <v>47119</v>
      </c>
      <c r="Q144" s="18">
        <f>NETWORKDAYS($F144,$P144,Feriados!$A$2:$A$1189)</f>
        <v>1834</v>
      </c>
      <c r="R144" s="17">
        <f t="shared" si="137"/>
        <v>49132.307960113903</v>
      </c>
      <c r="S144" s="26">
        <v>1.7</v>
      </c>
      <c r="T144" s="27">
        <v>46753</v>
      </c>
      <c r="U144" s="23">
        <f t="shared" si="138"/>
        <v>2268</v>
      </c>
      <c r="V144" s="26">
        <v>1.83</v>
      </c>
      <c r="W144" s="27">
        <v>47119</v>
      </c>
      <c r="X144" s="35">
        <f t="shared" si="139"/>
        <v>2628</v>
      </c>
      <c r="Y144" s="33">
        <f t="shared" si="140"/>
        <v>1.1120440824331066</v>
      </c>
      <c r="Z144" s="33">
        <f t="shared" si="141"/>
        <v>1.1415447196399229</v>
      </c>
      <c r="AA144" s="24">
        <f t="shared" si="142"/>
        <v>0.7055555555555556</v>
      </c>
      <c r="AB144" s="24">
        <f t="shared" si="143"/>
        <v>1.7955611531384363E-2</v>
      </c>
      <c r="AC144" s="25">
        <f t="shared" si="144"/>
        <v>0.10691790815492608</v>
      </c>
      <c r="AD144" s="25">
        <f t="shared" si="128"/>
        <v>1.7955611531384363E-2</v>
      </c>
      <c r="AE144" s="21">
        <f t="shared" si="129"/>
        <v>8.8329101227140328E-2</v>
      </c>
      <c r="AF144" s="21">
        <f t="shared" si="130"/>
        <v>7.7868652583821252E-3</v>
      </c>
      <c r="AG144" s="9">
        <f t="shared" si="131"/>
        <v>0.1147047734133082</v>
      </c>
      <c r="AK144" t="b">
        <f t="shared" si="132"/>
        <v>1</v>
      </c>
      <c r="AL144" t="b">
        <f t="shared" si="133"/>
        <v>1</v>
      </c>
      <c r="AM144" t="b">
        <f t="shared" si="134"/>
        <v>1</v>
      </c>
      <c r="AN144" t="b">
        <f t="shared" si="135"/>
        <v>1</v>
      </c>
    </row>
    <row r="145" spans="1:40" x14ac:dyDescent="0.35">
      <c r="A145">
        <f t="shared" si="136"/>
        <v>144</v>
      </c>
      <c r="B145" t="str">
        <f t="shared" si="117"/>
        <v>Suzano4256514/07/2026</v>
      </c>
      <c r="C145" t="s">
        <v>592</v>
      </c>
      <c r="D145" t="b">
        <f t="shared" si="126"/>
        <v>1</v>
      </c>
      <c r="E145" s="50">
        <v>42565</v>
      </c>
      <c r="F145" s="54">
        <f>VLOOKUP(A145,Base!B:K,10,0)</f>
        <v>42565</v>
      </c>
      <c r="G145" s="28" t="s">
        <v>602</v>
      </c>
      <c r="H145" s="14">
        <f>NETWORKDAYS($F145,$G145,Feriados!$A$2:$A$1189)</f>
        <v>2511</v>
      </c>
      <c r="I145" s="14">
        <f t="shared" si="127"/>
        <v>3600</v>
      </c>
      <c r="J145" t="s">
        <v>651</v>
      </c>
      <c r="K145" s="29">
        <v>5.7500000000000002E-2</v>
      </c>
      <c r="L145" s="30">
        <v>33874.36</v>
      </c>
      <c r="M145" s="31">
        <v>46023</v>
      </c>
      <c r="N145" s="18">
        <f>NETWORKDAYS($F145,$M145,Feriados!$A$2:$A$1189)</f>
        <v>2379</v>
      </c>
      <c r="O145" s="30">
        <v>30007.95</v>
      </c>
      <c r="P145" s="31">
        <v>46388</v>
      </c>
      <c r="Q145" s="18">
        <f>NETWORKDAYS($F145,$P145,Feriados!$A$2:$A$1189)</f>
        <v>2629</v>
      </c>
      <c r="R145" s="17">
        <f t="shared" si="137"/>
        <v>31774.588837760188</v>
      </c>
      <c r="S145" s="26">
        <v>6.19</v>
      </c>
      <c r="T145" s="27">
        <v>46023</v>
      </c>
      <c r="U145" s="23">
        <f t="shared" si="138"/>
        <v>3407</v>
      </c>
      <c r="V145" s="26">
        <v>6.49</v>
      </c>
      <c r="W145" s="27">
        <v>46388</v>
      </c>
      <c r="X145" s="35">
        <f t="shared" si="139"/>
        <v>3767</v>
      </c>
      <c r="Y145" s="33">
        <f t="shared" si="140"/>
        <v>1.7654380764185871</v>
      </c>
      <c r="Z145" s="33">
        <f t="shared" si="141"/>
        <v>1.9308855469767872</v>
      </c>
      <c r="AA145" s="24">
        <f t="shared" si="142"/>
        <v>0.53611111111111109</v>
      </c>
      <c r="AB145" s="24">
        <f t="shared" si="143"/>
        <v>6.3581899878175641E-2</v>
      </c>
      <c r="AC145" s="25">
        <f t="shared" si="144"/>
        <v>0.12194217009292618</v>
      </c>
      <c r="AD145" s="25">
        <f t="shared" si="128"/>
        <v>6.3581899878175641E-2</v>
      </c>
      <c r="AE145" s="21">
        <f t="shared" si="129"/>
        <v>6.7874803895501934E-2</v>
      </c>
      <c r="AF145" s="21">
        <f t="shared" si="130"/>
        <v>6.5381578677621288E-3</v>
      </c>
      <c r="AG145" s="9">
        <f t="shared" si="131"/>
        <v>0.12848032796068831</v>
      </c>
      <c r="AK145" t="b">
        <f t="shared" si="132"/>
        <v>1</v>
      </c>
      <c r="AL145" t="b">
        <f t="shared" si="133"/>
        <v>1</v>
      </c>
      <c r="AM145" t="b">
        <f t="shared" si="134"/>
        <v>1</v>
      </c>
      <c r="AN145" t="b">
        <f t="shared" si="135"/>
        <v>1</v>
      </c>
    </row>
    <row r="146" spans="1:40" x14ac:dyDescent="0.35">
      <c r="A146">
        <f t="shared" si="136"/>
        <v>145</v>
      </c>
      <c r="B146" t="str">
        <f t="shared" si="117"/>
        <v>Suzano4336315/01/2029</v>
      </c>
      <c r="C146" t="s">
        <v>592</v>
      </c>
      <c r="D146" t="b">
        <f t="shared" si="126"/>
        <v>1</v>
      </c>
      <c r="E146" s="50">
        <v>43363</v>
      </c>
      <c r="F146" s="54">
        <f>VLOOKUP(A146,Base!B:K,10,0)</f>
        <v>43363</v>
      </c>
      <c r="G146" s="28" t="s">
        <v>598</v>
      </c>
      <c r="H146" s="14">
        <f>NETWORKDAYS($F146,$G146,Feriados!$A$2:$A$1189)</f>
        <v>2591</v>
      </c>
      <c r="I146" s="14">
        <f t="shared" si="127"/>
        <v>3715</v>
      </c>
      <c r="J146" t="s">
        <v>651</v>
      </c>
      <c r="K146" s="29">
        <v>0.06</v>
      </c>
      <c r="L146" s="30">
        <v>29604.01</v>
      </c>
      <c r="M146" s="31">
        <v>47119</v>
      </c>
      <c r="N146" s="18">
        <f>NETWORKDAYS($F146,$M146,Feriados!$A$2:$A$1189)</f>
        <v>2581</v>
      </c>
      <c r="O146" s="30">
        <v>26211.91</v>
      </c>
      <c r="P146" s="31">
        <v>47484</v>
      </c>
      <c r="Q146" s="18">
        <f>NETWORKDAYS($F146,$P146,Feriados!$A$2:$A$1189)</f>
        <v>2831</v>
      </c>
      <c r="R146" s="17">
        <f t="shared" si="137"/>
        <v>29460.252667511919</v>
      </c>
      <c r="S146" s="26">
        <v>5.71</v>
      </c>
      <c r="T146" s="27">
        <v>47119</v>
      </c>
      <c r="U146" s="23">
        <f t="shared" si="138"/>
        <v>3701</v>
      </c>
      <c r="V146" s="26">
        <v>5.76</v>
      </c>
      <c r="W146" s="27">
        <v>47484</v>
      </c>
      <c r="X146" s="35">
        <f t="shared" si="139"/>
        <v>4061</v>
      </c>
      <c r="Y146" s="33">
        <f t="shared" si="140"/>
        <v>1.7698099258310274</v>
      </c>
      <c r="Z146" s="33">
        <f t="shared" si="141"/>
        <v>1.8808725976188623</v>
      </c>
      <c r="AA146" s="24">
        <f t="shared" si="142"/>
        <v>3.888888888888889E-2</v>
      </c>
      <c r="AB146" s="24">
        <f t="shared" si="143"/>
        <v>5.7121250609321716E-2</v>
      </c>
      <c r="AC146" s="25">
        <f t="shared" si="144"/>
        <v>0.1262166041665338</v>
      </c>
      <c r="AD146" s="25">
        <f t="shared" si="128"/>
        <v>5.7121250609321716E-2</v>
      </c>
      <c r="AE146" s="21">
        <f t="shared" si="129"/>
        <v>7.6585316590172647E-2</v>
      </c>
      <c r="AF146" s="21">
        <f t="shared" si="130"/>
        <v>1.3286814777627276E-2</v>
      </c>
      <c r="AG146" s="9">
        <f t="shared" si="131"/>
        <v>0.13950341894416107</v>
      </c>
      <c r="AK146" t="b">
        <f t="shared" si="132"/>
        <v>1</v>
      </c>
      <c r="AL146" t="b">
        <f t="shared" si="133"/>
        <v>1</v>
      </c>
      <c r="AM146" t="b">
        <f t="shared" si="134"/>
        <v>1</v>
      </c>
      <c r="AN146" t="b">
        <f t="shared" si="135"/>
        <v>1</v>
      </c>
    </row>
    <row r="147" spans="1:40" x14ac:dyDescent="0.35">
      <c r="A147">
        <f t="shared" si="136"/>
        <v>146</v>
      </c>
      <c r="B147" t="str">
        <f t="shared" si="117"/>
        <v>Suzano4361415/01/2030</v>
      </c>
      <c r="C147" t="s">
        <v>592</v>
      </c>
      <c r="D147" t="b">
        <f t="shared" si="126"/>
        <v>1</v>
      </c>
      <c r="E147" s="50">
        <v>43614</v>
      </c>
      <c r="F147" s="54">
        <f>VLOOKUP(A147,Base!B:K,10,0)</f>
        <v>43614</v>
      </c>
      <c r="G147" s="28" t="s">
        <v>482</v>
      </c>
      <c r="H147" s="14">
        <f>NETWORKDAYS($F147,$G147,Feriados!$A$2:$A$1189)</f>
        <v>2671</v>
      </c>
      <c r="I147" s="14">
        <f t="shared" si="127"/>
        <v>3826</v>
      </c>
      <c r="J147" t="s">
        <v>651</v>
      </c>
      <c r="K147" s="29">
        <v>0.05</v>
      </c>
      <c r="L147" s="30">
        <v>41001.040000000001</v>
      </c>
      <c r="M147" s="31">
        <v>47484</v>
      </c>
      <c r="N147" s="18">
        <f>NETWORKDAYS($F147,$M147,Feriados!$A$2:$A$1189)</f>
        <v>2661</v>
      </c>
      <c r="O147" s="30">
        <v>37540.82</v>
      </c>
      <c r="P147" s="31">
        <v>47849</v>
      </c>
      <c r="Q147" s="18">
        <f>NETWORKDAYS($F147,$P147,Feriados!$A$2:$A$1189)</f>
        <v>2914</v>
      </c>
      <c r="R147" s="17">
        <f t="shared" si="137"/>
        <v>40858.40320637152</v>
      </c>
      <c r="S147" s="26">
        <v>3.77</v>
      </c>
      <c r="T147" s="27">
        <v>47484</v>
      </c>
      <c r="U147" s="23">
        <f t="shared" si="138"/>
        <v>3812</v>
      </c>
      <c r="V147" s="26">
        <v>3.83</v>
      </c>
      <c r="W147" s="27">
        <v>47849</v>
      </c>
      <c r="X147" s="35">
        <f t="shared" si="139"/>
        <v>4172</v>
      </c>
      <c r="Y147" s="33">
        <f t="shared" si="140"/>
        <v>1.4797306912224715</v>
      </c>
      <c r="Z147" s="33">
        <f t="shared" si="141"/>
        <v>1.545837154766085</v>
      </c>
      <c r="AA147" s="24">
        <f t="shared" si="142"/>
        <v>3.888888888888889E-2</v>
      </c>
      <c r="AB147" s="24">
        <f t="shared" si="143"/>
        <v>3.7725436415903646E-2</v>
      </c>
      <c r="AC147" s="25">
        <f t="shared" si="144"/>
        <v>8.8113786527374893E-2</v>
      </c>
      <c r="AD147" s="25">
        <f t="shared" si="128"/>
        <v>3.7725436415903646E-2</v>
      </c>
      <c r="AE147" s="21">
        <f t="shared" si="129"/>
        <v>5.404750933100444E-2</v>
      </c>
      <c r="AF147" s="21">
        <f t="shared" si="130"/>
        <v>1.7126975598439342E-2</v>
      </c>
      <c r="AG147" s="9">
        <f t="shared" si="131"/>
        <v>0.10524076212581424</v>
      </c>
      <c r="AK147" t="b">
        <f t="shared" si="132"/>
        <v>1</v>
      </c>
      <c r="AL147" t="b">
        <f t="shared" si="133"/>
        <v>1</v>
      </c>
      <c r="AM147" t="b">
        <f t="shared" si="134"/>
        <v>1</v>
      </c>
      <c r="AN147" t="b">
        <f t="shared" si="135"/>
        <v>1</v>
      </c>
    </row>
    <row r="148" spans="1:40" x14ac:dyDescent="0.35">
      <c r="A148">
        <f t="shared" si="136"/>
        <v>147</v>
      </c>
      <c r="B148" t="str">
        <f t="shared" si="117"/>
        <v>Suzano4361416/03/2047</v>
      </c>
      <c r="C148" t="s">
        <v>592</v>
      </c>
      <c r="D148" t="b">
        <f t="shared" si="126"/>
        <v>1</v>
      </c>
      <c r="E148" s="50">
        <v>43614</v>
      </c>
      <c r="F148" s="54">
        <f>VLOOKUP(A148,Base!B:K,10,0)</f>
        <v>43614</v>
      </c>
      <c r="G148" s="28" t="s">
        <v>597</v>
      </c>
      <c r="H148" s="14">
        <f>NETWORKDAYS($F148,$G148,Feriados!$A$2:$A$1189)</f>
        <v>6983</v>
      </c>
      <c r="I148" s="14">
        <f t="shared" si="127"/>
        <v>10007</v>
      </c>
      <c r="J148" t="s">
        <v>651</v>
      </c>
      <c r="K148" s="29">
        <v>7.0000000000000007E-2</v>
      </c>
      <c r="L148" s="30" t="s">
        <v>29</v>
      </c>
      <c r="M148" s="31" t="s">
        <v>29</v>
      </c>
      <c r="N148" s="18" t="s">
        <v>29</v>
      </c>
      <c r="O148" s="30">
        <v>37540.82</v>
      </c>
      <c r="P148" s="31">
        <v>47849</v>
      </c>
      <c r="Q148" s="18">
        <f>NETWORKDAYS($F148,$P148,Feriados!$A$2:$A$1189)</f>
        <v>2914</v>
      </c>
      <c r="R148" s="17" t="s">
        <v>29</v>
      </c>
      <c r="S148" s="26" t="s">
        <v>29</v>
      </c>
      <c r="T148" s="27" t="s">
        <v>29</v>
      </c>
      <c r="U148" s="23" t="s">
        <v>29</v>
      </c>
      <c r="V148" s="26" t="s">
        <v>29</v>
      </c>
      <c r="W148" s="27" t="s">
        <v>29</v>
      </c>
      <c r="X148" s="35" t="s">
        <v>29</v>
      </c>
      <c r="Y148" s="33" t="s">
        <v>29</v>
      </c>
      <c r="Z148" s="33" t="s">
        <v>29</v>
      </c>
      <c r="AA148" s="24" t="s">
        <v>29</v>
      </c>
      <c r="AB148" s="26">
        <v>3.8300000000000001E-2</v>
      </c>
      <c r="AC148" s="37">
        <f>($AG$1/$O148)^(252/Q148)-1</f>
        <v>8.8420011717610603E-2</v>
      </c>
      <c r="AD148" s="25">
        <f t="shared" si="128"/>
        <v>3.8300000000000001E-2</v>
      </c>
      <c r="AE148" s="21">
        <f t="shared" si="129"/>
        <v>6.0314198687829945E-2</v>
      </c>
      <c r="AF148" s="21">
        <f t="shared" si="130"/>
        <v>4.2369839199843939E-2</v>
      </c>
      <c r="AG148" s="9">
        <f t="shared" si="131"/>
        <v>0.13078985091745454</v>
      </c>
      <c r="AK148" t="b">
        <f t="shared" si="132"/>
        <v>0</v>
      </c>
      <c r="AL148" t="b">
        <f t="shared" si="133"/>
        <v>0</v>
      </c>
      <c r="AM148" t="b">
        <f t="shared" si="134"/>
        <v>0</v>
      </c>
      <c r="AN148" t="b">
        <f t="shared" si="135"/>
        <v>1</v>
      </c>
    </row>
    <row r="149" spans="1:40" x14ac:dyDescent="0.35">
      <c r="A149">
        <f t="shared" si="136"/>
        <v>148</v>
      </c>
      <c r="B149" t="str">
        <f t="shared" si="117"/>
        <v>Suzano4299014/07/2026</v>
      </c>
      <c r="C149" t="s">
        <v>592</v>
      </c>
      <c r="D149" t="b">
        <f t="shared" si="126"/>
        <v>1</v>
      </c>
      <c r="E149" s="50">
        <v>42990</v>
      </c>
      <c r="F149" s="54">
        <f>VLOOKUP(A149,Base!B:K,10,0)</f>
        <v>42990</v>
      </c>
      <c r="G149" s="28" t="s">
        <v>602</v>
      </c>
      <c r="H149" s="14">
        <f>NETWORKDAYS($F149,$G149,Feriados!$A$2:$A$1189)</f>
        <v>2219</v>
      </c>
      <c r="I149" s="14">
        <f t="shared" si="127"/>
        <v>3182</v>
      </c>
      <c r="J149" t="s">
        <v>651</v>
      </c>
      <c r="K149" s="29">
        <v>5.7500000000000002E-2</v>
      </c>
      <c r="L149" s="30">
        <v>45176.04</v>
      </c>
      <c r="M149" s="31">
        <v>46023</v>
      </c>
      <c r="N149" s="18">
        <f>NETWORKDAYS($F149,$M149,Feriados!$A$2:$A$1189)</f>
        <v>2087</v>
      </c>
      <c r="O149" s="30">
        <v>40695.550000000003</v>
      </c>
      <c r="P149" s="31">
        <v>46388</v>
      </c>
      <c r="Q149" s="18">
        <f>NETWORKDAYS($F149,$P149,Feriados!$A$2:$A$1189)</f>
        <v>2337</v>
      </c>
      <c r="R149" s="17">
        <f>$L149*(($O149/$L149)^(($H149-$N149)/($Q149-$N149)))</f>
        <v>42752.097427320397</v>
      </c>
      <c r="S149" s="26">
        <v>4.5599999999999996</v>
      </c>
      <c r="T149" s="27">
        <v>46023</v>
      </c>
      <c r="U149" s="23">
        <f>DAYS360($F149,T149,0)</f>
        <v>2989</v>
      </c>
      <c r="V149" s="26">
        <v>4.8600000000000003</v>
      </c>
      <c r="W149" s="27">
        <v>46388</v>
      </c>
      <c r="X149" s="35">
        <f>DAYS360($F149,W149,0)</f>
        <v>3349</v>
      </c>
      <c r="Y149" s="33">
        <f>(1+S149%)^(U149/360)</f>
        <v>1.4480650184300743</v>
      </c>
      <c r="Z149" s="33">
        <f>(1+V149%)^(X149/360)</f>
        <v>1.5549946028860024</v>
      </c>
      <c r="AA149" s="24">
        <f>(I149-U149)/(X149-U149)</f>
        <v>0.53611111111111109</v>
      </c>
      <c r="AB149" s="24">
        <f>(Y149*((Z149/Y149)^AA149))^(360/I149)-1</f>
        <v>4.7291686311813796E-2</v>
      </c>
      <c r="AC149" s="25">
        <f>IFERROR(($AG$1/$R149)^(252/$H149)-1,"NA")</f>
        <v>0.10131155950938231</v>
      </c>
      <c r="AD149" s="25">
        <f t="shared" si="128"/>
        <v>4.7291686311813796E-2</v>
      </c>
      <c r="AE149" s="21">
        <f t="shared" si="129"/>
        <v>5.8485539836955702E-2</v>
      </c>
      <c r="AF149" s="21">
        <f t="shared" si="130"/>
        <v>1.6377653273914383E-2</v>
      </c>
      <c r="AG149" s="9">
        <f t="shared" si="131"/>
        <v>0.11768921278329669</v>
      </c>
      <c r="AK149" t="b">
        <f t="shared" si="132"/>
        <v>1</v>
      </c>
      <c r="AL149" t="b">
        <f t="shared" si="133"/>
        <v>1</v>
      </c>
      <c r="AM149" t="b">
        <f t="shared" si="134"/>
        <v>1</v>
      </c>
      <c r="AN149" t="b">
        <f t="shared" si="135"/>
        <v>1</v>
      </c>
    </row>
    <row r="150" spans="1:40" x14ac:dyDescent="0.35">
      <c r="A150">
        <f t="shared" si="136"/>
        <v>149</v>
      </c>
      <c r="B150" t="str">
        <f t="shared" si="117"/>
        <v>Suzano4341316/03/2047</v>
      </c>
      <c r="C150" t="s">
        <v>592</v>
      </c>
      <c r="D150" t="b">
        <f t="shared" si="126"/>
        <v>1</v>
      </c>
      <c r="E150" s="50">
        <v>43413</v>
      </c>
      <c r="F150" s="54">
        <f>VLOOKUP(A150,Base!B:K,10,0)</f>
        <v>43413</v>
      </c>
      <c r="G150" s="28" t="s">
        <v>597</v>
      </c>
      <c r="H150" s="14">
        <f>NETWORKDAYS($F150,$G150,Feriados!$A$2:$A$1189)</f>
        <v>7119</v>
      </c>
      <c r="I150" s="14">
        <f t="shared" si="127"/>
        <v>10207</v>
      </c>
      <c r="J150" t="s">
        <v>651</v>
      </c>
      <c r="K150" s="29">
        <v>7.0000000000000007E-2</v>
      </c>
      <c r="L150" s="30" t="s">
        <v>29</v>
      </c>
      <c r="M150" s="31" t="s">
        <v>29</v>
      </c>
      <c r="N150" s="18" t="s">
        <v>29</v>
      </c>
      <c r="O150" s="30">
        <v>32365.59</v>
      </c>
      <c r="P150" s="31">
        <v>47484</v>
      </c>
      <c r="Q150" s="18">
        <f>NETWORKDAYS($F150,$P150,Feriados!$A$2:$A$1189)</f>
        <v>2797</v>
      </c>
      <c r="R150" s="17" t="s">
        <v>29</v>
      </c>
      <c r="S150" s="26" t="s">
        <v>29</v>
      </c>
      <c r="T150" s="27" t="s">
        <v>29</v>
      </c>
      <c r="U150" s="23" t="s">
        <v>29</v>
      </c>
      <c r="V150" s="26" t="s">
        <v>29</v>
      </c>
      <c r="W150" s="27" t="s">
        <v>29</v>
      </c>
      <c r="X150" s="35" t="s">
        <v>29</v>
      </c>
      <c r="Y150" s="33" t="s">
        <v>29</v>
      </c>
      <c r="Z150" s="33" t="s">
        <v>29</v>
      </c>
      <c r="AA150" s="24" t="s">
        <v>29</v>
      </c>
      <c r="AB150" s="26">
        <v>5.3100000000000001E-2</v>
      </c>
      <c r="AC150" s="37">
        <f>($AG$1/$O150)^(252/Q150)-1</f>
        <v>0.1069800015164446</v>
      </c>
      <c r="AD150" s="25">
        <f t="shared" si="128"/>
        <v>5.3100000000000001E-2</v>
      </c>
      <c r="AE150" s="21">
        <f t="shared" si="129"/>
        <v>7.1567219733307486E-2</v>
      </c>
      <c r="AF150" s="21">
        <f t="shared" si="130"/>
        <v>3.5770224885680824E-2</v>
      </c>
      <c r="AG150" s="9">
        <f t="shared" si="131"/>
        <v>0.14275022640212542</v>
      </c>
      <c r="AK150" t="b">
        <f t="shared" si="132"/>
        <v>0</v>
      </c>
      <c r="AL150" t="b">
        <f t="shared" si="133"/>
        <v>0</v>
      </c>
      <c r="AM150" t="b">
        <f t="shared" si="134"/>
        <v>0</v>
      </c>
      <c r="AN150" t="b">
        <f t="shared" si="135"/>
        <v>1</v>
      </c>
    </row>
    <row r="151" spans="1:40" x14ac:dyDescent="0.35">
      <c r="A151">
        <f t="shared" si="136"/>
        <v>150</v>
      </c>
      <c r="B151" t="str">
        <f t="shared" si="117"/>
        <v>Suzano4299016/03/2047</v>
      </c>
      <c r="C151" t="s">
        <v>592</v>
      </c>
      <c r="D151" t="b">
        <f t="shared" si="126"/>
        <v>1</v>
      </c>
      <c r="E151" s="50">
        <v>42990</v>
      </c>
      <c r="F151" s="54">
        <f>VLOOKUP(A151,Base!B:K,10,0)</f>
        <v>42990</v>
      </c>
      <c r="G151" s="28" t="s">
        <v>597</v>
      </c>
      <c r="H151" s="14">
        <f>NETWORKDAYS($F151,$G151,Feriados!$A$2:$A$1189)</f>
        <v>7409</v>
      </c>
      <c r="I151" s="14">
        <f t="shared" si="127"/>
        <v>10624</v>
      </c>
      <c r="J151" t="s">
        <v>651</v>
      </c>
      <c r="K151" s="29">
        <v>7.0000000000000007E-2</v>
      </c>
      <c r="L151" s="30" t="s">
        <v>29</v>
      </c>
      <c r="M151" s="31" t="s">
        <v>29</v>
      </c>
      <c r="N151" s="18" t="s">
        <v>29</v>
      </c>
      <c r="O151" s="30">
        <v>30192.37</v>
      </c>
      <c r="P151" s="31">
        <v>47484</v>
      </c>
      <c r="Q151" s="18">
        <f>NETWORKDAYS($F151,$P151,Feriados!$A$2:$A$1189)</f>
        <v>3087</v>
      </c>
      <c r="R151" s="17" t="s">
        <v>29</v>
      </c>
      <c r="S151" s="26" t="s">
        <v>29</v>
      </c>
      <c r="T151" s="27" t="s">
        <v>29</v>
      </c>
      <c r="U151" s="23" t="s">
        <v>29</v>
      </c>
      <c r="V151" s="26" t="s">
        <v>29</v>
      </c>
      <c r="W151" s="27" t="s">
        <v>29</v>
      </c>
      <c r="X151" s="35" t="s">
        <v>29</v>
      </c>
      <c r="Y151" s="33" t="s">
        <v>29</v>
      </c>
      <c r="Z151" s="33" t="s">
        <v>29</v>
      </c>
      <c r="AA151" s="24" t="s">
        <v>29</v>
      </c>
      <c r="AB151" s="26">
        <v>5.74E-2</v>
      </c>
      <c r="AC151" s="37">
        <f>($AG$1/$O151)^(252/Q151)-1</f>
        <v>0.10269999097131333</v>
      </c>
      <c r="AD151" s="25">
        <f t="shared" si="128"/>
        <v>5.74E-2</v>
      </c>
      <c r="AE151" s="21">
        <f t="shared" si="129"/>
        <v>6.6151036627675852E-2</v>
      </c>
      <c r="AF151" s="21">
        <f t="shared" si="130"/>
        <v>3.4534885764128553E-2</v>
      </c>
      <c r="AG151" s="9">
        <f t="shared" si="131"/>
        <v>0.13723487673544188</v>
      </c>
      <c r="AK151" t="b">
        <f t="shared" si="132"/>
        <v>0</v>
      </c>
      <c r="AL151" t="b">
        <f t="shared" si="133"/>
        <v>0</v>
      </c>
      <c r="AM151" t="b">
        <f t="shared" si="134"/>
        <v>0</v>
      </c>
      <c r="AN151" t="b">
        <f t="shared" si="135"/>
        <v>1</v>
      </c>
    </row>
    <row r="152" spans="1:40" x14ac:dyDescent="0.35">
      <c r="A152">
        <f t="shared" si="136"/>
        <v>151</v>
      </c>
      <c r="B152" t="str">
        <f t="shared" si="117"/>
        <v>Suzano4336315/01/2029</v>
      </c>
      <c r="C152" t="s">
        <v>592</v>
      </c>
      <c r="D152" t="b">
        <f t="shared" si="126"/>
        <v>1</v>
      </c>
      <c r="E152" s="50">
        <v>43363</v>
      </c>
      <c r="F152" s="54">
        <f>VLOOKUP(A152,Base!B:K,10,0)</f>
        <v>43363</v>
      </c>
      <c r="G152" s="28" t="s">
        <v>598</v>
      </c>
      <c r="H152" s="14">
        <f>NETWORKDAYS($F152,$G152,Feriados!$A$2:$A$1189)</f>
        <v>2591</v>
      </c>
      <c r="I152" s="14">
        <f t="shared" si="127"/>
        <v>3715</v>
      </c>
      <c r="J152" t="s">
        <v>651</v>
      </c>
      <c r="K152" s="29">
        <v>0.06</v>
      </c>
      <c r="L152" s="30">
        <v>29604.01</v>
      </c>
      <c r="M152" s="31">
        <v>47119</v>
      </c>
      <c r="N152" s="18">
        <f>NETWORKDAYS($F152,$M152,Feriados!$A$2:$A$1189)</f>
        <v>2581</v>
      </c>
      <c r="O152" s="30">
        <v>26211.91</v>
      </c>
      <c r="P152" s="31">
        <v>47484</v>
      </c>
      <c r="Q152" s="18">
        <f>NETWORKDAYS($F152,$P152,Feriados!$A$2:$A$1189)</f>
        <v>2831</v>
      </c>
      <c r="R152" s="17">
        <f t="shared" ref="R152:R161" si="145">$L152*(($O152/$L152)^(($H152-$N152)/($Q152-$N152)))</f>
        <v>29460.252667511919</v>
      </c>
      <c r="S152" s="26">
        <v>5.71</v>
      </c>
      <c r="T152" s="27">
        <v>47119</v>
      </c>
      <c r="U152" s="23">
        <f t="shared" ref="U152:U161" si="146">DAYS360($F152,T152,0)</f>
        <v>3701</v>
      </c>
      <c r="V152" s="26">
        <v>5.76</v>
      </c>
      <c r="W152" s="27">
        <v>47484</v>
      </c>
      <c r="X152" s="35">
        <f t="shared" ref="X152:X161" si="147">DAYS360($F152,W152,0)</f>
        <v>4061</v>
      </c>
      <c r="Y152" s="33">
        <f t="shared" ref="Y152:Y161" si="148">(1+S152%)^(U152/360)</f>
        <v>1.7698099258310274</v>
      </c>
      <c r="Z152" s="33">
        <f t="shared" ref="Z152:Z161" si="149">(1+V152%)^(X152/360)</f>
        <v>1.8808725976188623</v>
      </c>
      <c r="AA152" s="24">
        <f t="shared" ref="AA152:AA161" si="150">(I152-U152)/(X152-U152)</f>
        <v>3.888888888888889E-2</v>
      </c>
      <c r="AB152" s="24">
        <f t="shared" ref="AB152:AB161" si="151">(Y152*((Z152/Y152)^AA152))^(360/I152)-1</f>
        <v>5.7121250609321716E-2</v>
      </c>
      <c r="AC152" s="25">
        <f t="shared" ref="AC152:AC161" si="152">IFERROR(($AG$1/$R152)^(252/$H152)-1,"NA")</f>
        <v>0.1262166041665338</v>
      </c>
      <c r="AD152" s="25">
        <f t="shared" si="128"/>
        <v>5.7121250609321716E-2</v>
      </c>
      <c r="AE152" s="21">
        <f t="shared" si="129"/>
        <v>7.6585316590172647E-2</v>
      </c>
      <c r="AF152" s="21">
        <f t="shared" si="130"/>
        <v>1.3286814777627276E-2</v>
      </c>
      <c r="AG152" s="9">
        <f t="shared" si="131"/>
        <v>0.13950341894416107</v>
      </c>
      <c r="AK152" t="b">
        <f t="shared" si="132"/>
        <v>1</v>
      </c>
      <c r="AL152" t="b">
        <f t="shared" si="133"/>
        <v>1</v>
      </c>
      <c r="AM152" t="b">
        <f t="shared" si="134"/>
        <v>1</v>
      </c>
      <c r="AN152" t="b">
        <f t="shared" si="135"/>
        <v>1</v>
      </c>
    </row>
    <row r="153" spans="1:40" x14ac:dyDescent="0.35">
      <c r="A153">
        <f t="shared" si="136"/>
        <v>152</v>
      </c>
      <c r="B153" t="str">
        <f t="shared" si="117"/>
        <v>Suzano4350115/01/2029</v>
      </c>
      <c r="C153" t="s">
        <v>592</v>
      </c>
      <c r="D153" t="b">
        <f t="shared" si="126"/>
        <v>1</v>
      </c>
      <c r="E153" s="50">
        <v>43501</v>
      </c>
      <c r="F153" s="54">
        <f>VLOOKUP(A153,Base!B:K,10,0)</f>
        <v>43501</v>
      </c>
      <c r="G153" s="28" t="s">
        <v>598</v>
      </c>
      <c r="H153" s="14">
        <f>NETWORKDAYS($F153,$G153,Feriados!$A$2:$A$1189)</f>
        <v>2498</v>
      </c>
      <c r="I153" s="14">
        <f t="shared" si="127"/>
        <v>3580</v>
      </c>
      <c r="J153" t="s">
        <v>651</v>
      </c>
      <c r="K153" s="29">
        <v>0.06</v>
      </c>
      <c r="L153" s="30">
        <v>42436.04</v>
      </c>
      <c r="M153" s="31">
        <v>47119</v>
      </c>
      <c r="N153" s="18">
        <f>NETWORKDAYS($F153,$M153,Feriados!$A$2:$A$1189)</f>
        <v>2488</v>
      </c>
      <c r="O153" s="30">
        <v>38786.9</v>
      </c>
      <c r="P153" s="31">
        <v>47484</v>
      </c>
      <c r="Q153" s="18">
        <f>NETWORKDAYS($F153,$P153,Feriados!$A$2:$A$1189)</f>
        <v>2738</v>
      </c>
      <c r="R153" s="17">
        <f t="shared" si="145"/>
        <v>42283.687931215514</v>
      </c>
      <c r="S153" s="26">
        <v>4.3600000000000003</v>
      </c>
      <c r="T153" s="27">
        <v>47119</v>
      </c>
      <c r="U153" s="23">
        <f t="shared" si="146"/>
        <v>3566</v>
      </c>
      <c r="V153" s="26">
        <v>4.41</v>
      </c>
      <c r="W153" s="27">
        <v>47484</v>
      </c>
      <c r="X153" s="35">
        <f t="shared" si="147"/>
        <v>3926</v>
      </c>
      <c r="Y153" s="33">
        <f t="shared" si="148"/>
        <v>1.5261255536509433</v>
      </c>
      <c r="Z153" s="33">
        <f t="shared" si="149"/>
        <v>1.6010060260296137</v>
      </c>
      <c r="AA153" s="24">
        <f t="shared" si="150"/>
        <v>3.888888888888889E-2</v>
      </c>
      <c r="AB153" s="24">
        <f t="shared" si="151"/>
        <v>4.3621318823150457E-2</v>
      </c>
      <c r="AC153" s="25">
        <f t="shared" si="152"/>
        <v>9.071665653549843E-2</v>
      </c>
      <c r="AD153" s="25">
        <f t="shared" si="128"/>
        <v>4.3621318823150457E-2</v>
      </c>
      <c r="AE153" s="21">
        <f t="shared" si="129"/>
        <v>5.1781626317368934E-2</v>
      </c>
      <c r="AF153" s="21">
        <f t="shared" si="130"/>
        <v>2.2161454320951623E-2</v>
      </c>
      <c r="AG153" s="9">
        <f t="shared" si="131"/>
        <v>0.11287811085645005</v>
      </c>
      <c r="AK153" t="b">
        <f t="shared" si="132"/>
        <v>1</v>
      </c>
      <c r="AL153" t="b">
        <f t="shared" si="133"/>
        <v>1</v>
      </c>
      <c r="AM153" t="b">
        <f t="shared" si="134"/>
        <v>1</v>
      </c>
      <c r="AN153" t="b">
        <f t="shared" si="135"/>
        <v>1</v>
      </c>
    </row>
    <row r="154" spans="1:40" x14ac:dyDescent="0.35">
      <c r="A154">
        <f t="shared" si="136"/>
        <v>153</v>
      </c>
      <c r="B154" t="str">
        <f t="shared" si="117"/>
        <v>Ultrapar4362206/06/2029</v>
      </c>
      <c r="C154" t="s">
        <v>604</v>
      </c>
      <c r="D154" t="b">
        <f t="shared" si="126"/>
        <v>1</v>
      </c>
      <c r="E154" s="50">
        <v>43622</v>
      </c>
      <c r="F154" s="54">
        <f>VLOOKUP(A154,Base!B:K,10,0)</f>
        <v>43622</v>
      </c>
      <c r="G154" s="28" t="s">
        <v>609</v>
      </c>
      <c r="H154" s="14">
        <f>NETWORKDAYS($F154,$G154,Feriados!$A$2:$A$1189)</f>
        <v>2512</v>
      </c>
      <c r="I154" s="14">
        <f t="shared" si="127"/>
        <v>3600</v>
      </c>
      <c r="J154" t="s">
        <v>651</v>
      </c>
      <c r="K154" s="29">
        <v>5.2499999999999998E-2</v>
      </c>
      <c r="L154" s="30">
        <v>46149.14</v>
      </c>
      <c r="M154" s="31">
        <v>47119</v>
      </c>
      <c r="N154" s="18">
        <f>NETWORKDAYS($F154,$M154,Feriados!$A$2:$A$1189)</f>
        <v>2405</v>
      </c>
      <c r="O154" s="30">
        <v>42378.36</v>
      </c>
      <c r="P154" s="31">
        <v>47484</v>
      </c>
      <c r="Q154" s="18">
        <f>NETWORKDAYS($F154,$P154,Feriados!$A$2:$A$1189)</f>
        <v>2655</v>
      </c>
      <c r="R154" s="17">
        <f t="shared" si="145"/>
        <v>44495.826763282224</v>
      </c>
      <c r="S154" s="26">
        <v>3.52</v>
      </c>
      <c r="T154" s="27">
        <v>47119</v>
      </c>
      <c r="U154" s="23">
        <f t="shared" si="146"/>
        <v>3445</v>
      </c>
      <c r="V154" s="26">
        <v>3.61</v>
      </c>
      <c r="W154" s="27">
        <v>47484</v>
      </c>
      <c r="X154" s="35">
        <f t="shared" si="147"/>
        <v>3805</v>
      </c>
      <c r="Y154" s="33">
        <f t="shared" si="148"/>
        <v>1.3924315440570505</v>
      </c>
      <c r="Z154" s="33">
        <f t="shared" si="149"/>
        <v>1.4547458755021587</v>
      </c>
      <c r="AA154" s="24">
        <f t="shared" si="150"/>
        <v>0.43055555555555558</v>
      </c>
      <c r="AB154" s="24">
        <f t="shared" si="151"/>
        <v>3.5609468998107019E-2</v>
      </c>
      <c r="AC154" s="25">
        <f t="shared" si="152"/>
        <v>8.4626153073892096E-2</v>
      </c>
      <c r="AD154" s="25">
        <f t="shared" si="128"/>
        <v>3.5609468998107019E-2</v>
      </c>
      <c r="AE154" s="21">
        <f t="shared" si="129"/>
        <v>5.1983528899285147E-2</v>
      </c>
      <c r="AF154" s="21">
        <f t="shared" si="130"/>
        <v>2.0824236100700722E-2</v>
      </c>
      <c r="AG154" s="9">
        <f t="shared" si="131"/>
        <v>0.10545038917459282</v>
      </c>
      <c r="AK154" t="b">
        <f t="shared" si="132"/>
        <v>1</v>
      </c>
      <c r="AL154" t="b">
        <f t="shared" si="133"/>
        <v>1</v>
      </c>
      <c r="AM154" t="b">
        <f t="shared" si="134"/>
        <v>1</v>
      </c>
      <c r="AN154" t="b">
        <f t="shared" si="135"/>
        <v>1</v>
      </c>
    </row>
    <row r="155" spans="1:40" x14ac:dyDescent="0.35">
      <c r="A155">
        <f t="shared" si="136"/>
        <v>154</v>
      </c>
      <c r="B155" t="str">
        <f t="shared" si="117"/>
        <v>Ultrapar4264906/10/2026</v>
      </c>
      <c r="C155" t="s">
        <v>604</v>
      </c>
      <c r="D155" t="b">
        <f t="shared" si="126"/>
        <v>1</v>
      </c>
      <c r="E155" s="50">
        <v>42649</v>
      </c>
      <c r="F155" s="54">
        <f>VLOOKUP(A155,Base!B:K,10,0)</f>
        <v>42649</v>
      </c>
      <c r="G155" s="28" t="s">
        <v>610</v>
      </c>
      <c r="H155" s="14">
        <f>NETWORKDAYS($F155,$G155,Feriados!$A$2:$A$1189)</f>
        <v>2511</v>
      </c>
      <c r="I155" s="14">
        <f t="shared" si="127"/>
        <v>3600</v>
      </c>
      <c r="J155" t="s">
        <v>651</v>
      </c>
      <c r="K155" s="29">
        <v>5.2499999999999998E-2</v>
      </c>
      <c r="L155" s="30">
        <v>36452.239999999998</v>
      </c>
      <c r="M155" s="31">
        <v>46023</v>
      </c>
      <c r="N155" s="18">
        <f>NETWORKDAYS($F155,$M155,Feriados!$A$2:$A$1189)</f>
        <v>2320</v>
      </c>
      <c r="O155" s="30">
        <v>32472.84</v>
      </c>
      <c r="P155" s="31">
        <v>46388</v>
      </c>
      <c r="Q155" s="18">
        <f>NETWORKDAYS($F155,$P155,Feriados!$A$2:$A$1189)</f>
        <v>2570</v>
      </c>
      <c r="R155" s="17">
        <f t="shared" si="145"/>
        <v>33370.937261011561</v>
      </c>
      <c r="S155" s="26">
        <v>4.97</v>
      </c>
      <c r="T155" s="27">
        <v>46023</v>
      </c>
      <c r="U155" s="23">
        <f t="shared" si="146"/>
        <v>3325</v>
      </c>
      <c r="V155" s="26">
        <v>5.42</v>
      </c>
      <c r="W155" s="27">
        <v>46388</v>
      </c>
      <c r="X155" s="35">
        <f t="shared" si="147"/>
        <v>3685</v>
      </c>
      <c r="Y155" s="33">
        <f t="shared" si="148"/>
        <v>1.5651663487171263</v>
      </c>
      <c r="Z155" s="33">
        <f t="shared" si="149"/>
        <v>1.7164948177655044</v>
      </c>
      <c r="AA155" s="24">
        <f t="shared" si="150"/>
        <v>0.76388888888888884</v>
      </c>
      <c r="AB155" s="24">
        <f t="shared" si="151"/>
        <v>5.3217021297877976E-2</v>
      </c>
      <c r="AC155" s="25">
        <f t="shared" si="152"/>
        <v>0.1164364194804699</v>
      </c>
      <c r="AD155" s="25">
        <f t="shared" si="128"/>
        <v>5.3217021297877976E-2</v>
      </c>
      <c r="AE155" s="21">
        <f t="shared" si="129"/>
        <v>6.9638128515744802E-2</v>
      </c>
      <c r="AF155" s="21">
        <f t="shared" si="130"/>
        <v>8.3817677559336889E-3</v>
      </c>
      <c r="AG155" s="9">
        <f t="shared" si="131"/>
        <v>0.12481818723640359</v>
      </c>
      <c r="AK155" t="b">
        <f t="shared" si="132"/>
        <v>1</v>
      </c>
      <c r="AL155" t="b">
        <f t="shared" si="133"/>
        <v>1</v>
      </c>
      <c r="AM155" t="b">
        <f t="shared" si="134"/>
        <v>1</v>
      </c>
      <c r="AN155" t="b">
        <f t="shared" si="135"/>
        <v>1</v>
      </c>
    </row>
    <row r="156" spans="1:40" x14ac:dyDescent="0.35">
      <c r="A156">
        <f t="shared" si="136"/>
        <v>155</v>
      </c>
      <c r="B156" t="str">
        <f t="shared" si="117"/>
        <v>Ultrapar4403206/06/2029</v>
      </c>
      <c r="C156" t="s">
        <v>604</v>
      </c>
      <c r="D156" t="b">
        <f t="shared" si="126"/>
        <v>1</v>
      </c>
      <c r="E156" s="50">
        <v>44032</v>
      </c>
      <c r="F156" s="54">
        <f>VLOOKUP(A156,Base!B:K,10,0)</f>
        <v>44032</v>
      </c>
      <c r="G156" s="28" t="s">
        <v>609</v>
      </c>
      <c r="H156" s="14">
        <f>NETWORKDAYS($F156,$G156,Feriados!$A$2:$A$1189)</f>
        <v>2230</v>
      </c>
      <c r="I156" s="14">
        <f t="shared" si="127"/>
        <v>3196</v>
      </c>
      <c r="J156" t="s">
        <v>651</v>
      </c>
      <c r="K156" s="29">
        <v>5.2499999999999998E-2</v>
      </c>
      <c r="L156" s="30">
        <v>57541.84</v>
      </c>
      <c r="M156" s="31">
        <v>47119</v>
      </c>
      <c r="N156" s="18">
        <f>NETWORKDAYS($F156,$M156,Feriados!$A$2:$A$1189)</f>
        <v>2123</v>
      </c>
      <c r="O156" s="30">
        <v>53180.160000000003</v>
      </c>
      <c r="P156" s="31">
        <v>47484</v>
      </c>
      <c r="Q156" s="18">
        <f>NETWORKDAYS($F156,$P156,Feriados!$A$2:$A$1189)</f>
        <v>2373</v>
      </c>
      <c r="R156" s="17">
        <f t="shared" si="145"/>
        <v>55632.880627774408</v>
      </c>
      <c r="S156" s="26">
        <v>1.72</v>
      </c>
      <c r="T156" s="27">
        <v>47119</v>
      </c>
      <c r="U156" s="23">
        <f t="shared" si="146"/>
        <v>3041</v>
      </c>
      <c r="V156" s="26">
        <v>1.8</v>
      </c>
      <c r="W156" s="27">
        <v>47484</v>
      </c>
      <c r="X156" s="35">
        <f t="shared" si="147"/>
        <v>3401</v>
      </c>
      <c r="Y156" s="33">
        <f t="shared" si="148"/>
        <v>1.1549497707971426</v>
      </c>
      <c r="Z156" s="33">
        <f t="shared" si="149"/>
        <v>1.1835728123582434</v>
      </c>
      <c r="AA156" s="24">
        <f t="shared" si="150"/>
        <v>0.43055555555555558</v>
      </c>
      <c r="AB156" s="24">
        <f t="shared" si="151"/>
        <v>1.756645996832229E-2</v>
      </c>
      <c r="AC156" s="25">
        <f t="shared" si="152"/>
        <v>6.8510211800152598E-2</v>
      </c>
      <c r="AD156" s="25">
        <f t="shared" si="128"/>
        <v>1.756645996832229E-2</v>
      </c>
      <c r="AE156" s="21">
        <f t="shared" si="129"/>
        <v>5.1153726760482909E-2</v>
      </c>
      <c r="AF156" s="21">
        <f t="shared" si="130"/>
        <v>3.5403578924644963E-2</v>
      </c>
      <c r="AG156" s="9">
        <f t="shared" si="131"/>
        <v>0.10391379072479756</v>
      </c>
      <c r="AK156" t="b">
        <f t="shared" si="132"/>
        <v>1</v>
      </c>
      <c r="AL156" t="b">
        <f t="shared" si="133"/>
        <v>1</v>
      </c>
      <c r="AM156" t="b">
        <f t="shared" si="134"/>
        <v>1</v>
      </c>
      <c r="AN156" t="b">
        <f t="shared" si="135"/>
        <v>1</v>
      </c>
    </row>
    <row r="157" spans="1:40" x14ac:dyDescent="0.35">
      <c r="A157">
        <f t="shared" si="136"/>
        <v>156</v>
      </c>
      <c r="B157" t="str">
        <f t="shared" si="117"/>
        <v>Usiminas4366418/07/2026</v>
      </c>
      <c r="C157" t="s">
        <v>612</v>
      </c>
      <c r="D157" t="b">
        <f t="shared" si="126"/>
        <v>1</v>
      </c>
      <c r="E157" s="50">
        <v>43664</v>
      </c>
      <c r="F157" s="54">
        <f>VLOOKUP(A157,Base!B:K,10,0)</f>
        <v>43664</v>
      </c>
      <c r="G157" s="28" t="s">
        <v>617</v>
      </c>
      <c r="H157" s="14">
        <f>NETWORKDAYS($F157,$G157,Feriados!$A$2:$A$1189)</f>
        <v>1761</v>
      </c>
      <c r="I157" s="14">
        <f t="shared" si="127"/>
        <v>2520</v>
      </c>
      <c r="J157" t="s">
        <v>651</v>
      </c>
      <c r="K157" s="29">
        <v>5.8749999999999997E-2</v>
      </c>
      <c r="L157" s="30">
        <v>61882.16</v>
      </c>
      <c r="M157" s="31">
        <v>46204</v>
      </c>
      <c r="N157" s="18">
        <f>NETWORKDAYS($F157,$M157,Feriados!$A$2:$A$1189)</f>
        <v>1749</v>
      </c>
      <c r="O157" s="30">
        <v>59348.2</v>
      </c>
      <c r="P157" s="31">
        <v>46388</v>
      </c>
      <c r="Q157" s="18">
        <f>NETWORKDAYS($F157,$P157,Feriados!$A$2:$A$1189)</f>
        <v>1876</v>
      </c>
      <c r="R157" s="17">
        <f t="shared" si="145"/>
        <v>61638.172805924398</v>
      </c>
      <c r="S157" s="26">
        <v>2.78</v>
      </c>
      <c r="T157" s="27">
        <v>46204</v>
      </c>
      <c r="U157" s="23">
        <f t="shared" si="146"/>
        <v>2503</v>
      </c>
      <c r="V157" s="26">
        <v>2.83</v>
      </c>
      <c r="W157" s="27">
        <v>46388</v>
      </c>
      <c r="X157" s="35">
        <f t="shared" si="147"/>
        <v>2683</v>
      </c>
      <c r="Y157" s="33">
        <f t="shared" si="148"/>
        <v>1.2100350275452898</v>
      </c>
      <c r="Z157" s="33">
        <f t="shared" si="149"/>
        <v>1.2311938655698613</v>
      </c>
      <c r="AA157" s="24">
        <f t="shared" si="150"/>
        <v>9.4444444444444442E-2</v>
      </c>
      <c r="AB157" s="24">
        <f t="shared" si="151"/>
        <v>2.785026567936133E-2</v>
      </c>
      <c r="AC157" s="25">
        <f t="shared" si="152"/>
        <v>7.1698461640256284E-2</v>
      </c>
      <c r="AD157" s="25">
        <f t="shared" si="128"/>
        <v>2.785026567936133E-2</v>
      </c>
      <c r="AE157" s="21">
        <f t="shared" si="129"/>
        <v>4.4729177982288482E-2</v>
      </c>
      <c r="AF157" s="21">
        <f t="shared" si="130"/>
        <v>3.2106564280990568E-2</v>
      </c>
      <c r="AG157" s="9">
        <f t="shared" si="131"/>
        <v>0.10380502592124685</v>
      </c>
      <c r="AK157" t="b">
        <f t="shared" si="132"/>
        <v>1</v>
      </c>
      <c r="AL157" t="b">
        <f t="shared" si="133"/>
        <v>1</v>
      </c>
      <c r="AM157" t="b">
        <f t="shared" si="134"/>
        <v>1</v>
      </c>
      <c r="AN157" t="b">
        <f t="shared" si="135"/>
        <v>1</v>
      </c>
    </row>
    <row r="158" spans="1:40" x14ac:dyDescent="0.35">
      <c r="A158">
        <f t="shared" si="136"/>
        <v>157</v>
      </c>
      <c r="B158" t="str">
        <f t="shared" si="117"/>
        <v>Vale4402008/07/2030</v>
      </c>
      <c r="C158" t="s">
        <v>619</v>
      </c>
      <c r="D158" t="b">
        <f t="shared" si="126"/>
        <v>1</v>
      </c>
      <c r="E158" s="50">
        <v>44020</v>
      </c>
      <c r="F158" s="54">
        <f>VLOOKUP(A158,Base!B:K,10,0)</f>
        <v>44020</v>
      </c>
      <c r="G158" s="28" t="s">
        <v>627</v>
      </c>
      <c r="H158" s="14">
        <f>NETWORKDAYS($F158,$G158,Feriados!$A$2:$A$1189)</f>
        <v>2510</v>
      </c>
      <c r="I158" s="14">
        <f t="shared" si="127"/>
        <v>3600</v>
      </c>
      <c r="J158" t="s">
        <v>651</v>
      </c>
      <c r="K158" s="29">
        <v>3.7499999999999999E-2</v>
      </c>
      <c r="L158" s="30">
        <v>52207.43</v>
      </c>
      <c r="M158" s="31">
        <v>47484</v>
      </c>
      <c r="N158" s="18">
        <f>NETWORKDAYS($F158,$M158,Feriados!$A$2:$A$1189)</f>
        <v>2381</v>
      </c>
      <c r="O158" s="30">
        <v>48114.48</v>
      </c>
      <c r="P158" s="31">
        <v>47849</v>
      </c>
      <c r="Q158" s="18">
        <f>NETWORKDAYS($F158,$P158,Feriados!$A$2:$A$1189)</f>
        <v>2634</v>
      </c>
      <c r="R158" s="17">
        <f t="shared" si="145"/>
        <v>50078.774765072914</v>
      </c>
      <c r="S158" s="26">
        <v>2.06</v>
      </c>
      <c r="T158" s="27">
        <v>47484</v>
      </c>
      <c r="U158" s="23">
        <f t="shared" si="146"/>
        <v>3413</v>
      </c>
      <c r="V158" s="26">
        <v>2.09</v>
      </c>
      <c r="W158" s="27">
        <v>47849</v>
      </c>
      <c r="X158" s="35">
        <f t="shared" si="147"/>
        <v>3773</v>
      </c>
      <c r="Y158" s="33">
        <f t="shared" si="148"/>
        <v>1.2132649918810359</v>
      </c>
      <c r="Z158" s="33">
        <f t="shared" si="149"/>
        <v>1.2420782778140547</v>
      </c>
      <c r="AA158" s="24">
        <f t="shared" si="150"/>
        <v>0.51944444444444449</v>
      </c>
      <c r="AB158" s="24">
        <f t="shared" si="151"/>
        <v>2.0763311056319012E-2</v>
      </c>
      <c r="AC158" s="25">
        <f t="shared" si="152"/>
        <v>7.1900048076168455E-2</v>
      </c>
      <c r="AD158" s="25">
        <f t="shared" si="128"/>
        <v>2.0763311056319012E-2</v>
      </c>
      <c r="AE158" s="21">
        <f t="shared" si="129"/>
        <v>5.1787840652121275E-2</v>
      </c>
      <c r="AF158" s="21">
        <f t="shared" si="130"/>
        <v>1.803324538990414E-2</v>
      </c>
      <c r="AG158" s="9">
        <f t="shared" si="131"/>
        <v>8.9933293466072595E-2</v>
      </c>
      <c r="AK158" t="b">
        <f t="shared" si="132"/>
        <v>1</v>
      </c>
      <c r="AL158" t="b">
        <f t="shared" si="133"/>
        <v>1</v>
      </c>
      <c r="AM158" t="b">
        <f t="shared" si="134"/>
        <v>1</v>
      </c>
      <c r="AN158" t="b">
        <f t="shared" si="135"/>
        <v>1</v>
      </c>
    </row>
    <row r="159" spans="1:40" x14ac:dyDescent="0.35">
      <c r="A159">
        <f t="shared" si="136"/>
        <v>158</v>
      </c>
      <c r="B159" t="str">
        <f t="shared" si="117"/>
        <v>Vale4259210/08/2026</v>
      </c>
      <c r="C159" t="s">
        <v>619</v>
      </c>
      <c r="D159" t="b">
        <f t="shared" si="126"/>
        <v>1</v>
      </c>
      <c r="E159" s="50">
        <v>42592</v>
      </c>
      <c r="F159" s="54">
        <f>VLOOKUP(A159,Base!B:K,10,0)</f>
        <v>42592</v>
      </c>
      <c r="G159" s="28" t="s">
        <v>628</v>
      </c>
      <c r="H159" s="14">
        <f>NETWORKDAYS($F159,$G159,Feriados!$A$2:$A$1189)</f>
        <v>2511</v>
      </c>
      <c r="I159" s="14">
        <f t="shared" si="127"/>
        <v>3600</v>
      </c>
      <c r="J159" t="s">
        <v>651</v>
      </c>
      <c r="K159" s="29">
        <v>6.25E-2</v>
      </c>
      <c r="L159" s="30">
        <v>34628.400000000001</v>
      </c>
      <c r="M159" s="31">
        <v>46023</v>
      </c>
      <c r="N159" s="18">
        <f>NETWORKDAYS($F159,$M159,Feriados!$A$2:$A$1189)</f>
        <v>2360</v>
      </c>
      <c r="O159" s="30">
        <v>30777.57</v>
      </c>
      <c r="P159" s="31">
        <v>46388</v>
      </c>
      <c r="Q159" s="18">
        <f>NETWORKDAYS($F159,$P159,Feriados!$A$2:$A$1189)</f>
        <v>2610</v>
      </c>
      <c r="R159" s="17">
        <f t="shared" si="145"/>
        <v>32248.444731584412</v>
      </c>
      <c r="S159" s="26">
        <v>5.93</v>
      </c>
      <c r="T159" s="27">
        <v>46023</v>
      </c>
      <c r="U159" s="23">
        <f t="shared" si="146"/>
        <v>3381</v>
      </c>
      <c r="V159" s="26">
        <v>6.38</v>
      </c>
      <c r="W159" s="27">
        <v>46388</v>
      </c>
      <c r="X159" s="35">
        <f t="shared" si="147"/>
        <v>3741</v>
      </c>
      <c r="Y159" s="33">
        <f t="shared" si="148"/>
        <v>1.7177891212227168</v>
      </c>
      <c r="Z159" s="33">
        <f t="shared" si="149"/>
        <v>1.9016037318930343</v>
      </c>
      <c r="AA159" s="24">
        <f t="shared" si="150"/>
        <v>0.60833333333333328</v>
      </c>
      <c r="AB159" s="24">
        <f t="shared" si="151"/>
        <v>6.2142500439807069E-2</v>
      </c>
      <c r="AC159" s="25">
        <f t="shared" si="152"/>
        <v>0.12027665063548154</v>
      </c>
      <c r="AD159" s="25">
        <f t="shared" si="128"/>
        <v>6.2142500439807069E-2</v>
      </c>
      <c r="AE159" s="21">
        <f t="shared" si="129"/>
        <v>6.7235752746443112E-2</v>
      </c>
      <c r="AF159" s="21">
        <f t="shared" si="130"/>
        <v>1.2194609831299053E-2</v>
      </c>
      <c r="AG159" s="9">
        <f t="shared" si="131"/>
        <v>0.13247126046678059</v>
      </c>
      <c r="AK159" t="b">
        <f t="shared" si="132"/>
        <v>1</v>
      </c>
      <c r="AL159" t="b">
        <f t="shared" si="133"/>
        <v>1</v>
      </c>
      <c r="AM159" t="b">
        <f t="shared" si="134"/>
        <v>1</v>
      </c>
      <c r="AN159" t="b">
        <f t="shared" si="135"/>
        <v>1</v>
      </c>
    </row>
    <row r="160" spans="1:40" x14ac:dyDescent="0.35">
      <c r="A160">
        <f t="shared" si="136"/>
        <v>159</v>
      </c>
      <c r="B160" t="str">
        <f t="shared" si="117"/>
        <v>Vale4253110/06/2021</v>
      </c>
      <c r="C160" t="s">
        <v>619</v>
      </c>
      <c r="D160" t="b">
        <f t="shared" si="126"/>
        <v>1</v>
      </c>
      <c r="E160" s="50">
        <v>42531</v>
      </c>
      <c r="F160" s="54">
        <f>VLOOKUP(A160,Base!B:K,10,0)</f>
        <v>42531</v>
      </c>
      <c r="G160" s="28" t="s">
        <v>196</v>
      </c>
      <c r="H160" s="14">
        <f>NETWORKDAYS($F160,$G160,Feriados!$A$2:$A$1189)</f>
        <v>1254</v>
      </c>
      <c r="I160" s="14">
        <f t="shared" si="127"/>
        <v>1800</v>
      </c>
      <c r="J160" t="s">
        <v>651</v>
      </c>
      <c r="K160" s="29">
        <v>5.8749999999999997E-2</v>
      </c>
      <c r="L160" s="30">
        <v>56669.84</v>
      </c>
      <c r="M160" s="31">
        <v>44287</v>
      </c>
      <c r="N160" s="18">
        <f>NETWORKDAYS($F160,$M160,Feriados!$A$2:$A$1189)</f>
        <v>1207</v>
      </c>
      <c r="O160" s="30">
        <v>54994.92</v>
      </c>
      <c r="P160" s="31">
        <v>44378</v>
      </c>
      <c r="Q160" s="18">
        <f>NETWORKDAYS($F160,$P160,Feriados!$A$2:$A$1189)</f>
        <v>1269</v>
      </c>
      <c r="R160" s="17">
        <f t="shared" si="145"/>
        <v>55395.546558745882</v>
      </c>
      <c r="S160" s="26">
        <v>4.21</v>
      </c>
      <c r="T160" s="27">
        <v>44287</v>
      </c>
      <c r="U160" s="23">
        <f t="shared" si="146"/>
        <v>1731</v>
      </c>
      <c r="V160" s="26">
        <v>4.3</v>
      </c>
      <c r="W160" s="27">
        <v>44378</v>
      </c>
      <c r="X160" s="35">
        <f t="shared" si="147"/>
        <v>1821</v>
      </c>
      <c r="Y160" s="33">
        <f t="shared" si="148"/>
        <v>1.2193105886024682</v>
      </c>
      <c r="Z160" s="33">
        <f t="shared" si="149"/>
        <v>1.2373373618148065</v>
      </c>
      <c r="AA160" s="24">
        <f t="shared" si="150"/>
        <v>0.76666666666666672</v>
      </c>
      <c r="AB160" s="24">
        <f t="shared" si="151"/>
        <v>4.2797982385792022E-2</v>
      </c>
      <c r="AC160" s="25">
        <f t="shared" si="152"/>
        <v>0.12603141828275999</v>
      </c>
      <c r="AD160" s="25">
        <f t="shared" si="128"/>
        <v>4.2797982385792022E-2</v>
      </c>
      <c r="AE160" s="21">
        <f t="shared" si="129"/>
        <v>8.2996128515696821E-2</v>
      </c>
      <c r="AF160" s="21">
        <f t="shared" si="130"/>
        <v>1.8286108583573712E-2</v>
      </c>
      <c r="AG160" s="9">
        <f t="shared" si="131"/>
        <v>0.1443175268663337</v>
      </c>
      <c r="AK160" t="b">
        <f t="shared" si="132"/>
        <v>1</v>
      </c>
      <c r="AL160" t="b">
        <f t="shared" si="133"/>
        <v>1</v>
      </c>
      <c r="AM160" t="b">
        <f t="shared" si="134"/>
        <v>1</v>
      </c>
      <c r="AN160" t="b">
        <f t="shared" si="135"/>
        <v>1</v>
      </c>
    </row>
    <row r="161" spans="1:40" x14ac:dyDescent="0.35">
      <c r="A161">
        <f t="shared" si="136"/>
        <v>160</v>
      </c>
      <c r="B161" t="str">
        <f t="shared" si="117"/>
        <v>Vale4091911/01/2022</v>
      </c>
      <c r="C161" t="s">
        <v>619</v>
      </c>
      <c r="D161" t="b">
        <f t="shared" si="126"/>
        <v>1</v>
      </c>
      <c r="E161" s="50">
        <v>40919</v>
      </c>
      <c r="F161" s="54">
        <f>VLOOKUP(A161,Base!B:K,10,0)</f>
        <v>40919</v>
      </c>
      <c r="G161" s="28" t="s">
        <v>629</v>
      </c>
      <c r="H161" s="14">
        <f>NETWORKDAYS($F161,$G161,Feriados!$A$2:$A$1189)</f>
        <v>2512</v>
      </c>
      <c r="I161" s="14">
        <f t="shared" si="127"/>
        <v>3600</v>
      </c>
      <c r="J161" t="s">
        <v>651</v>
      </c>
      <c r="K161" s="29">
        <v>4.3749999999999997E-2</v>
      </c>
      <c r="L161" s="30">
        <v>34223.660000000003</v>
      </c>
      <c r="M161" s="31">
        <v>44562</v>
      </c>
      <c r="N161" s="18">
        <f>NETWORKDAYS($F161,$M161,Feriados!$A$2:$A$1189)</f>
        <v>2505</v>
      </c>
      <c r="O161" s="30">
        <v>30737.33</v>
      </c>
      <c r="P161" s="31">
        <v>44927</v>
      </c>
      <c r="Q161" s="18">
        <f>NETWORKDAYS($F161,$P161,Feriados!$A$2:$A$1189)</f>
        <v>2756</v>
      </c>
      <c r="R161" s="17">
        <f t="shared" si="145"/>
        <v>34121.268565526705</v>
      </c>
      <c r="S161" s="26">
        <v>5.0999999999999996</v>
      </c>
      <c r="T161" s="27">
        <v>44562</v>
      </c>
      <c r="U161" s="23">
        <f t="shared" si="146"/>
        <v>3590</v>
      </c>
      <c r="V161" s="26">
        <v>5.4</v>
      </c>
      <c r="W161" s="27">
        <v>44927</v>
      </c>
      <c r="X161" s="35">
        <f t="shared" si="147"/>
        <v>3950</v>
      </c>
      <c r="Y161" s="33">
        <f t="shared" si="148"/>
        <v>1.6422039213824213</v>
      </c>
      <c r="Z161" s="33">
        <f t="shared" si="149"/>
        <v>1.7807881548336697</v>
      </c>
      <c r="AA161" s="24">
        <f t="shared" si="150"/>
        <v>2.7777777777777776E-2</v>
      </c>
      <c r="AB161" s="24">
        <f t="shared" si="151"/>
        <v>5.1091308901717758E-2</v>
      </c>
      <c r="AC161" s="25">
        <f t="shared" si="152"/>
        <v>0.11389999293960207</v>
      </c>
      <c r="AD161" s="25">
        <f t="shared" si="128"/>
        <v>5.1091308901717758E-2</v>
      </c>
      <c r="AE161" s="21">
        <f t="shared" si="129"/>
        <v>6.872303508476274E-2</v>
      </c>
      <c r="AF161" s="21">
        <f t="shared" si="130"/>
        <v>1.4181478949022441E-3</v>
      </c>
      <c r="AG161" s="9">
        <f t="shared" si="131"/>
        <v>0.11531814083450431</v>
      </c>
      <c r="AK161" t="b">
        <f t="shared" si="132"/>
        <v>1</v>
      </c>
      <c r="AL161" t="b">
        <f t="shared" si="133"/>
        <v>1</v>
      </c>
      <c r="AM161" t="b">
        <f t="shared" si="134"/>
        <v>1</v>
      </c>
      <c r="AN161" t="b">
        <f t="shared" si="135"/>
        <v>1</v>
      </c>
    </row>
    <row r="162" spans="1:40" x14ac:dyDescent="0.35">
      <c r="A162">
        <f t="shared" si="136"/>
        <v>161</v>
      </c>
      <c r="B162" t="str">
        <f t="shared" si="117"/>
        <v>Vale4116311/09/2042</v>
      </c>
      <c r="C162" t="s">
        <v>619</v>
      </c>
      <c r="D162" t="b">
        <f t="shared" si="126"/>
        <v>1</v>
      </c>
      <c r="E162" s="50">
        <v>41163</v>
      </c>
      <c r="F162" s="54">
        <f>VLOOKUP(A162,Base!B:K,10,0)</f>
        <v>41163</v>
      </c>
      <c r="G162" s="28" t="s">
        <v>631</v>
      </c>
      <c r="H162" s="14">
        <f>NETWORKDAYS($F162,$G162,Feriados!$A$2:$A$1189)</f>
        <v>7537</v>
      </c>
      <c r="I162" s="14">
        <f t="shared" si="127"/>
        <v>10800</v>
      </c>
      <c r="J162" t="s">
        <v>651</v>
      </c>
      <c r="K162" s="29">
        <v>5.6250000000000001E-2</v>
      </c>
      <c r="L162" s="30" t="s">
        <v>29</v>
      </c>
      <c r="M162" s="31" t="s">
        <v>29</v>
      </c>
      <c r="N162" s="18" t="s">
        <v>29</v>
      </c>
      <c r="O162" s="30">
        <v>31660.78</v>
      </c>
      <c r="P162" s="31">
        <v>45658</v>
      </c>
      <c r="Q162" s="18">
        <f>NETWORKDAYS($F162,$P162,Feriados!$A$2:$A$1189)</f>
        <v>3091</v>
      </c>
      <c r="R162" s="17" t="s">
        <v>29</v>
      </c>
      <c r="S162" s="26" t="s">
        <v>29</v>
      </c>
      <c r="T162" s="27" t="s">
        <v>29</v>
      </c>
      <c r="U162" s="23" t="s">
        <v>29</v>
      </c>
      <c r="V162" s="26" t="s">
        <v>29</v>
      </c>
      <c r="W162" s="27" t="s">
        <v>29</v>
      </c>
      <c r="X162" s="35" t="s">
        <v>29</v>
      </c>
      <c r="Y162" s="33" t="s">
        <v>29</v>
      </c>
      <c r="Z162" s="33" t="s">
        <v>29</v>
      </c>
      <c r="AA162" s="24" t="s">
        <v>29</v>
      </c>
      <c r="AB162" s="26">
        <v>4.6300000000000001E-2</v>
      </c>
      <c r="AC162" s="37">
        <f>($AG$1/$O162)^(252/Q162)-1</f>
        <v>9.8299995064229595E-2</v>
      </c>
      <c r="AD162" s="25">
        <f t="shared" si="128"/>
        <v>4.6300000000000001E-2</v>
      </c>
      <c r="AE162" s="21">
        <f t="shared" si="129"/>
        <v>6.678107937416411E-2</v>
      </c>
      <c r="AF162" s="21">
        <f t="shared" si="130"/>
        <v>2.5937831332745409E-2</v>
      </c>
      <c r="AG162" s="9">
        <f t="shared" si="131"/>
        <v>0.124237826396975</v>
      </c>
      <c r="AK162" t="b">
        <f t="shared" si="132"/>
        <v>0</v>
      </c>
      <c r="AL162" t="b">
        <f t="shared" si="133"/>
        <v>0</v>
      </c>
      <c r="AM162" t="b">
        <f t="shared" si="134"/>
        <v>0</v>
      </c>
      <c r="AN162" t="b">
        <f t="shared" si="135"/>
        <v>1</v>
      </c>
    </row>
    <row r="163" spans="1:40" x14ac:dyDescent="0.35">
      <c r="A163">
        <f t="shared" si="136"/>
        <v>162</v>
      </c>
      <c r="B163" t="str">
        <f t="shared" si="117"/>
        <v>Votorantim Cimentos4063805/04/2041</v>
      </c>
      <c r="C163" t="s">
        <v>633</v>
      </c>
      <c r="D163" t="b">
        <f t="shared" si="126"/>
        <v>1</v>
      </c>
      <c r="E163" s="50">
        <v>40638</v>
      </c>
      <c r="F163" s="54">
        <f>VLOOKUP(A163,Base!B:K,10,0)</f>
        <v>40638</v>
      </c>
      <c r="G163" s="28" t="s">
        <v>649</v>
      </c>
      <c r="H163" s="14">
        <f>NETWORKDAYS($F163,$G163,Feriados!$A$2:$A$1189)</f>
        <v>7537</v>
      </c>
      <c r="I163" s="14">
        <f t="shared" si="127"/>
        <v>10800</v>
      </c>
      <c r="J163" t="s">
        <v>651</v>
      </c>
      <c r="K163" s="29">
        <v>7.2499999999999995E-2</v>
      </c>
      <c r="L163" s="30" t="s">
        <v>29</v>
      </c>
      <c r="M163" s="31" t="s">
        <v>29</v>
      </c>
      <c r="N163" s="18" t="s">
        <v>29</v>
      </c>
      <c r="O163" s="30">
        <v>19765.86</v>
      </c>
      <c r="P163" s="31">
        <v>45658</v>
      </c>
      <c r="Q163" s="18">
        <f>NETWORKDAYS($F163,$P163,Feriados!$A$2:$A$1189)</f>
        <v>3453</v>
      </c>
      <c r="R163" s="17" t="s">
        <v>29</v>
      </c>
      <c r="S163" s="26" t="s">
        <v>29</v>
      </c>
      <c r="T163" s="27" t="s">
        <v>29</v>
      </c>
      <c r="U163" s="23" t="s">
        <v>29</v>
      </c>
      <c r="V163" s="26" t="s">
        <v>29</v>
      </c>
      <c r="W163" s="27" t="s">
        <v>29</v>
      </c>
      <c r="X163" s="35" t="s">
        <v>29</v>
      </c>
      <c r="Y163" s="33" t="s">
        <v>29</v>
      </c>
      <c r="Z163" s="33" t="s">
        <v>29</v>
      </c>
      <c r="AA163" s="24" t="s">
        <v>29</v>
      </c>
      <c r="AB163" s="26">
        <v>7.6600000000000001E-2</v>
      </c>
      <c r="AC163" s="37">
        <f>($AG$1/$O163)^(252/Q163)-1</f>
        <v>0.12559999722506743</v>
      </c>
      <c r="AD163" s="25">
        <f t="shared" si="128"/>
        <v>7.6600000000000001E-2</v>
      </c>
      <c r="AE163" s="21">
        <f t="shared" si="129"/>
        <v>8.1574264682695352E-2</v>
      </c>
      <c r="AF163" s="21">
        <f t="shared" si="130"/>
        <v>3.0551174246535862E-2</v>
      </c>
      <c r="AG163" s="9">
        <f t="shared" si="131"/>
        <v>0.15615117147160329</v>
      </c>
      <c r="AK163" t="b">
        <f t="shared" si="132"/>
        <v>0</v>
      </c>
      <c r="AL163" t="b">
        <f t="shared" si="133"/>
        <v>0</v>
      </c>
      <c r="AM163" t="b">
        <f t="shared" si="134"/>
        <v>0</v>
      </c>
      <c r="AN163" t="b">
        <f t="shared" si="135"/>
        <v>1</v>
      </c>
    </row>
    <row r="164" spans="1:40" x14ac:dyDescent="0.35">
      <c r="A164">
        <f t="shared" si="136"/>
        <v>163</v>
      </c>
      <c r="B164" t="str">
        <f t="shared" si="117"/>
        <v>Votorantim Cimentos4094805/04/2041</v>
      </c>
      <c r="C164" t="s">
        <v>633</v>
      </c>
      <c r="D164" t="b">
        <f t="shared" si="126"/>
        <v>1</v>
      </c>
      <c r="E164" s="50">
        <v>40948</v>
      </c>
      <c r="F164" s="54">
        <f>VLOOKUP(A164,Base!B:K,10,0)</f>
        <v>40948</v>
      </c>
      <c r="G164" s="28" t="s">
        <v>649</v>
      </c>
      <c r="H164" s="14">
        <f>NETWORKDAYS($F164,$G164,Feriados!$A$2:$A$1189)</f>
        <v>7322</v>
      </c>
      <c r="I164" s="14">
        <f t="shared" si="127"/>
        <v>10496</v>
      </c>
      <c r="J164" t="s">
        <v>651</v>
      </c>
      <c r="K164" s="29">
        <v>7.2499999999999995E-2</v>
      </c>
      <c r="L164" s="30" t="s">
        <v>29</v>
      </c>
      <c r="M164" s="31" t="s">
        <v>29</v>
      </c>
      <c r="N164" s="18" t="s">
        <v>29</v>
      </c>
      <c r="O164" s="30">
        <v>24578.42</v>
      </c>
      <c r="P164" s="31">
        <v>45658</v>
      </c>
      <c r="Q164" s="18">
        <f>NETWORKDAYS($F164,$P164,Feriados!$A$2:$A$1189)</f>
        <v>3238</v>
      </c>
      <c r="R164" s="17" t="s">
        <v>29</v>
      </c>
      <c r="S164" s="26" t="s">
        <v>29</v>
      </c>
      <c r="T164" s="27" t="s">
        <v>29</v>
      </c>
      <c r="U164" s="23" t="s">
        <v>29</v>
      </c>
      <c r="V164" s="26" t="s">
        <v>29</v>
      </c>
      <c r="W164" s="27" t="s">
        <v>29</v>
      </c>
      <c r="X164" s="35" t="s">
        <v>29</v>
      </c>
      <c r="Y164" s="33" t="s">
        <v>29</v>
      </c>
      <c r="Z164" s="33" t="s">
        <v>29</v>
      </c>
      <c r="AA164" s="24" t="s">
        <v>29</v>
      </c>
      <c r="AB164" s="26">
        <v>5.5300000000000002E-2</v>
      </c>
      <c r="AC164" s="37">
        <f>($AG$1/$O164)^(252/Q164)-1</f>
        <v>0.11539999122929423</v>
      </c>
      <c r="AD164" s="25">
        <f t="shared" si="128"/>
        <v>5.5300000000000002E-2</v>
      </c>
      <c r="AE164" s="21">
        <f t="shared" si="129"/>
        <v>7.9140555662580381E-2</v>
      </c>
      <c r="AF164" s="21">
        <f t="shared" si="130"/>
        <v>3.7635157834776889E-2</v>
      </c>
      <c r="AG164" s="9">
        <f t="shared" si="131"/>
        <v>0.15303514906407112</v>
      </c>
      <c r="AK164" t="b">
        <f t="shared" si="132"/>
        <v>0</v>
      </c>
      <c r="AL164" t="b">
        <f t="shared" si="133"/>
        <v>0</v>
      </c>
      <c r="AM164" t="b">
        <f t="shared" si="134"/>
        <v>0</v>
      </c>
      <c r="AN164" t="b">
        <f t="shared" si="135"/>
        <v>1</v>
      </c>
    </row>
    <row r="165" spans="1:40" x14ac:dyDescent="0.35">
      <c r="K165" s="8"/>
      <c r="X165" s="36"/>
    </row>
    <row r="166" spans="1:40" x14ac:dyDescent="0.35">
      <c r="X166" s="36"/>
    </row>
    <row r="167" spans="1:40" x14ac:dyDescent="0.35">
      <c r="X167" s="36"/>
    </row>
    <row r="168" spans="1:40" x14ac:dyDescent="0.35">
      <c r="X168" s="36"/>
    </row>
    <row r="169" spans="1:40" x14ac:dyDescent="0.35">
      <c r="X169" s="36"/>
    </row>
    <row r="170" spans="1:40" x14ac:dyDescent="0.35">
      <c r="X170" s="36"/>
    </row>
    <row r="171" spans="1:40" x14ac:dyDescent="0.35">
      <c r="X171" s="36"/>
    </row>
    <row r="172" spans="1:40" x14ac:dyDescent="0.35">
      <c r="X172" s="36"/>
    </row>
  </sheetData>
  <sortState xmlns:xlrd2="http://schemas.microsoft.com/office/spreadsheetml/2017/richdata2" ref="B2:AN164">
    <sortCondition ref="C2:C164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CE5B2-2784-47BC-AB3D-4BC541BC2D47}">
  <dimension ref="A1:U101"/>
  <sheetViews>
    <sheetView workbookViewId="0"/>
  </sheetViews>
  <sheetFormatPr defaultRowHeight="14.5" x14ac:dyDescent="0.35"/>
  <cols>
    <col min="1" max="1" width="28.90625" bestFit="1" customWidth="1"/>
    <col min="2" max="2" width="18.7265625" bestFit="1" customWidth="1"/>
    <col min="3" max="3" width="14.6328125" bestFit="1" customWidth="1"/>
    <col min="4" max="4" width="18.26953125" bestFit="1" customWidth="1"/>
    <col min="9" max="9" width="16.54296875" bestFit="1" customWidth="1"/>
    <col min="10" max="10" width="10.453125" bestFit="1" customWidth="1"/>
    <col min="11" max="11" width="10.54296875" bestFit="1" customWidth="1"/>
    <col min="12" max="12" width="16.54296875" bestFit="1" customWidth="1"/>
    <col min="13" max="13" width="10.453125" bestFit="1" customWidth="1"/>
    <col min="14" max="14" width="11.453125" bestFit="1" customWidth="1"/>
    <col min="15" max="15" width="11.36328125" bestFit="1" customWidth="1"/>
    <col min="16" max="16" width="14" bestFit="1" customWidth="1"/>
    <col min="17" max="17" width="10.26953125" bestFit="1" customWidth="1"/>
    <col min="20" max="21" width="11.81640625" bestFit="1" customWidth="1"/>
  </cols>
  <sheetData>
    <row r="1" spans="1:21" x14ac:dyDescent="0.35">
      <c r="A1" t="s">
        <v>759</v>
      </c>
      <c r="B1" t="s">
        <v>2</v>
      </c>
      <c r="C1" t="s">
        <v>6</v>
      </c>
      <c r="D1" t="s">
        <v>7</v>
      </c>
      <c r="E1" t="s">
        <v>742</v>
      </c>
      <c r="F1" t="s">
        <v>748</v>
      </c>
      <c r="G1" t="s">
        <v>13</v>
      </c>
      <c r="H1" t="s">
        <v>744</v>
      </c>
      <c r="I1" s="15" t="s">
        <v>734</v>
      </c>
      <c r="J1" s="15" t="s">
        <v>739</v>
      </c>
      <c r="K1" s="15" t="s">
        <v>740</v>
      </c>
      <c r="L1" s="15" t="s">
        <v>735</v>
      </c>
      <c r="M1" s="15" t="s">
        <v>739</v>
      </c>
      <c r="N1" s="15" t="s">
        <v>741</v>
      </c>
      <c r="O1" s="15" t="s">
        <v>736</v>
      </c>
      <c r="P1" s="22" t="s">
        <v>733</v>
      </c>
      <c r="Q1" s="5" t="s">
        <v>760</v>
      </c>
      <c r="R1" s="41">
        <v>100000</v>
      </c>
      <c r="T1" t="s">
        <v>761</v>
      </c>
      <c r="U1" t="s">
        <v>761</v>
      </c>
    </row>
    <row r="2" spans="1:21" x14ac:dyDescent="0.35">
      <c r="A2" t="str">
        <f>B2&amp;C2&amp;D2</f>
        <v>Americanas4107342899</v>
      </c>
      <c r="B2" s="43" t="s">
        <v>53</v>
      </c>
      <c r="C2" s="28">
        <v>41073</v>
      </c>
      <c r="D2" s="28">
        <v>42899</v>
      </c>
      <c r="E2" s="14">
        <f>NETWORKDAYS($C2,$D2,Feriados!$A$2:$A$1189)</f>
        <v>1258</v>
      </c>
      <c r="F2" s="14">
        <f>DAYS360(C2,D2,0)</f>
        <v>1800</v>
      </c>
      <c r="G2" s="43" t="s">
        <v>41</v>
      </c>
      <c r="H2" s="47">
        <v>1.2</v>
      </c>
      <c r="I2" s="48">
        <v>63996.24</v>
      </c>
      <c r="J2" s="49">
        <v>42826</v>
      </c>
      <c r="K2" s="18">
        <f>NETWORKDAYS($C2,$J2,Feriados!$A$2:$A$1189)</f>
        <v>1209</v>
      </c>
      <c r="L2" s="48">
        <v>62427.67</v>
      </c>
      <c r="M2" s="49">
        <v>42917</v>
      </c>
      <c r="N2" s="18">
        <f>NETWORKDAYS($C2,$M2,Feriados!$A$2:$A$1189)</f>
        <v>1270</v>
      </c>
      <c r="O2" s="17">
        <f>$I2*(($L2/$I2)^(($E2-$K2)/($N2-$K2)))</f>
        <v>62733.173368055926</v>
      </c>
      <c r="P2" s="25">
        <f t="shared" ref="P2:P33" si="0">IFERROR(($R$1/$O2)^(252/$E2)-1,"NA")</f>
        <v>9.7905441090536449E-2</v>
      </c>
      <c r="Q2" s="9">
        <f>$P2*($H2-1)</f>
        <v>1.9581088218107286E-2</v>
      </c>
      <c r="R2" s="9"/>
      <c r="T2" t="b">
        <f>K2&lt;E2</f>
        <v>1</v>
      </c>
      <c r="U2" t="b">
        <f>N2&gt;E2</f>
        <v>1</v>
      </c>
    </row>
    <row r="3" spans="1:21" x14ac:dyDescent="0.35">
      <c r="A3" t="str">
        <f t="shared" ref="A3:A65" si="1">B3&amp;C3&amp;D3</f>
        <v>Americanas4269543790</v>
      </c>
      <c r="B3" s="43" t="s">
        <v>53</v>
      </c>
      <c r="C3" s="28">
        <v>42695</v>
      </c>
      <c r="D3" s="28">
        <v>43790</v>
      </c>
      <c r="E3" s="14">
        <f>NETWORKDAYS($C3,$D3,Feriados!$A$2:$A$1189)</f>
        <v>755</v>
      </c>
      <c r="F3" s="14">
        <f t="shared" ref="F3:F65" si="2">DAYS360(C3,D3,0)</f>
        <v>1080</v>
      </c>
      <c r="G3" s="43" t="s">
        <v>41</v>
      </c>
      <c r="H3" s="47">
        <v>1.1200000000000001</v>
      </c>
      <c r="I3" s="48">
        <v>72867.320000000007</v>
      </c>
      <c r="J3" s="49">
        <v>43739</v>
      </c>
      <c r="K3" s="18">
        <f>NETWORKDAYS($C3,$J3,Feriados!$A$2:$A$1189)</f>
        <v>719</v>
      </c>
      <c r="L3" s="48">
        <v>70820.479999999996</v>
      </c>
      <c r="M3" s="49">
        <v>43831</v>
      </c>
      <c r="N3" s="18">
        <f>NETWORKDAYS($C3,$M3,Feriados!$A$2:$A$1189)</f>
        <v>782</v>
      </c>
      <c r="O3" s="17">
        <f t="shared" ref="O3:O64" si="3">$I3*(($L3/$I3)^(($E3-$K3)/($N3-$K3)))</f>
        <v>71690.561049388256</v>
      </c>
      <c r="P3" s="25">
        <f t="shared" si="0"/>
        <v>0.11748873527779158</v>
      </c>
      <c r="Q3" s="9">
        <f t="shared" ref="Q3:Q65" si="4">$P3*($H3-1)</f>
        <v>1.4098648233335002E-2</v>
      </c>
      <c r="T3" t="b">
        <f t="shared" ref="T3:T65" si="5">K3&lt;E3</f>
        <v>1</v>
      </c>
      <c r="U3" t="b">
        <f t="shared" ref="U3:U65" si="6">N3&gt;E3</f>
        <v>1</v>
      </c>
    </row>
    <row r="4" spans="1:21" x14ac:dyDescent="0.35">
      <c r="A4" t="str">
        <f t="shared" si="1"/>
        <v>Americanas4079145468</v>
      </c>
      <c r="B4" s="43" t="s">
        <v>53</v>
      </c>
      <c r="C4" s="28">
        <v>40791</v>
      </c>
      <c r="D4" s="28">
        <v>45468</v>
      </c>
      <c r="E4" s="14">
        <f>NETWORKDAYS($C4,$D4,Feriados!$A$2:$A$1189)</f>
        <v>3214</v>
      </c>
      <c r="F4" s="14">
        <f t="shared" si="2"/>
        <v>4610</v>
      </c>
      <c r="G4" s="43" t="s">
        <v>41</v>
      </c>
      <c r="H4" s="47">
        <v>1.175</v>
      </c>
      <c r="I4" s="48">
        <v>26894.44</v>
      </c>
      <c r="J4" s="49">
        <v>45292</v>
      </c>
      <c r="K4" s="18">
        <f>NETWORKDAYS($C4,$J4,Feriados!$A$2:$A$1189)</f>
        <v>3093</v>
      </c>
      <c r="L4" s="48">
        <v>24142.04</v>
      </c>
      <c r="M4" s="49">
        <v>45658</v>
      </c>
      <c r="N4" s="18">
        <f>NETWORKDAYS($C4,$M4,Feriados!$A$2:$A$1189)</f>
        <v>3347</v>
      </c>
      <c r="O4" s="17">
        <f t="shared" si="3"/>
        <v>25546.172404008099</v>
      </c>
      <c r="P4" s="25">
        <f t="shared" si="0"/>
        <v>0.11293496003035042</v>
      </c>
      <c r="Q4" s="9">
        <f t="shared" si="4"/>
        <v>1.9763618005311328E-2</v>
      </c>
      <c r="T4" t="b">
        <f t="shared" si="5"/>
        <v>1</v>
      </c>
      <c r="U4" t="b">
        <f t="shared" si="6"/>
        <v>1</v>
      </c>
    </row>
    <row r="5" spans="1:21" x14ac:dyDescent="0.35">
      <c r="A5" t="str">
        <f t="shared" si="1"/>
        <v>Americanas4093443126</v>
      </c>
      <c r="B5" s="43" t="s">
        <v>53</v>
      </c>
      <c r="C5" s="28">
        <v>40934</v>
      </c>
      <c r="D5" s="28">
        <v>43126</v>
      </c>
      <c r="E5" s="14">
        <f>NETWORKDAYS($C5,$D5,Feriados!$A$2:$A$1189)</f>
        <v>1508</v>
      </c>
      <c r="F5" s="14">
        <f t="shared" si="2"/>
        <v>2160</v>
      </c>
      <c r="G5" s="43" t="s">
        <v>41</v>
      </c>
      <c r="H5" s="47">
        <v>1.1200000000000001</v>
      </c>
      <c r="I5" s="48">
        <v>53689.33</v>
      </c>
      <c r="J5" s="49">
        <v>43101</v>
      </c>
      <c r="K5" s="18">
        <f>NETWORKDAYS($C5,$J5,Feriados!$A$2:$A$1189)</f>
        <v>1489</v>
      </c>
      <c r="L5" s="48">
        <v>52228.639999999999</v>
      </c>
      <c r="M5" s="49">
        <v>43191</v>
      </c>
      <c r="N5" s="18">
        <f>NETWORKDAYS($C5,$M5,Feriados!$A$2:$A$1189)</f>
        <v>1550</v>
      </c>
      <c r="O5" s="17">
        <f t="shared" si="3"/>
        <v>53230.03322077771</v>
      </c>
      <c r="P5" s="25">
        <f t="shared" si="0"/>
        <v>0.11112164084978993</v>
      </c>
      <c r="Q5" s="9">
        <f t="shared" si="4"/>
        <v>1.3334596901974803E-2</v>
      </c>
      <c r="T5" t="b">
        <f t="shared" si="5"/>
        <v>1</v>
      </c>
      <c r="U5" t="b">
        <f t="shared" si="6"/>
        <v>1</v>
      </c>
    </row>
    <row r="6" spans="1:21" x14ac:dyDescent="0.35">
      <c r="A6" t="str">
        <f t="shared" si="1"/>
        <v>Americanas4147043296</v>
      </c>
      <c r="B6" s="43" t="s">
        <v>53</v>
      </c>
      <c r="C6" s="28">
        <v>41470</v>
      </c>
      <c r="D6" s="28">
        <v>43296</v>
      </c>
      <c r="E6" s="14">
        <f>NETWORKDAYS($C6,$D6,Feriados!$A$2:$A$1189)</f>
        <v>1257</v>
      </c>
      <c r="F6" s="14">
        <f t="shared" si="2"/>
        <v>1800</v>
      </c>
      <c r="G6" s="43" t="s">
        <v>41</v>
      </c>
      <c r="H6" s="47">
        <v>1.1200000000000001</v>
      </c>
      <c r="I6" s="48">
        <v>60095.59</v>
      </c>
      <c r="J6" s="49">
        <v>43282</v>
      </c>
      <c r="K6" s="18">
        <f>NETWORKDAYS($C6,$J6,Feriados!$A$2:$A$1189)</f>
        <v>1247</v>
      </c>
      <c r="L6" s="48">
        <v>58460.19</v>
      </c>
      <c r="M6" s="49">
        <v>43374</v>
      </c>
      <c r="N6" s="18">
        <f>NETWORKDAYS($C6,$M6,Feriados!$A$2:$A$1189)</f>
        <v>1312</v>
      </c>
      <c r="O6" s="17">
        <f t="shared" si="3"/>
        <v>59841.04377733187</v>
      </c>
      <c r="P6" s="25">
        <f t="shared" si="0"/>
        <v>0.10842576508010149</v>
      </c>
      <c r="Q6" s="9">
        <f t="shared" si="4"/>
        <v>1.301109180961219E-2</v>
      </c>
      <c r="T6" t="b">
        <f t="shared" si="5"/>
        <v>1</v>
      </c>
      <c r="U6" t="b">
        <f t="shared" si="6"/>
        <v>1</v>
      </c>
    </row>
    <row r="7" spans="1:21" x14ac:dyDescent="0.35">
      <c r="A7" t="str">
        <f t="shared" si="1"/>
        <v>Americanas4181545468</v>
      </c>
      <c r="B7" s="43" t="s">
        <v>53</v>
      </c>
      <c r="C7" s="28">
        <v>41815</v>
      </c>
      <c r="D7" s="28">
        <v>45468</v>
      </c>
      <c r="E7" s="14">
        <f>NETWORKDAYS($C7,$D7,Feriados!$A$2:$A$1189)</f>
        <v>2511</v>
      </c>
      <c r="F7" s="14">
        <f t="shared" si="2"/>
        <v>3600</v>
      </c>
      <c r="G7" s="43" t="s">
        <v>41</v>
      </c>
      <c r="H7" s="47">
        <v>1.175</v>
      </c>
      <c r="I7" s="48">
        <v>34005.99</v>
      </c>
      <c r="J7" s="49">
        <v>45292</v>
      </c>
      <c r="K7" s="18">
        <f>NETWORKDAYS($C7,$J7,Feriados!$A$2:$A$1189)</f>
        <v>2390</v>
      </c>
      <c r="L7" s="48">
        <v>32089.42</v>
      </c>
      <c r="M7" s="49">
        <v>45474</v>
      </c>
      <c r="N7" s="18">
        <f>NETWORKDAYS($C7,$M7,Feriados!$A$2:$A$1189)</f>
        <v>2515</v>
      </c>
      <c r="O7" s="17">
        <f t="shared" si="3"/>
        <v>32149.043868757632</v>
      </c>
      <c r="P7" s="25">
        <f t="shared" si="0"/>
        <v>0.12062378527590867</v>
      </c>
      <c r="Q7" s="9">
        <f t="shared" si="4"/>
        <v>2.1109162423284023E-2</v>
      </c>
      <c r="T7" t="b">
        <f t="shared" si="5"/>
        <v>1</v>
      </c>
      <c r="U7" t="b">
        <f t="shared" si="6"/>
        <v>1</v>
      </c>
    </row>
    <row r="8" spans="1:21" x14ac:dyDescent="0.35">
      <c r="A8" t="str">
        <f t="shared" si="1"/>
        <v>Americanas4093443126</v>
      </c>
      <c r="B8" s="43" t="s">
        <v>53</v>
      </c>
      <c r="C8" s="28">
        <v>40934</v>
      </c>
      <c r="D8" s="28">
        <v>43126</v>
      </c>
      <c r="E8" s="14">
        <f>NETWORKDAYS($C8,$D8,Feriados!$A$2:$A$1189)</f>
        <v>1508</v>
      </c>
      <c r="F8" s="14">
        <f t="shared" si="2"/>
        <v>2160</v>
      </c>
      <c r="G8" s="43" t="s">
        <v>41</v>
      </c>
      <c r="H8" s="47">
        <v>1.1200000000000001</v>
      </c>
      <c r="I8" s="48">
        <v>53689.33</v>
      </c>
      <c r="J8" s="49">
        <v>43101</v>
      </c>
      <c r="K8" s="18">
        <f>NETWORKDAYS($C8,$J8,Feriados!$A$2:$A$1189)</f>
        <v>1489</v>
      </c>
      <c r="L8" s="48">
        <v>52228.639999999999</v>
      </c>
      <c r="M8" s="49">
        <v>43191</v>
      </c>
      <c r="N8" s="18">
        <f>NETWORKDAYS($C8,$M8,Feriados!$A$2:$A$1189)</f>
        <v>1550</v>
      </c>
      <c r="O8" s="17">
        <f t="shared" si="3"/>
        <v>53230.03322077771</v>
      </c>
      <c r="P8" s="25">
        <f t="shared" si="0"/>
        <v>0.11112164084978993</v>
      </c>
      <c r="Q8" s="9">
        <f t="shared" si="4"/>
        <v>1.3334596901974803E-2</v>
      </c>
      <c r="T8" t="b">
        <f t="shared" si="5"/>
        <v>1</v>
      </c>
      <c r="U8" t="b">
        <f t="shared" si="6"/>
        <v>1</v>
      </c>
    </row>
    <row r="9" spans="1:21" x14ac:dyDescent="0.35">
      <c r="A9" t="str">
        <f t="shared" si="1"/>
        <v>Americanas4126444916</v>
      </c>
      <c r="B9" s="43" t="s">
        <v>53</v>
      </c>
      <c r="C9" s="28">
        <v>41264</v>
      </c>
      <c r="D9" s="28">
        <v>44916</v>
      </c>
      <c r="E9" s="14">
        <f>NETWORKDAYS($C9,$D9,Feriados!$A$2:$A$1189)</f>
        <v>2511</v>
      </c>
      <c r="F9" s="14">
        <f t="shared" si="2"/>
        <v>3600</v>
      </c>
      <c r="G9" s="43" t="s">
        <v>41</v>
      </c>
      <c r="H9" s="47">
        <v>1.145</v>
      </c>
      <c r="I9" s="48">
        <v>42505.41</v>
      </c>
      <c r="J9" s="49">
        <v>44743</v>
      </c>
      <c r="K9" s="18">
        <f>NETWORKDAYS($C9,$J9,Feriados!$A$2:$A$1189)</f>
        <v>2392</v>
      </c>
      <c r="L9" s="48">
        <v>40491.199999999997</v>
      </c>
      <c r="M9" s="49">
        <v>44927</v>
      </c>
      <c r="N9" s="18">
        <f>NETWORKDAYS($C9,$M9,Feriados!$A$2:$A$1189)</f>
        <v>2518</v>
      </c>
      <c r="O9" s="17">
        <f t="shared" si="3"/>
        <v>40600.553730028216</v>
      </c>
      <c r="P9" s="25">
        <f t="shared" si="0"/>
        <v>9.4679828434045099E-2</v>
      </c>
      <c r="Q9" s="9">
        <f t="shared" si="4"/>
        <v>1.3728575122936541E-2</v>
      </c>
      <c r="T9" t="b">
        <f t="shared" si="5"/>
        <v>1</v>
      </c>
      <c r="U9" t="b">
        <f t="shared" si="6"/>
        <v>1</v>
      </c>
    </row>
    <row r="10" spans="1:21" x14ac:dyDescent="0.35">
      <c r="A10" t="str">
        <f t="shared" si="1"/>
        <v>Americanas4147043661</v>
      </c>
      <c r="B10" s="43" t="s">
        <v>53</v>
      </c>
      <c r="C10" s="28">
        <v>41470</v>
      </c>
      <c r="D10" s="28">
        <v>43661</v>
      </c>
      <c r="E10" s="14">
        <f>NETWORKDAYS($C10,$D10,Feriados!$A$2:$A$1189)</f>
        <v>1507</v>
      </c>
      <c r="F10" s="14">
        <f t="shared" si="2"/>
        <v>2160</v>
      </c>
      <c r="G10" s="43" t="s">
        <v>41</v>
      </c>
      <c r="H10" s="47">
        <v>1.1254999999999999</v>
      </c>
      <c r="I10" s="48">
        <v>53975.21</v>
      </c>
      <c r="J10" s="49">
        <v>43647</v>
      </c>
      <c r="K10" s="18">
        <f>NETWORKDAYS($C10,$J10,Feriados!$A$2:$A$1189)</f>
        <v>1497</v>
      </c>
      <c r="L10" s="48">
        <v>52488.480000000003</v>
      </c>
      <c r="M10" s="49">
        <v>43739</v>
      </c>
      <c r="N10" s="18">
        <f>NETWORKDAYS($C10,$M10,Feriados!$A$2:$A$1189)</f>
        <v>1563</v>
      </c>
      <c r="O10" s="17">
        <f t="shared" si="3"/>
        <v>53747.26997949509</v>
      </c>
      <c r="P10" s="25">
        <f t="shared" si="0"/>
        <v>0.10940394158011135</v>
      </c>
      <c r="Q10" s="9">
        <f t="shared" si="4"/>
        <v>1.3730194668303969E-2</v>
      </c>
      <c r="T10" t="b">
        <f t="shared" si="5"/>
        <v>1</v>
      </c>
      <c r="U10" t="b">
        <f t="shared" si="6"/>
        <v>1</v>
      </c>
    </row>
    <row r="11" spans="1:21" x14ac:dyDescent="0.35">
      <c r="A11" t="str">
        <f t="shared" si="1"/>
        <v>Americanas4181544372</v>
      </c>
      <c r="B11" s="43" t="s">
        <v>53</v>
      </c>
      <c r="C11" s="28">
        <v>41815</v>
      </c>
      <c r="D11" s="28">
        <v>44372</v>
      </c>
      <c r="E11" s="14">
        <f>NETWORKDAYS($C11,$D11,Feriados!$A$2:$A$1189)</f>
        <v>1759</v>
      </c>
      <c r="F11" s="14">
        <f t="shared" si="2"/>
        <v>2520</v>
      </c>
      <c r="G11" s="43" t="s">
        <v>41</v>
      </c>
      <c r="H11" s="47">
        <v>1.1299999999999999</v>
      </c>
      <c r="I11" s="48">
        <v>46938.95</v>
      </c>
      <c r="J11" s="49">
        <v>44287</v>
      </c>
      <c r="K11" s="18">
        <f>NETWORKDAYS($C11,$J11,Feriados!$A$2:$A$1189)</f>
        <v>1701</v>
      </c>
      <c r="L11" s="48">
        <v>45627.67</v>
      </c>
      <c r="M11" s="49">
        <v>44378</v>
      </c>
      <c r="N11" s="18">
        <f>NETWORKDAYS($C11,$M11,Feriados!$A$2:$A$1189)</f>
        <v>1763</v>
      </c>
      <c r="O11" s="17">
        <f t="shared" si="3"/>
        <v>45711.152158869962</v>
      </c>
      <c r="P11" s="25">
        <f t="shared" si="0"/>
        <v>0.11868114482435477</v>
      </c>
      <c r="Q11" s="9">
        <f t="shared" si="4"/>
        <v>1.5428548827166107E-2</v>
      </c>
      <c r="T11" t="b">
        <f t="shared" si="5"/>
        <v>1</v>
      </c>
      <c r="U11" t="b">
        <f t="shared" si="6"/>
        <v>1</v>
      </c>
    </row>
    <row r="12" spans="1:21" x14ac:dyDescent="0.35">
      <c r="A12" t="str">
        <f t="shared" si="1"/>
        <v>Americanas4284044666</v>
      </c>
      <c r="B12" s="43" t="s">
        <v>53</v>
      </c>
      <c r="C12" s="28">
        <v>42840</v>
      </c>
      <c r="D12" s="28">
        <v>44666</v>
      </c>
      <c r="E12" s="14">
        <f>NETWORKDAYS($C12,$D12,Feriados!$A$2:$A$1189)</f>
        <v>1254</v>
      </c>
      <c r="F12" s="14">
        <f t="shared" si="2"/>
        <v>1800</v>
      </c>
      <c r="G12" s="43" t="s">
        <v>41</v>
      </c>
      <c r="H12" s="47">
        <v>1.1499999999999999</v>
      </c>
      <c r="I12" s="48">
        <v>62211.74</v>
      </c>
      <c r="J12" s="49">
        <v>44652</v>
      </c>
      <c r="K12" s="18">
        <f>NETWORKDAYS($C12,$J12,Feriados!$A$2:$A$1189)</f>
        <v>1245</v>
      </c>
      <c r="L12" s="48">
        <v>60663.09</v>
      </c>
      <c r="M12" s="49">
        <v>44743</v>
      </c>
      <c r="N12" s="18">
        <f>NETWORKDAYS($C12,$M12,Feriados!$A$2:$A$1189)</f>
        <v>1307</v>
      </c>
      <c r="O12" s="17">
        <f t="shared" si="3"/>
        <v>61984.506608540541</v>
      </c>
      <c r="P12" s="25">
        <f t="shared" si="0"/>
        <v>0.10088547670568704</v>
      </c>
      <c r="Q12" s="9">
        <f t="shared" si="4"/>
        <v>1.5132821505853046E-2</v>
      </c>
      <c r="T12" t="b">
        <f t="shared" si="5"/>
        <v>1</v>
      </c>
      <c r="U12" t="b">
        <f t="shared" si="6"/>
        <v>1</v>
      </c>
    </row>
    <row r="13" spans="1:21" x14ac:dyDescent="0.35">
      <c r="A13" t="str">
        <f t="shared" si="1"/>
        <v>Americanas4321045036</v>
      </c>
      <c r="B13" s="43" t="s">
        <v>53</v>
      </c>
      <c r="C13" s="28">
        <v>43210</v>
      </c>
      <c r="D13" s="28">
        <v>45036</v>
      </c>
      <c r="E13" s="14">
        <f>NETWORKDAYS($C13,$D13,Feriados!$A$2:$A$1189)</f>
        <v>1257</v>
      </c>
      <c r="F13" s="14">
        <f t="shared" si="2"/>
        <v>1800</v>
      </c>
      <c r="G13" s="43" t="s">
        <v>41</v>
      </c>
      <c r="H13" s="47">
        <v>1.1599999999999999</v>
      </c>
      <c r="I13" s="48">
        <v>64913.46</v>
      </c>
      <c r="J13" s="49">
        <v>45017</v>
      </c>
      <c r="K13" s="18">
        <f>NETWORKDAYS($C13,$J13,Feriados!$A$2:$A$1189)</f>
        <v>1244</v>
      </c>
      <c r="L13" s="48">
        <v>63290.8</v>
      </c>
      <c r="M13" s="49">
        <v>45108</v>
      </c>
      <c r="N13" s="18">
        <f>NETWORKDAYS($C13,$M13,Feriados!$A$2:$A$1189)</f>
        <v>1305</v>
      </c>
      <c r="O13" s="17">
        <f t="shared" si="3"/>
        <v>64564.194608038037</v>
      </c>
      <c r="P13" s="25">
        <f t="shared" si="0"/>
        <v>9.1672445281249182E-2</v>
      </c>
      <c r="Q13" s="9">
        <f t="shared" si="4"/>
        <v>1.4667591244999861E-2</v>
      </c>
      <c r="T13" t="b">
        <f t="shared" si="5"/>
        <v>1</v>
      </c>
      <c r="U13" t="b">
        <f t="shared" si="6"/>
        <v>1</v>
      </c>
    </row>
    <row r="14" spans="1:21" x14ac:dyDescent="0.35">
      <c r="A14" t="str">
        <f t="shared" si="1"/>
        <v>Americanas4347546032</v>
      </c>
      <c r="B14" s="43" t="s">
        <v>53</v>
      </c>
      <c r="C14" s="28">
        <v>43475</v>
      </c>
      <c r="D14" s="28">
        <v>46032</v>
      </c>
      <c r="E14" s="14">
        <f>NETWORKDAYS($C14,$D14,Feriados!$A$2:$A$1189)</f>
        <v>1762</v>
      </c>
      <c r="F14" s="14">
        <f t="shared" si="2"/>
        <v>2520</v>
      </c>
      <c r="G14" s="43" t="s">
        <v>41</v>
      </c>
      <c r="H14" s="47">
        <v>1.167</v>
      </c>
      <c r="I14" s="48">
        <v>54434.32</v>
      </c>
      <c r="J14" s="49">
        <v>46023</v>
      </c>
      <c r="K14" s="18">
        <f>NETWORKDAYS($C14,$J14,Feriados!$A$2:$A$1189)</f>
        <v>1756</v>
      </c>
      <c r="L14" s="48">
        <v>51897.97</v>
      </c>
      <c r="M14" s="49">
        <v>46204</v>
      </c>
      <c r="N14" s="18">
        <f>NETWORKDAYS($C14,$M14,Feriados!$A$2:$A$1189)</f>
        <v>1879</v>
      </c>
      <c r="O14" s="17">
        <f t="shared" si="3"/>
        <v>54307.767708743835</v>
      </c>
      <c r="P14" s="25">
        <f t="shared" si="0"/>
        <v>9.1238945101913327E-2</v>
      </c>
      <c r="Q14" s="9">
        <f t="shared" si="4"/>
        <v>1.5236903832019529E-2</v>
      </c>
      <c r="T14" t="b">
        <f t="shared" si="5"/>
        <v>1</v>
      </c>
      <c r="U14" t="b">
        <f t="shared" si="6"/>
        <v>1</v>
      </c>
    </row>
    <row r="15" spans="1:21" x14ac:dyDescent="0.35">
      <c r="A15" t="str">
        <f t="shared" si="1"/>
        <v>Andrade Gutierrez4139643953</v>
      </c>
      <c r="B15" s="43" t="s">
        <v>78</v>
      </c>
      <c r="C15" s="28">
        <v>41396</v>
      </c>
      <c r="D15" s="28">
        <v>43953</v>
      </c>
      <c r="E15" s="14">
        <f>NETWORKDAYS($C15,$D15,Feriados!$A$2:$A$1189)</f>
        <v>1759</v>
      </c>
      <c r="F15" s="14">
        <f t="shared" si="2"/>
        <v>2520</v>
      </c>
      <c r="G15" s="43" t="s">
        <v>41</v>
      </c>
      <c r="H15" s="47">
        <v>1.1100000000000001</v>
      </c>
      <c r="I15" s="48">
        <v>54396.99</v>
      </c>
      <c r="J15" s="49">
        <v>43922</v>
      </c>
      <c r="K15" s="18">
        <f>NETWORKDAYS($C15,$J15,Feriados!$A$2:$A$1189)</f>
        <v>1740</v>
      </c>
      <c r="L15" s="48">
        <v>53108.45</v>
      </c>
      <c r="M15" s="49">
        <v>44013</v>
      </c>
      <c r="N15" s="18">
        <f>NETWORKDAYS($C15,$M15,Feriados!$A$2:$A$1189)</f>
        <v>1801</v>
      </c>
      <c r="O15" s="17">
        <f t="shared" si="3"/>
        <v>53992.324221686285</v>
      </c>
      <c r="P15" s="25">
        <f t="shared" si="0"/>
        <v>9.2312681296558452E-2</v>
      </c>
      <c r="Q15" s="9">
        <f t="shared" si="4"/>
        <v>1.0154394942621438E-2</v>
      </c>
      <c r="T15" t="b">
        <f t="shared" si="5"/>
        <v>1</v>
      </c>
      <c r="U15" t="b">
        <f t="shared" si="6"/>
        <v>1</v>
      </c>
    </row>
    <row r="16" spans="1:21" x14ac:dyDescent="0.35">
      <c r="A16" t="str">
        <f t="shared" si="1"/>
        <v>Andrade Gutierrez4295044046</v>
      </c>
      <c r="B16" s="43" t="s">
        <v>78</v>
      </c>
      <c r="C16" s="28">
        <v>42950</v>
      </c>
      <c r="D16" s="28">
        <v>44046</v>
      </c>
      <c r="E16" s="14">
        <f>NETWORKDAYS($C16,$D16,Feriados!$A$2:$A$1189)</f>
        <v>752</v>
      </c>
      <c r="F16" s="14">
        <f t="shared" si="2"/>
        <v>1080</v>
      </c>
      <c r="G16" s="43" t="s">
        <v>41</v>
      </c>
      <c r="H16" s="47">
        <v>1.29</v>
      </c>
      <c r="I16" s="48">
        <v>78189.02</v>
      </c>
      <c r="J16" s="49">
        <v>44013</v>
      </c>
      <c r="K16" s="18">
        <f>NETWORKDAYS($C16,$J16,Feriados!$A$2:$A$1189)</f>
        <v>729</v>
      </c>
      <c r="L16" s="48">
        <v>76137.5</v>
      </c>
      <c r="M16" s="49">
        <v>44105</v>
      </c>
      <c r="N16" s="18">
        <f>NETWORKDAYS($C16,$M16,Feriados!$A$2:$A$1189)</f>
        <v>794</v>
      </c>
      <c r="O16" s="17">
        <f t="shared" si="3"/>
        <v>77456.853820445933</v>
      </c>
      <c r="P16" s="25">
        <f t="shared" si="0"/>
        <v>8.9373362178347682E-2</v>
      </c>
      <c r="Q16" s="9">
        <f t="shared" si="4"/>
        <v>2.5918275031720832E-2</v>
      </c>
      <c r="T16" t="b">
        <f t="shared" si="5"/>
        <v>1</v>
      </c>
      <c r="U16" t="b">
        <f t="shared" si="6"/>
        <v>1</v>
      </c>
    </row>
    <row r="17" spans="1:21" x14ac:dyDescent="0.35">
      <c r="A17" t="str">
        <f t="shared" si="1"/>
        <v>Andrade Gutierrez4159342019</v>
      </c>
      <c r="B17" s="43" t="s">
        <v>78</v>
      </c>
      <c r="C17" s="28">
        <v>41593</v>
      </c>
      <c r="D17" s="28">
        <v>42019</v>
      </c>
      <c r="E17" s="14">
        <f>NETWORKDAYS($C17,$D17,Feriados!$A$2:$A$1189)</f>
        <v>294</v>
      </c>
      <c r="F17" s="14">
        <f t="shared" si="2"/>
        <v>420</v>
      </c>
      <c r="G17" s="43" t="s">
        <v>41</v>
      </c>
      <c r="H17" s="47">
        <v>1.07</v>
      </c>
      <c r="I17" s="48">
        <v>89139.36</v>
      </c>
      <c r="J17" s="49">
        <v>42005</v>
      </c>
      <c r="K17" s="18">
        <f>NETWORKDAYS($C17,$J17,Feriados!$A$2:$A$1189)</f>
        <v>284</v>
      </c>
      <c r="L17" s="48">
        <v>86718.43</v>
      </c>
      <c r="M17" s="49">
        <v>42095</v>
      </c>
      <c r="N17" s="18">
        <f>NETWORKDAYS($C17,$M17,Feriados!$A$2:$A$1189)</f>
        <v>346</v>
      </c>
      <c r="O17" s="17">
        <f t="shared" si="3"/>
        <v>88744.364753049696</v>
      </c>
      <c r="P17" s="25">
        <f t="shared" si="0"/>
        <v>0.10777294880615096</v>
      </c>
      <c r="Q17" s="9">
        <f t="shared" si="4"/>
        <v>7.5441064164305741E-3</v>
      </c>
      <c r="T17" t="b">
        <f t="shared" si="5"/>
        <v>1</v>
      </c>
      <c r="U17" t="b">
        <f t="shared" si="6"/>
        <v>1</v>
      </c>
    </row>
    <row r="18" spans="1:21" x14ac:dyDescent="0.35">
      <c r="A18" t="str">
        <f t="shared" si="1"/>
        <v>Andrade Gutierrez4125341983</v>
      </c>
      <c r="B18" s="43" t="s">
        <v>78</v>
      </c>
      <c r="C18" s="28">
        <v>41253</v>
      </c>
      <c r="D18" s="28">
        <v>41983</v>
      </c>
      <c r="E18" s="14">
        <f>NETWORKDAYS($C18,$D18,Feriados!$A$2:$A$1189)</f>
        <v>507</v>
      </c>
      <c r="F18" s="14">
        <f t="shared" si="2"/>
        <v>720</v>
      </c>
      <c r="G18" s="43" t="s">
        <v>41</v>
      </c>
      <c r="H18" s="47">
        <v>1.07</v>
      </c>
      <c r="I18" s="48">
        <v>87888.81</v>
      </c>
      <c r="J18" s="49">
        <v>41913</v>
      </c>
      <c r="K18" s="18">
        <f>NETWORKDAYS($C18,$J18,Feriados!$A$2:$A$1189)</f>
        <v>457</v>
      </c>
      <c r="L18" s="48">
        <v>85963.25</v>
      </c>
      <c r="M18" s="49">
        <v>42005</v>
      </c>
      <c r="N18" s="18">
        <f>NETWORKDAYS($C18,$M18,Feriados!$A$2:$A$1189)</f>
        <v>521</v>
      </c>
      <c r="O18" s="17">
        <f t="shared" si="3"/>
        <v>86380.828907408737</v>
      </c>
      <c r="P18" s="25">
        <f t="shared" si="0"/>
        <v>7.5482138586093317E-2</v>
      </c>
      <c r="Q18" s="9">
        <f t="shared" si="4"/>
        <v>5.2837497010265371E-3</v>
      </c>
      <c r="T18" t="b">
        <f t="shared" si="5"/>
        <v>1</v>
      </c>
      <c r="U18" t="b">
        <f t="shared" si="6"/>
        <v>1</v>
      </c>
    </row>
    <row r="19" spans="1:21" x14ac:dyDescent="0.35">
      <c r="A19" t="str">
        <f t="shared" si="1"/>
        <v>Andrade Gutierrez4162542355</v>
      </c>
      <c r="B19" s="43" t="s">
        <v>78</v>
      </c>
      <c r="C19" s="28">
        <v>41625</v>
      </c>
      <c r="D19" s="28">
        <v>42355</v>
      </c>
      <c r="E19" s="14">
        <f>NETWORKDAYS($C19,$D19,Feriados!$A$2:$A$1189)</f>
        <v>504</v>
      </c>
      <c r="F19" s="14">
        <f t="shared" si="2"/>
        <v>720</v>
      </c>
      <c r="G19" s="43" t="s">
        <v>41</v>
      </c>
      <c r="H19" s="47">
        <v>1.0859999999999999</v>
      </c>
      <c r="I19" s="48">
        <v>82625.16</v>
      </c>
      <c r="J19" s="49">
        <v>42278</v>
      </c>
      <c r="K19" s="18">
        <f>NETWORKDAYS($C19,$J19,Feriados!$A$2:$A$1189)</f>
        <v>451</v>
      </c>
      <c r="L19" s="48">
        <v>80167.77</v>
      </c>
      <c r="M19" s="49">
        <v>42370</v>
      </c>
      <c r="N19" s="18">
        <f>NETWORKDAYS($C19,$M19,Feriados!$A$2:$A$1189)</f>
        <v>513</v>
      </c>
      <c r="O19" s="17">
        <f t="shared" si="3"/>
        <v>80519.900965653957</v>
      </c>
      <c r="P19" s="25">
        <f t="shared" si="0"/>
        <v>0.11441868206132511</v>
      </c>
      <c r="Q19" s="9">
        <f t="shared" si="4"/>
        <v>9.840006657273942E-3</v>
      </c>
      <c r="T19" t="b">
        <f t="shared" si="5"/>
        <v>1</v>
      </c>
      <c r="U19" t="b">
        <f t="shared" si="6"/>
        <v>1</v>
      </c>
    </row>
    <row r="20" spans="1:21" x14ac:dyDescent="0.35">
      <c r="A20" t="str">
        <f t="shared" si="1"/>
        <v>Andrade Gutierrez4196243058</v>
      </c>
      <c r="B20" s="43" t="s">
        <v>78</v>
      </c>
      <c r="C20" s="28">
        <v>41962</v>
      </c>
      <c r="D20" s="28">
        <v>43058</v>
      </c>
      <c r="E20" s="14">
        <f>NETWORKDAYS($C20,$D20,Feriados!$A$2:$A$1189)</f>
        <v>751</v>
      </c>
      <c r="F20" s="14">
        <f t="shared" si="2"/>
        <v>1080</v>
      </c>
      <c r="G20" s="43" t="s">
        <v>41</v>
      </c>
      <c r="H20" s="47">
        <v>1.24</v>
      </c>
      <c r="I20" s="48">
        <v>71295.48</v>
      </c>
      <c r="J20" s="49">
        <v>43009</v>
      </c>
      <c r="K20" s="18">
        <f>NETWORKDAYS($C20,$J20,Feriados!$A$2:$A$1189)</f>
        <v>719</v>
      </c>
      <c r="L20" s="48">
        <v>69297.119999999995</v>
      </c>
      <c r="M20" s="49">
        <v>43101</v>
      </c>
      <c r="N20" s="18">
        <f>NETWORKDAYS($C20,$M20,Feriados!$A$2:$A$1189)</f>
        <v>780</v>
      </c>
      <c r="O20" s="17">
        <f t="shared" si="3"/>
        <v>70240.077378388843</v>
      </c>
      <c r="P20" s="25">
        <f t="shared" si="0"/>
        <v>0.12584553000931664</v>
      </c>
      <c r="Q20" s="9">
        <f t="shared" si="4"/>
        <v>3.0202927202235993E-2</v>
      </c>
      <c r="T20" t="b">
        <f t="shared" si="5"/>
        <v>1</v>
      </c>
      <c r="U20" t="b">
        <f t="shared" si="6"/>
        <v>1</v>
      </c>
    </row>
    <row r="21" spans="1:21" x14ac:dyDescent="0.35">
      <c r="A21" t="str">
        <f t="shared" si="1"/>
        <v>Andrade Gutierrez4332745884</v>
      </c>
      <c r="B21" s="43" t="s">
        <v>78</v>
      </c>
      <c r="C21" s="28">
        <v>43327</v>
      </c>
      <c r="D21" s="28">
        <v>45884</v>
      </c>
      <c r="E21" s="14">
        <f>NETWORKDAYS($C21,$D21,Feriados!$A$2:$A$1189)</f>
        <v>1759</v>
      </c>
      <c r="F21" s="14">
        <f t="shared" si="2"/>
        <v>2520</v>
      </c>
      <c r="G21" s="43" t="s">
        <v>41</v>
      </c>
      <c r="H21" s="47">
        <v>1.35</v>
      </c>
      <c r="I21" s="48">
        <v>47379.72</v>
      </c>
      <c r="J21" s="49">
        <v>45839</v>
      </c>
      <c r="K21" s="18">
        <f>NETWORKDAYS($C21,$J21,Feriados!$A$2:$A$1189)</f>
        <v>1726</v>
      </c>
      <c r="L21" s="48">
        <v>44513.41</v>
      </c>
      <c r="M21" s="49">
        <v>46023</v>
      </c>
      <c r="N21" s="18">
        <f>NETWORKDAYS($C21,$M21,Feriados!$A$2:$A$1189)</f>
        <v>1856</v>
      </c>
      <c r="O21" s="17">
        <f t="shared" si="3"/>
        <v>46635.092944818796</v>
      </c>
      <c r="P21" s="25">
        <f t="shared" si="0"/>
        <v>0.11547865302554072</v>
      </c>
      <c r="Q21" s="9">
        <f t="shared" si="4"/>
        <v>4.0417528558939264E-2</v>
      </c>
      <c r="T21" t="b">
        <f t="shared" si="5"/>
        <v>1</v>
      </c>
      <c r="U21" t="b">
        <f t="shared" si="6"/>
        <v>1</v>
      </c>
    </row>
    <row r="22" spans="1:21" x14ac:dyDescent="0.35">
      <c r="A22" t="str">
        <f t="shared" si="1"/>
        <v>Azul Linhas Aéreas4070941805</v>
      </c>
      <c r="B22" s="43" t="s">
        <v>96</v>
      </c>
      <c r="C22" s="28">
        <v>40709</v>
      </c>
      <c r="D22" s="28">
        <v>41805</v>
      </c>
      <c r="E22" s="14">
        <f>NETWORKDAYS($C22,$D22,Feriados!$A$2:$A$1189)</f>
        <v>754</v>
      </c>
      <c r="F22" s="14">
        <f t="shared" si="2"/>
        <v>1080</v>
      </c>
      <c r="G22" s="43" t="s">
        <v>41</v>
      </c>
      <c r="H22" s="47">
        <v>1.24</v>
      </c>
      <c r="I22" s="48">
        <v>72263.199999999997</v>
      </c>
      <c r="J22" s="49">
        <v>41730</v>
      </c>
      <c r="K22" s="18">
        <f>NETWORKDAYS($C22,$J22,Feriados!$A$2:$A$1189)</f>
        <v>704</v>
      </c>
      <c r="L22" s="48">
        <v>70254.679999999993</v>
      </c>
      <c r="M22" s="49">
        <v>41821</v>
      </c>
      <c r="N22" s="18">
        <f>NETWORKDAYS($C22,$M22,Feriados!$A$2:$A$1189)</f>
        <v>765</v>
      </c>
      <c r="O22" s="17">
        <f t="shared" si="3"/>
        <v>70612.70051756165</v>
      </c>
      <c r="P22" s="25">
        <f t="shared" si="0"/>
        <v>0.12332650641531151</v>
      </c>
      <c r="Q22" s="9">
        <f t="shared" si="4"/>
        <v>2.959836153967476E-2</v>
      </c>
      <c r="T22" t="b">
        <f t="shared" si="5"/>
        <v>1</v>
      </c>
      <c r="U22" t="b">
        <f t="shared" si="6"/>
        <v>1</v>
      </c>
    </row>
    <row r="23" spans="1:21" x14ac:dyDescent="0.35">
      <c r="A23" t="str">
        <f t="shared" si="1"/>
        <v>Azul Linhas Aéreas4117742272</v>
      </c>
      <c r="B23" s="43" t="s">
        <v>96</v>
      </c>
      <c r="C23" s="28">
        <v>41177</v>
      </c>
      <c r="D23" s="28">
        <v>42272</v>
      </c>
      <c r="E23" s="14">
        <f>NETWORKDAYS($C23,$D23,Feriados!$A$2:$A$1189)</f>
        <v>756</v>
      </c>
      <c r="F23" s="14">
        <f t="shared" si="2"/>
        <v>1080</v>
      </c>
      <c r="G23" s="43" t="s">
        <v>41</v>
      </c>
      <c r="H23" s="47">
        <v>1.27</v>
      </c>
      <c r="I23" s="48">
        <v>79716.11</v>
      </c>
      <c r="J23" s="49">
        <v>42186</v>
      </c>
      <c r="K23" s="18">
        <f>NETWORKDAYS($C23,$J23,Feriados!$A$2:$A$1189)</f>
        <v>695</v>
      </c>
      <c r="L23" s="48">
        <v>77782.17</v>
      </c>
      <c r="M23" s="49">
        <v>42278</v>
      </c>
      <c r="N23" s="18">
        <f>NETWORKDAYS($C23,$M23,Feriados!$A$2:$A$1189)</f>
        <v>760</v>
      </c>
      <c r="O23" s="17">
        <f t="shared" si="3"/>
        <v>77899.815121358799</v>
      </c>
      <c r="P23" s="25">
        <f t="shared" si="0"/>
        <v>8.6812248553426841E-2</v>
      </c>
      <c r="Q23" s="9">
        <f t="shared" si="4"/>
        <v>2.343930710942525E-2</v>
      </c>
      <c r="T23" t="b">
        <f t="shared" si="5"/>
        <v>1</v>
      </c>
      <c r="U23" t="b">
        <f t="shared" si="6"/>
        <v>1</v>
      </c>
    </row>
    <row r="24" spans="1:21" x14ac:dyDescent="0.35">
      <c r="A24" t="str">
        <f t="shared" si="1"/>
        <v>Azul Linhas Aéreas4142142396</v>
      </c>
      <c r="B24" s="43" t="s">
        <v>96</v>
      </c>
      <c r="C24" s="28">
        <v>41421</v>
      </c>
      <c r="D24" s="28">
        <v>42396</v>
      </c>
      <c r="E24" s="14">
        <f>NETWORKDAYS($C24,$D24,Feriados!$A$2:$A$1189)</f>
        <v>675</v>
      </c>
      <c r="F24" s="14">
        <f t="shared" si="2"/>
        <v>960</v>
      </c>
      <c r="G24" s="43" t="s">
        <v>41</v>
      </c>
      <c r="H24" s="47">
        <v>1.27</v>
      </c>
      <c r="I24" s="48">
        <v>79781.919999999998</v>
      </c>
      <c r="J24" s="49">
        <v>42370</v>
      </c>
      <c r="K24" s="18">
        <f>NETWORKDAYS($C24,$J24,Feriados!$A$2:$A$1189)</f>
        <v>657</v>
      </c>
      <c r="L24" s="48">
        <v>77983.490000000005</v>
      </c>
      <c r="M24" s="49">
        <v>42461</v>
      </c>
      <c r="N24" s="18">
        <f>NETWORKDAYS($C24,$M24,Feriados!$A$2:$A$1189)</f>
        <v>719</v>
      </c>
      <c r="O24" s="17">
        <f t="shared" si="3"/>
        <v>79255.564351177192</v>
      </c>
      <c r="P24" s="25">
        <f t="shared" si="0"/>
        <v>9.0675493981298594E-2</v>
      </c>
      <c r="Q24" s="9">
        <f t="shared" si="4"/>
        <v>2.4482383374950623E-2</v>
      </c>
      <c r="T24" t="b">
        <f t="shared" si="5"/>
        <v>1</v>
      </c>
      <c r="U24" t="b">
        <f t="shared" si="6"/>
        <v>1</v>
      </c>
    </row>
    <row r="25" spans="1:21" x14ac:dyDescent="0.35">
      <c r="A25" t="str">
        <f t="shared" si="1"/>
        <v>Azul Linhas Aéreas4169842914</v>
      </c>
      <c r="B25" s="43" t="s">
        <v>96</v>
      </c>
      <c r="C25" s="28">
        <v>41698</v>
      </c>
      <c r="D25" s="28">
        <v>42914</v>
      </c>
      <c r="E25" s="14">
        <f>NETWORKDAYS($C25,$D25,Feriados!$A$2:$A$1189)</f>
        <v>835</v>
      </c>
      <c r="F25" s="14">
        <f t="shared" si="2"/>
        <v>1198</v>
      </c>
      <c r="G25" s="43" t="s">
        <v>41</v>
      </c>
      <c r="H25" s="47">
        <v>1.27</v>
      </c>
      <c r="I25" s="48">
        <v>69952.429999999993</v>
      </c>
      <c r="J25" s="49">
        <v>42826</v>
      </c>
      <c r="K25" s="18">
        <f>NETWORKDAYS($C25,$J25,Feriados!$A$2:$A$1189)</f>
        <v>776</v>
      </c>
      <c r="L25" s="48">
        <v>67924.289999999994</v>
      </c>
      <c r="M25" s="49">
        <v>42917</v>
      </c>
      <c r="N25" s="18">
        <f>NETWORKDAYS($C25,$M25,Feriados!$A$2:$A$1189)</f>
        <v>837</v>
      </c>
      <c r="O25" s="17">
        <f t="shared" si="3"/>
        <v>67989.844583929138</v>
      </c>
      <c r="P25" s="25">
        <f t="shared" si="0"/>
        <v>0.12348630844675434</v>
      </c>
      <c r="Q25" s="9">
        <f t="shared" si="4"/>
        <v>3.3341303280623673E-2</v>
      </c>
      <c r="T25" t="b">
        <f t="shared" si="5"/>
        <v>1</v>
      </c>
      <c r="U25" t="b">
        <f t="shared" si="6"/>
        <v>1</v>
      </c>
    </row>
    <row r="26" spans="1:21" x14ac:dyDescent="0.35">
      <c r="A26" t="str">
        <f t="shared" si="1"/>
        <v>Azul Linhas Aéreas4190143727</v>
      </c>
      <c r="B26" s="43" t="s">
        <v>96</v>
      </c>
      <c r="C26" s="28">
        <v>41901</v>
      </c>
      <c r="D26" s="28">
        <v>43727</v>
      </c>
      <c r="E26" s="14">
        <f>NETWORKDAYS($C26,$D26,Feriados!$A$2:$A$1189)</f>
        <v>1255</v>
      </c>
      <c r="F26" s="14">
        <f t="shared" si="2"/>
        <v>1800</v>
      </c>
      <c r="G26" s="43" t="s">
        <v>41</v>
      </c>
      <c r="H26" s="47">
        <v>1.27</v>
      </c>
      <c r="I26" s="48">
        <v>59122.61</v>
      </c>
      <c r="J26" s="49">
        <v>43647</v>
      </c>
      <c r="K26" s="18">
        <f>NETWORKDAYS($C26,$J26,Feriados!$A$2:$A$1189)</f>
        <v>1197</v>
      </c>
      <c r="L26" s="48">
        <v>57556.29</v>
      </c>
      <c r="M26" s="49">
        <v>43739</v>
      </c>
      <c r="N26" s="18">
        <f>NETWORKDAYS($C26,$M26,Feriados!$A$2:$A$1189)</f>
        <v>1263</v>
      </c>
      <c r="O26" s="17">
        <f t="shared" si="3"/>
        <v>57743.914696886372</v>
      </c>
      <c r="P26" s="25">
        <f t="shared" si="0"/>
        <v>0.1165772893269299</v>
      </c>
      <c r="Q26" s="9">
        <f t="shared" si="4"/>
        <v>3.1475868118271078E-2</v>
      </c>
      <c r="T26" t="b">
        <f t="shared" si="5"/>
        <v>1</v>
      </c>
      <c r="U26" t="b">
        <f t="shared" si="6"/>
        <v>1</v>
      </c>
    </row>
    <row r="27" spans="1:21" x14ac:dyDescent="0.35">
      <c r="A27" t="str">
        <f t="shared" si="1"/>
        <v>Azul Linhas Aéreas4209342916</v>
      </c>
      <c r="B27" s="43" t="s">
        <v>96</v>
      </c>
      <c r="C27" s="28">
        <v>42093</v>
      </c>
      <c r="D27" s="28">
        <v>42916</v>
      </c>
      <c r="E27" s="14">
        <f>NETWORKDAYS($C27,$D27,Feriados!$A$2:$A$1189)</f>
        <v>566</v>
      </c>
      <c r="F27" s="14">
        <f t="shared" si="2"/>
        <v>810</v>
      </c>
      <c r="G27" s="43" t="s">
        <v>41</v>
      </c>
      <c r="H27" s="47">
        <v>1.18</v>
      </c>
      <c r="I27" s="48">
        <v>77669.45</v>
      </c>
      <c r="J27" s="49">
        <v>42826</v>
      </c>
      <c r="K27" s="18">
        <f>NETWORKDAYS($C27,$J27,Feriados!$A$2:$A$1189)</f>
        <v>505</v>
      </c>
      <c r="L27" s="48">
        <v>73120.98</v>
      </c>
      <c r="M27" s="49">
        <v>43009</v>
      </c>
      <c r="N27" s="18">
        <f>NETWORKDAYS($C27,$M27,Feriados!$A$2:$A$1189)</f>
        <v>630</v>
      </c>
      <c r="O27" s="17">
        <f t="shared" si="3"/>
        <v>75415.500098221819</v>
      </c>
      <c r="P27" s="25">
        <f t="shared" si="0"/>
        <v>0.13385670159737528</v>
      </c>
      <c r="Q27" s="9">
        <f t="shared" si="4"/>
        <v>2.4094206287527543E-2</v>
      </c>
      <c r="T27" t="b">
        <f t="shared" si="5"/>
        <v>1</v>
      </c>
      <c r="U27" t="b">
        <f t="shared" si="6"/>
        <v>1</v>
      </c>
    </row>
    <row r="28" spans="1:21" x14ac:dyDescent="0.35">
      <c r="A28" t="str">
        <f t="shared" si="1"/>
        <v>Cemig4308444727</v>
      </c>
      <c r="B28" s="43" t="s">
        <v>137</v>
      </c>
      <c r="C28" s="28">
        <v>43084</v>
      </c>
      <c r="D28" s="28">
        <v>44727</v>
      </c>
      <c r="E28" s="14">
        <f>NETWORKDAYS($C28,$D28,Feriados!$A$2:$A$1189)</f>
        <v>1129</v>
      </c>
      <c r="F28" s="14">
        <f t="shared" si="2"/>
        <v>1620</v>
      </c>
      <c r="G28" s="43" t="s">
        <v>41</v>
      </c>
      <c r="H28" s="47">
        <v>1.4650000000000001</v>
      </c>
      <c r="I28" s="48">
        <v>66529.03</v>
      </c>
      <c r="J28" s="49">
        <v>44652</v>
      </c>
      <c r="K28" s="18">
        <f>NETWORKDAYS($C28,$J28,Feriados!$A$2:$A$1189)</f>
        <v>1078</v>
      </c>
      <c r="L28" s="48">
        <v>64680.21</v>
      </c>
      <c r="M28" s="49">
        <v>44743</v>
      </c>
      <c r="N28" s="18">
        <f>NETWORKDAYS($C28,$M28,Feriados!$A$2:$A$1189)</f>
        <v>1140</v>
      </c>
      <c r="O28" s="17">
        <f t="shared" si="3"/>
        <v>65004.435826958426</v>
      </c>
      <c r="P28" s="25">
        <f t="shared" si="0"/>
        <v>0.10091126794253968</v>
      </c>
      <c r="Q28" s="9">
        <f t="shared" si="4"/>
        <v>4.6923739593280958E-2</v>
      </c>
      <c r="T28" t="b">
        <f t="shared" si="5"/>
        <v>1</v>
      </c>
      <c r="U28" t="b">
        <f t="shared" si="6"/>
        <v>1</v>
      </c>
    </row>
    <row r="29" spans="1:21" x14ac:dyDescent="0.35">
      <c r="A29" t="str">
        <f t="shared" si="1"/>
        <v>Cemig4272744553</v>
      </c>
      <c r="B29" s="43" t="s">
        <v>137</v>
      </c>
      <c r="C29" s="28">
        <v>42727</v>
      </c>
      <c r="D29" s="28">
        <v>44553</v>
      </c>
      <c r="E29" s="14">
        <f>NETWORKDAYS($C29,$D29,Feriados!$A$2:$A$1189)</f>
        <v>1254</v>
      </c>
      <c r="F29" s="14">
        <f t="shared" si="2"/>
        <v>1800</v>
      </c>
      <c r="G29" s="43" t="s">
        <v>41</v>
      </c>
      <c r="H29" s="47">
        <v>1.4</v>
      </c>
      <c r="I29" s="48">
        <v>59548.51</v>
      </c>
      <c r="J29" s="49">
        <v>44470</v>
      </c>
      <c r="K29" s="18">
        <f>NETWORKDAYS($C29,$J29,Feriados!$A$2:$A$1189)</f>
        <v>1198</v>
      </c>
      <c r="L29" s="48">
        <v>57896.480000000003</v>
      </c>
      <c r="M29" s="49">
        <v>44562</v>
      </c>
      <c r="N29" s="18">
        <f>NETWORKDAYS($C29,$M29,Feriados!$A$2:$A$1189)</f>
        <v>1260</v>
      </c>
      <c r="O29" s="17">
        <f t="shared" si="3"/>
        <v>58054.330208831881</v>
      </c>
      <c r="P29" s="25">
        <f t="shared" si="0"/>
        <v>0.11547302351488131</v>
      </c>
      <c r="Q29" s="9">
        <f t="shared" si="4"/>
        <v>4.6189209405952517E-2</v>
      </c>
      <c r="T29" t="b">
        <f t="shared" si="5"/>
        <v>1</v>
      </c>
      <c r="U29" t="b">
        <f t="shared" si="6"/>
        <v>1</v>
      </c>
    </row>
    <row r="30" spans="1:21" x14ac:dyDescent="0.35">
      <c r="A30" t="str">
        <f t="shared" si="1"/>
        <v>Cemig4284743577</v>
      </c>
      <c r="B30" s="43" t="s">
        <v>137</v>
      </c>
      <c r="C30" s="28">
        <v>42847</v>
      </c>
      <c r="D30" s="28">
        <v>43577</v>
      </c>
      <c r="E30" s="14">
        <f>NETWORKDAYS($C30,$D30,Feriados!$A$2:$A$1189)</f>
        <v>499</v>
      </c>
      <c r="F30" s="14">
        <f t="shared" si="2"/>
        <v>720</v>
      </c>
      <c r="G30" s="43" t="s">
        <v>41</v>
      </c>
      <c r="H30" s="47">
        <v>1.2849999999999999</v>
      </c>
      <c r="I30" s="48">
        <v>84121.98</v>
      </c>
      <c r="J30" s="49">
        <v>43556</v>
      </c>
      <c r="K30" s="18">
        <f>NETWORKDAYS($C30,$J30,Feriados!$A$2:$A$1189)</f>
        <v>485</v>
      </c>
      <c r="L30" s="48">
        <v>82149.09</v>
      </c>
      <c r="M30" s="49">
        <v>43647</v>
      </c>
      <c r="N30" s="18">
        <f>NETWORKDAYS($C30,$M30,Feriados!$A$2:$A$1189)</f>
        <v>547</v>
      </c>
      <c r="O30" s="17">
        <f t="shared" si="3"/>
        <v>83672.387303777577</v>
      </c>
      <c r="P30" s="25">
        <f t="shared" si="0"/>
        <v>9.4200187339667174E-2</v>
      </c>
      <c r="Q30" s="9">
        <f t="shared" si="4"/>
        <v>2.6847053391805136E-2</v>
      </c>
      <c r="T30" t="b">
        <f t="shared" si="5"/>
        <v>1</v>
      </c>
      <c r="U30" t="b">
        <f t="shared" si="6"/>
        <v>1</v>
      </c>
    </row>
    <row r="31" spans="1:21" x14ac:dyDescent="0.35">
      <c r="A31" t="str">
        <f t="shared" si="1"/>
        <v>Cielo4210743203</v>
      </c>
      <c r="B31" s="43" t="s">
        <v>167</v>
      </c>
      <c r="C31" s="28">
        <v>42107</v>
      </c>
      <c r="D31" s="28">
        <v>43203</v>
      </c>
      <c r="E31" s="14">
        <f>NETWORKDAYS($C31,$D31,Feriados!$A$2:$A$1189)</f>
        <v>753</v>
      </c>
      <c r="F31" s="14">
        <f t="shared" si="2"/>
        <v>1080</v>
      </c>
      <c r="G31" s="43" t="s">
        <v>41</v>
      </c>
      <c r="H31" s="47">
        <v>1.0580000000000001</v>
      </c>
      <c r="I31" s="48">
        <v>69993.259999999995</v>
      </c>
      <c r="J31" s="49">
        <v>43191</v>
      </c>
      <c r="K31" s="18">
        <f>NETWORKDAYS($C31,$J31,Feriados!$A$2:$A$1189)</f>
        <v>743</v>
      </c>
      <c r="L31" s="48">
        <v>67951.87</v>
      </c>
      <c r="M31" s="49">
        <v>43282</v>
      </c>
      <c r="N31" s="18">
        <f>NETWORKDAYS($C31,$M31,Feriados!$A$2:$A$1189)</f>
        <v>806</v>
      </c>
      <c r="O31" s="17">
        <f t="shared" si="3"/>
        <v>69665.181960764283</v>
      </c>
      <c r="P31" s="25">
        <f t="shared" si="0"/>
        <v>0.12859092326913024</v>
      </c>
      <c r="Q31" s="9">
        <f t="shared" si="4"/>
        <v>7.4582735496095606E-3</v>
      </c>
      <c r="T31" t="b">
        <f t="shared" si="5"/>
        <v>1</v>
      </c>
      <c r="U31" t="b">
        <f t="shared" si="6"/>
        <v>1</v>
      </c>
    </row>
    <row r="32" spans="1:21" x14ac:dyDescent="0.35">
      <c r="A32" t="str">
        <f t="shared" si="1"/>
        <v>Cielo4363444412</v>
      </c>
      <c r="B32" s="43" t="s">
        <v>167</v>
      </c>
      <c r="C32" s="28">
        <v>43634</v>
      </c>
      <c r="D32" s="28">
        <v>44412</v>
      </c>
      <c r="E32" s="14">
        <f>NETWORKDAYS($C32,$D32,Feriados!$A$2:$A$1189)</f>
        <v>537</v>
      </c>
      <c r="F32" s="14">
        <f t="shared" si="2"/>
        <v>766</v>
      </c>
      <c r="G32" s="43" t="s">
        <v>41</v>
      </c>
      <c r="H32" s="47">
        <v>1.038</v>
      </c>
      <c r="I32" s="48">
        <v>88377.19</v>
      </c>
      <c r="J32" s="49">
        <v>44378</v>
      </c>
      <c r="K32" s="18">
        <f>NETWORKDAYS($C32,$J32,Feriados!$A$2:$A$1189)</f>
        <v>513</v>
      </c>
      <c r="L32" s="48">
        <v>86721.21</v>
      </c>
      <c r="M32" s="49">
        <v>44470</v>
      </c>
      <c r="N32" s="18">
        <f>NETWORKDAYS($C32,$M32,Feriados!$A$2:$A$1189)</f>
        <v>578</v>
      </c>
      <c r="O32" s="17">
        <f t="shared" si="3"/>
        <v>87762.100630764806</v>
      </c>
      <c r="P32" s="25">
        <f t="shared" si="0"/>
        <v>6.3174451362243644E-2</v>
      </c>
      <c r="Q32" s="9">
        <f t="shared" si="4"/>
        <v>2.4006291517652606E-3</v>
      </c>
      <c r="T32" t="b">
        <f t="shared" si="5"/>
        <v>1</v>
      </c>
      <c r="U32" t="b">
        <f t="shared" si="6"/>
        <v>1</v>
      </c>
    </row>
    <row r="33" spans="1:21" x14ac:dyDescent="0.35">
      <c r="A33" t="str">
        <f t="shared" si="1"/>
        <v>Cosan4118343374</v>
      </c>
      <c r="B33" s="43" t="s">
        <v>174</v>
      </c>
      <c r="C33" s="28">
        <v>41183</v>
      </c>
      <c r="D33" s="28">
        <v>43374</v>
      </c>
      <c r="E33" s="14">
        <f>NETWORKDAYS($C33,$D33,Feriados!$A$2:$A$1189)</f>
        <v>1507</v>
      </c>
      <c r="F33" s="14">
        <f t="shared" si="2"/>
        <v>2160</v>
      </c>
      <c r="G33" s="43" t="s">
        <v>41</v>
      </c>
      <c r="H33" s="47">
        <v>1.23</v>
      </c>
      <c r="I33" s="48">
        <v>60049.13</v>
      </c>
      <c r="J33" s="49">
        <v>43282</v>
      </c>
      <c r="K33" s="18">
        <f>NETWORKDAYS($C33,$J33,Feriados!$A$2:$A$1189)</f>
        <v>1442</v>
      </c>
      <c r="L33" s="48">
        <v>57177.55</v>
      </c>
      <c r="M33" s="49">
        <v>43466</v>
      </c>
      <c r="N33" s="18">
        <f>NETWORKDAYS($C33,$M33,Feriados!$A$2:$A$1189)</f>
        <v>1568</v>
      </c>
      <c r="O33" s="17">
        <f t="shared" si="3"/>
        <v>58550.193479439986</v>
      </c>
      <c r="P33" s="25">
        <f t="shared" si="0"/>
        <v>9.3638595802390867E-2</v>
      </c>
      <c r="Q33" s="9">
        <f t="shared" si="4"/>
        <v>2.1536877034549897E-2</v>
      </c>
      <c r="T33" t="b">
        <f t="shared" si="5"/>
        <v>1</v>
      </c>
      <c r="U33" t="b">
        <f t="shared" si="6"/>
        <v>1</v>
      </c>
    </row>
    <row r="34" spans="1:21" x14ac:dyDescent="0.35">
      <c r="A34" t="str">
        <f t="shared" si="1"/>
        <v>Cosan4118344105</v>
      </c>
      <c r="B34" s="43" t="s">
        <v>174</v>
      </c>
      <c r="C34" s="28">
        <v>41183</v>
      </c>
      <c r="D34" s="28">
        <v>44105</v>
      </c>
      <c r="E34" s="14">
        <f>NETWORKDAYS($C34,$D34,Feriados!$A$2:$A$1189)</f>
        <v>2010</v>
      </c>
      <c r="F34" s="14">
        <f t="shared" si="2"/>
        <v>2880</v>
      </c>
      <c r="G34" s="43" t="s">
        <v>41</v>
      </c>
      <c r="H34" s="47">
        <v>1.23</v>
      </c>
      <c r="I34" s="48">
        <v>49104.07</v>
      </c>
      <c r="J34" s="49">
        <v>44013</v>
      </c>
      <c r="K34" s="18">
        <f>NETWORKDAYS($C34,$J34,Feriados!$A$2:$A$1189)</f>
        <v>1945</v>
      </c>
      <c r="L34" s="48">
        <v>46710.25</v>
      </c>
      <c r="M34" s="49">
        <v>44197</v>
      </c>
      <c r="N34" s="18">
        <f>NETWORKDAYS($C34,$M34,Feriados!$A$2:$A$1189)</f>
        <v>2072</v>
      </c>
      <c r="O34" s="17">
        <f t="shared" si="3"/>
        <v>47863.943717530026</v>
      </c>
      <c r="P34" s="25">
        <f t="shared" ref="P34:P64" si="7">IFERROR(($R$1/$O34)^(252/$E34)-1,"NA")</f>
        <v>9.6777013731843775E-2</v>
      </c>
      <c r="Q34" s="9">
        <f t="shared" si="4"/>
        <v>2.2258713158324065E-2</v>
      </c>
      <c r="T34" t="b">
        <f t="shared" si="5"/>
        <v>1</v>
      </c>
      <c r="U34" t="b">
        <f t="shared" si="6"/>
        <v>1</v>
      </c>
    </row>
    <row r="35" spans="1:21" x14ac:dyDescent="0.35">
      <c r="A35" t="str">
        <f t="shared" si="1"/>
        <v>Cosan4352444255</v>
      </c>
      <c r="B35" s="43" t="s">
        <v>174</v>
      </c>
      <c r="C35" s="28">
        <v>43524</v>
      </c>
      <c r="D35" s="28">
        <v>44255</v>
      </c>
      <c r="E35" s="14">
        <f>NETWORKDAYS($C35,$D35,Feriados!$A$2:$A$1189)</f>
        <v>501</v>
      </c>
      <c r="F35" s="14">
        <f t="shared" si="2"/>
        <v>718</v>
      </c>
      <c r="G35" s="43" t="s">
        <v>41</v>
      </c>
      <c r="H35" s="47">
        <v>1.06</v>
      </c>
      <c r="I35" s="48">
        <v>88083.66</v>
      </c>
      <c r="J35" s="49">
        <v>44197</v>
      </c>
      <c r="K35" s="18">
        <f>NETWORKDAYS($C35,$J35,Feriados!$A$2:$A$1189)</f>
        <v>463</v>
      </c>
      <c r="L35" s="48">
        <v>86304.89</v>
      </c>
      <c r="M35" s="49">
        <v>44287</v>
      </c>
      <c r="N35" s="18">
        <f>NETWORKDAYS($C35,$M35,Feriados!$A$2:$A$1189)</f>
        <v>525</v>
      </c>
      <c r="O35" s="17">
        <f t="shared" si="3"/>
        <v>86989.144717373871</v>
      </c>
      <c r="P35" s="25">
        <f t="shared" si="7"/>
        <v>7.2626968257359703E-2</v>
      </c>
      <c r="Q35" s="9">
        <f t="shared" si="4"/>
        <v>4.3576180954415858E-3</v>
      </c>
      <c r="T35" t="b">
        <f t="shared" si="5"/>
        <v>1</v>
      </c>
      <c r="U35" t="b">
        <f t="shared" si="6"/>
        <v>1</v>
      </c>
    </row>
    <row r="36" spans="1:21" x14ac:dyDescent="0.35">
      <c r="A36" t="str">
        <f t="shared" si="1"/>
        <v>Energisa4302344849</v>
      </c>
      <c r="B36" s="43" t="s">
        <v>219</v>
      </c>
      <c r="C36" s="28">
        <v>43023</v>
      </c>
      <c r="D36" s="28">
        <v>44849</v>
      </c>
      <c r="E36" s="14">
        <f>NETWORKDAYS($C36,$D36,Feriados!$A$2:$A$1189)</f>
        <v>1255</v>
      </c>
      <c r="F36" s="14">
        <f t="shared" si="2"/>
        <v>1800</v>
      </c>
      <c r="G36" s="43" t="s">
        <v>41</v>
      </c>
      <c r="H36" s="47">
        <v>1.0774999999999999</v>
      </c>
      <c r="I36" s="48">
        <v>63401.74</v>
      </c>
      <c r="J36" s="49">
        <v>44835</v>
      </c>
      <c r="K36" s="18">
        <f>NETWORKDAYS($C36,$J36,Feriados!$A$2:$A$1189)</f>
        <v>1246</v>
      </c>
      <c r="L36" s="48">
        <v>61816.3</v>
      </c>
      <c r="M36" s="49">
        <v>44927</v>
      </c>
      <c r="N36" s="18">
        <f>NETWORKDAYS($C36,$M36,Feriados!$A$2:$A$1189)</f>
        <v>1308</v>
      </c>
      <c r="O36" s="17">
        <f t="shared" si="3"/>
        <v>63169.096940148644</v>
      </c>
      <c r="P36" s="25">
        <f t="shared" si="7"/>
        <v>9.6624708092667211E-2</v>
      </c>
      <c r="Q36" s="9">
        <f t="shared" si="4"/>
        <v>7.4884148771816993E-3</v>
      </c>
      <c r="T36" t="b">
        <f t="shared" si="5"/>
        <v>1</v>
      </c>
      <c r="U36" t="b">
        <f t="shared" si="6"/>
        <v>1</v>
      </c>
    </row>
    <row r="37" spans="1:21" x14ac:dyDescent="0.35">
      <c r="A37" t="str">
        <f t="shared" si="1"/>
        <v>Equatorial4271943814</v>
      </c>
      <c r="B37" s="43" t="s">
        <v>221</v>
      </c>
      <c r="C37" s="28">
        <v>42719</v>
      </c>
      <c r="D37" s="28">
        <v>43814</v>
      </c>
      <c r="E37" s="14">
        <f>NETWORKDAYS($C37,$D37,Feriados!$A$2:$A$1189)</f>
        <v>753</v>
      </c>
      <c r="F37" s="14">
        <f t="shared" si="2"/>
        <v>1080</v>
      </c>
      <c r="G37" s="43" t="s">
        <v>41</v>
      </c>
      <c r="H37" s="47">
        <v>1.1599999999999999</v>
      </c>
      <c r="I37" s="48">
        <v>73704.05</v>
      </c>
      <c r="J37" s="49">
        <v>43739</v>
      </c>
      <c r="K37" s="18">
        <f>NETWORKDAYS($C37,$J37,Feriados!$A$2:$A$1189)</f>
        <v>701</v>
      </c>
      <c r="L37" s="48">
        <v>71559.72</v>
      </c>
      <c r="M37" s="49">
        <v>43831</v>
      </c>
      <c r="N37" s="18">
        <f>NETWORKDAYS($C37,$M37,Feriados!$A$2:$A$1189)</f>
        <v>764</v>
      </c>
      <c r="O37" s="17">
        <f t="shared" si="3"/>
        <v>71929.579303261839</v>
      </c>
      <c r="P37" s="25">
        <f t="shared" si="7"/>
        <v>0.11657403148532053</v>
      </c>
      <c r="Q37" s="9">
        <f t="shared" si="4"/>
        <v>1.8651845037651275E-2</v>
      </c>
      <c r="T37" t="b">
        <f t="shared" si="5"/>
        <v>1</v>
      </c>
      <c r="U37" t="b">
        <f t="shared" si="6"/>
        <v>1</v>
      </c>
    </row>
    <row r="38" spans="1:21" x14ac:dyDescent="0.35">
      <c r="A38" t="str">
        <f t="shared" si="1"/>
        <v>Gerdau4342544886</v>
      </c>
      <c r="B38" s="43" t="s">
        <v>228</v>
      </c>
      <c r="C38" s="28">
        <v>43425</v>
      </c>
      <c r="D38" s="28">
        <v>44886</v>
      </c>
      <c r="E38" s="14">
        <f>NETWORKDAYS($C38,$D38,Feriados!$A$2:$A$1189)</f>
        <v>1005</v>
      </c>
      <c r="F38" s="14">
        <f t="shared" si="2"/>
        <v>1440</v>
      </c>
      <c r="G38" s="43" t="s">
        <v>41</v>
      </c>
      <c r="H38" s="47">
        <v>1.0649999999999999</v>
      </c>
      <c r="I38" s="48">
        <v>71555.33</v>
      </c>
      <c r="J38" s="49">
        <v>44835</v>
      </c>
      <c r="K38" s="18">
        <f>NETWORKDAYS($C38,$J38,Feriados!$A$2:$A$1189)</f>
        <v>972</v>
      </c>
      <c r="L38" s="48">
        <v>69925.429999999993</v>
      </c>
      <c r="M38" s="49">
        <v>44927</v>
      </c>
      <c r="N38" s="18">
        <f>NETWORKDAYS($C38,$M38,Feriados!$A$2:$A$1189)</f>
        <v>1034</v>
      </c>
      <c r="O38" s="17">
        <f t="shared" si="3"/>
        <v>70683.128890554886</v>
      </c>
      <c r="P38" s="25">
        <f t="shared" si="7"/>
        <v>9.0896402186798175E-2</v>
      </c>
      <c r="Q38" s="9">
        <f t="shared" si="4"/>
        <v>5.908266142141877E-3</v>
      </c>
      <c r="T38" t="b">
        <f t="shared" si="5"/>
        <v>1</v>
      </c>
      <c r="U38" t="b">
        <f t="shared" si="6"/>
        <v>1</v>
      </c>
    </row>
    <row r="39" spans="1:21" x14ac:dyDescent="0.35">
      <c r="A39" t="str">
        <f t="shared" si="1"/>
        <v>Gerdau4359145052</v>
      </c>
      <c r="B39" s="43" t="s">
        <v>228</v>
      </c>
      <c r="C39" s="28">
        <v>43591</v>
      </c>
      <c r="D39" s="28">
        <v>45052</v>
      </c>
      <c r="E39" s="14">
        <f>NETWORKDAYS($C39,$D39,Feriados!$A$2:$A$1189)</f>
        <v>1007</v>
      </c>
      <c r="F39" s="14">
        <f t="shared" si="2"/>
        <v>1440</v>
      </c>
      <c r="G39" s="43" t="s">
        <v>41</v>
      </c>
      <c r="H39" s="47">
        <v>1.0549999999999999</v>
      </c>
      <c r="I39" s="48">
        <v>73341.91</v>
      </c>
      <c r="J39" s="49">
        <v>45017</v>
      </c>
      <c r="K39" s="18">
        <f>NETWORKDAYS($C39,$J39,Feriados!$A$2:$A$1189)</f>
        <v>985</v>
      </c>
      <c r="L39" s="48">
        <v>71713.14</v>
      </c>
      <c r="M39" s="49">
        <v>45108</v>
      </c>
      <c r="N39" s="18">
        <f>NETWORKDAYS($C39,$M39,Feriados!$A$2:$A$1189)</f>
        <v>1046</v>
      </c>
      <c r="O39" s="17">
        <f t="shared" si="3"/>
        <v>72750.263114796675</v>
      </c>
      <c r="P39" s="25">
        <f t="shared" si="7"/>
        <v>8.286834697507528E-2</v>
      </c>
      <c r="Q39" s="9">
        <f t="shared" si="4"/>
        <v>4.5577590836291355E-3</v>
      </c>
      <c r="T39" t="b">
        <f t="shared" si="5"/>
        <v>1</v>
      </c>
      <c r="U39" t="b">
        <f t="shared" si="6"/>
        <v>1</v>
      </c>
    </row>
    <row r="40" spans="1:21" x14ac:dyDescent="0.35">
      <c r="A40" t="str">
        <f t="shared" si="1"/>
        <v>Gerdau4359146148</v>
      </c>
      <c r="B40" s="43" t="s">
        <v>228</v>
      </c>
      <c r="C40" s="28">
        <v>43591</v>
      </c>
      <c r="D40" s="28">
        <v>46148</v>
      </c>
      <c r="E40" s="14">
        <f>NETWORKDAYS($C40,$D40,Feriados!$A$2:$A$1189)</f>
        <v>1762</v>
      </c>
      <c r="F40" s="14">
        <f t="shared" si="2"/>
        <v>2520</v>
      </c>
      <c r="G40" s="43" t="s">
        <v>41</v>
      </c>
      <c r="H40" s="47">
        <v>1.0725</v>
      </c>
      <c r="I40" s="48">
        <v>56872.49</v>
      </c>
      <c r="J40" s="49">
        <v>46023</v>
      </c>
      <c r="K40" s="18">
        <f>NETWORKDAYS($C40,$J40,Feriados!$A$2:$A$1189)</f>
        <v>1678</v>
      </c>
      <c r="L40" s="48">
        <v>54418.06</v>
      </c>
      <c r="M40" s="49">
        <v>46204</v>
      </c>
      <c r="N40" s="18">
        <f>NETWORKDAYS($C40,$M40,Feriados!$A$2:$A$1189)</f>
        <v>1801</v>
      </c>
      <c r="O40" s="17">
        <f t="shared" si="3"/>
        <v>55184.602622416671</v>
      </c>
      <c r="P40" s="25">
        <f t="shared" si="7"/>
        <v>8.8742106751646288E-2</v>
      </c>
      <c r="Q40" s="9">
        <f t="shared" si="4"/>
        <v>6.433802739494357E-3</v>
      </c>
      <c r="T40" t="b">
        <f t="shared" si="5"/>
        <v>1</v>
      </c>
      <c r="U40" t="b">
        <f t="shared" si="6"/>
        <v>1</v>
      </c>
    </row>
    <row r="41" spans="1:21" x14ac:dyDescent="0.35">
      <c r="A41" t="str">
        <f t="shared" si="1"/>
        <v>Gol Linhas Aéreas4070442896</v>
      </c>
      <c r="B41" s="43" t="s">
        <v>242</v>
      </c>
      <c r="C41" s="28">
        <v>40704</v>
      </c>
      <c r="D41" s="28">
        <v>42896</v>
      </c>
      <c r="E41" s="14">
        <f>NETWORKDAYS($C41,$D41,Feriados!$A$2:$A$1189)</f>
        <v>1509</v>
      </c>
      <c r="F41" s="14">
        <f t="shared" si="2"/>
        <v>2160</v>
      </c>
      <c r="G41" s="43" t="s">
        <v>41</v>
      </c>
      <c r="H41" s="47">
        <v>1.28</v>
      </c>
      <c r="I41" s="48">
        <v>51504.97</v>
      </c>
      <c r="J41" s="49">
        <v>42826</v>
      </c>
      <c r="K41" s="18">
        <f>NETWORKDAYS($C41,$J41,Feriados!$A$2:$A$1189)</f>
        <v>1462</v>
      </c>
      <c r="L41" s="48">
        <v>47435.32</v>
      </c>
      <c r="M41" s="49">
        <v>43101</v>
      </c>
      <c r="N41" s="18">
        <f>NETWORKDAYS($C41,$M41,Feriados!$A$2:$A$1189)</f>
        <v>1648</v>
      </c>
      <c r="O41" s="17">
        <f t="shared" si="3"/>
        <v>50444.778298425495</v>
      </c>
      <c r="P41" s="25">
        <f t="shared" si="7"/>
        <v>0.1210606294096408</v>
      </c>
      <c r="Q41" s="9">
        <f t="shared" si="4"/>
        <v>3.3896976234699429E-2</v>
      </c>
      <c r="T41" t="b">
        <f t="shared" si="5"/>
        <v>1</v>
      </c>
      <c r="U41" t="b">
        <f t="shared" si="6"/>
        <v>1</v>
      </c>
    </row>
    <row r="42" spans="1:21" x14ac:dyDescent="0.35">
      <c r="A42" t="str">
        <f t="shared" si="1"/>
        <v>Gol Linhas Aéreas4227643737</v>
      </c>
      <c r="B42" s="43" t="s">
        <v>242</v>
      </c>
      <c r="C42" s="28">
        <v>42276</v>
      </c>
      <c r="D42" s="28">
        <v>43737</v>
      </c>
      <c r="E42" s="14">
        <f>NETWORKDAYS($C42,$D42,Feriados!$A$2:$A$1189)</f>
        <v>1003</v>
      </c>
      <c r="F42" s="14">
        <f t="shared" si="2"/>
        <v>1440</v>
      </c>
      <c r="G42" s="43" t="s">
        <v>41</v>
      </c>
      <c r="H42" s="47">
        <v>1.32</v>
      </c>
      <c r="I42" s="48">
        <v>57112.6</v>
      </c>
      <c r="J42" s="49">
        <v>43647</v>
      </c>
      <c r="K42" s="18">
        <f>NETWORKDAYS($C42,$J42,Feriados!$A$2:$A$1189)</f>
        <v>939</v>
      </c>
      <c r="L42" s="48">
        <v>54961.88</v>
      </c>
      <c r="M42" s="49">
        <v>43739</v>
      </c>
      <c r="N42" s="18">
        <f>NETWORKDAYS($C42,$M42,Feriados!$A$2:$A$1189)</f>
        <v>1005</v>
      </c>
      <c r="O42" s="17">
        <f t="shared" si="3"/>
        <v>55025.847694999924</v>
      </c>
      <c r="P42" s="25">
        <f t="shared" si="7"/>
        <v>0.1619344712646491</v>
      </c>
      <c r="Q42" s="9">
        <f t="shared" si="4"/>
        <v>5.1819030804687721E-2</v>
      </c>
      <c r="T42" t="b">
        <f t="shared" si="5"/>
        <v>1</v>
      </c>
      <c r="U42" t="b">
        <f t="shared" si="6"/>
        <v>1</v>
      </c>
    </row>
    <row r="43" spans="1:21" x14ac:dyDescent="0.35">
      <c r="A43" t="str">
        <f t="shared" si="1"/>
        <v>Hypera4063041726</v>
      </c>
      <c r="B43" s="43" t="s">
        <v>263</v>
      </c>
      <c r="C43" s="28">
        <v>40630</v>
      </c>
      <c r="D43" s="28">
        <v>41726</v>
      </c>
      <c r="E43" s="14">
        <f>NETWORKDAYS($C43,$D43,Feriados!$A$2:$A$1189)</f>
        <v>757</v>
      </c>
      <c r="F43" s="14">
        <f t="shared" si="2"/>
        <v>1080</v>
      </c>
      <c r="G43" s="43" t="s">
        <v>41</v>
      </c>
      <c r="H43" s="47">
        <v>1.1100000000000001</v>
      </c>
      <c r="I43" s="48">
        <v>71614.38</v>
      </c>
      <c r="J43" s="49">
        <v>41640</v>
      </c>
      <c r="K43" s="18">
        <f>NETWORKDAYS($C43,$J43,Feriados!$A$2:$A$1189)</f>
        <v>697</v>
      </c>
      <c r="L43" s="48">
        <v>69515.02</v>
      </c>
      <c r="M43" s="49">
        <v>41730</v>
      </c>
      <c r="N43" s="18">
        <f>NETWORKDAYS($C43,$M43,Feriados!$A$2:$A$1189)</f>
        <v>759</v>
      </c>
      <c r="O43" s="17">
        <f t="shared" si="3"/>
        <v>69581.770856489311</v>
      </c>
      <c r="P43" s="25">
        <f t="shared" si="7"/>
        <v>0.12831965333523887</v>
      </c>
      <c r="Q43" s="9">
        <f t="shared" si="4"/>
        <v>1.4115161866876289E-2</v>
      </c>
      <c r="T43" t="b">
        <f t="shared" si="5"/>
        <v>1</v>
      </c>
      <c r="U43" t="b">
        <f t="shared" si="6"/>
        <v>1</v>
      </c>
    </row>
    <row r="44" spans="1:21" x14ac:dyDescent="0.35">
      <c r="A44" t="str">
        <f t="shared" si="1"/>
        <v>Hypera4148843314</v>
      </c>
      <c r="B44" s="43" t="s">
        <v>263</v>
      </c>
      <c r="C44" s="28">
        <v>41488</v>
      </c>
      <c r="D44" s="28">
        <v>43314</v>
      </c>
      <c r="E44" s="14">
        <f>NETWORKDAYS($C44,$D44,Feriados!$A$2:$A$1189)</f>
        <v>1257</v>
      </c>
      <c r="F44" s="14">
        <f t="shared" si="2"/>
        <v>1800</v>
      </c>
      <c r="G44" s="43" t="s">
        <v>41</v>
      </c>
      <c r="H44" s="47">
        <v>1.0994999999999999</v>
      </c>
      <c r="I44" s="48">
        <v>59898.8</v>
      </c>
      <c r="J44" s="49">
        <v>43282</v>
      </c>
      <c r="K44" s="18">
        <f>NETWORKDAYS($C44,$J44,Feriados!$A$2:$A$1189)</f>
        <v>1233</v>
      </c>
      <c r="L44" s="48">
        <v>58288.52</v>
      </c>
      <c r="M44" s="49">
        <v>43374</v>
      </c>
      <c r="N44" s="18">
        <f>NETWORKDAYS($C44,$M44,Feriados!$A$2:$A$1189)</f>
        <v>1298</v>
      </c>
      <c r="O44" s="17">
        <f t="shared" si="3"/>
        <v>59299.119006740584</v>
      </c>
      <c r="P44" s="25">
        <f t="shared" si="7"/>
        <v>0.11044916521484027</v>
      </c>
      <c r="Q44" s="9">
        <f t="shared" si="4"/>
        <v>1.0989691938876599E-2</v>
      </c>
      <c r="T44" t="b">
        <f t="shared" si="5"/>
        <v>1</v>
      </c>
      <c r="U44" t="b">
        <f t="shared" si="6"/>
        <v>1</v>
      </c>
    </row>
    <row r="45" spans="1:21" x14ac:dyDescent="0.35">
      <c r="A45" t="str">
        <f t="shared" si="1"/>
        <v>Hypera4160242940</v>
      </c>
      <c r="B45" s="43" t="s">
        <v>263</v>
      </c>
      <c r="C45" s="28">
        <v>41602</v>
      </c>
      <c r="D45" s="28">
        <v>42940</v>
      </c>
      <c r="E45" s="14">
        <f>NETWORKDAYS($C45,$D45,Feriados!$A$2:$A$1189)</f>
        <v>920</v>
      </c>
      <c r="F45" s="14">
        <f t="shared" si="2"/>
        <v>1320</v>
      </c>
      <c r="G45" s="43" t="s">
        <v>41</v>
      </c>
      <c r="H45" s="47">
        <v>1.1074999999999999</v>
      </c>
      <c r="I45" s="48">
        <v>65885.09</v>
      </c>
      <c r="J45" s="49">
        <v>42917</v>
      </c>
      <c r="K45" s="18">
        <f>NETWORKDAYS($C45,$J45,Feriados!$A$2:$A$1189)</f>
        <v>904</v>
      </c>
      <c r="L45" s="48">
        <v>63978.22</v>
      </c>
      <c r="M45" s="49">
        <v>43009</v>
      </c>
      <c r="N45" s="18">
        <f>NETWORKDAYS($C45,$M45,Feriados!$A$2:$A$1189)</f>
        <v>968</v>
      </c>
      <c r="O45" s="17">
        <f t="shared" si="3"/>
        <v>65403.10937182523</v>
      </c>
      <c r="P45" s="25">
        <f t="shared" si="7"/>
        <v>0.12333684707039394</v>
      </c>
      <c r="Q45" s="9">
        <f t="shared" si="4"/>
        <v>1.3258711060067339E-2</v>
      </c>
      <c r="T45" t="b">
        <f t="shared" si="5"/>
        <v>1</v>
      </c>
      <c r="U45" t="b">
        <f t="shared" si="6"/>
        <v>1</v>
      </c>
    </row>
    <row r="46" spans="1:21" x14ac:dyDescent="0.35">
      <c r="A46" t="str">
        <f t="shared" si="1"/>
        <v>Hypera4173943565</v>
      </c>
      <c r="B46" s="43" t="s">
        <v>263</v>
      </c>
      <c r="C46" s="28">
        <v>41739</v>
      </c>
      <c r="D46" s="28">
        <v>43565</v>
      </c>
      <c r="E46" s="14">
        <f>NETWORKDAYS($C46,$D46,Feriados!$A$2:$A$1189)</f>
        <v>1254</v>
      </c>
      <c r="F46" s="14">
        <f t="shared" si="2"/>
        <v>1800</v>
      </c>
      <c r="G46" s="43" t="s">
        <v>41</v>
      </c>
      <c r="H46" s="47">
        <v>1.1000000000000001</v>
      </c>
      <c r="I46" s="48">
        <v>55715.03</v>
      </c>
      <c r="J46" s="49">
        <v>43556</v>
      </c>
      <c r="K46" s="18">
        <f>NETWORKDAYS($C46,$J46,Feriados!$A$2:$A$1189)</f>
        <v>1247</v>
      </c>
      <c r="L46" s="48">
        <v>54096.85</v>
      </c>
      <c r="M46" s="49">
        <v>43647</v>
      </c>
      <c r="N46" s="18">
        <f>NETWORKDAYS($C46,$M46,Feriados!$A$2:$A$1189)</f>
        <v>1309</v>
      </c>
      <c r="O46" s="17">
        <f t="shared" si="3"/>
        <v>55529.934758797477</v>
      </c>
      <c r="P46" s="25">
        <f t="shared" si="7"/>
        <v>0.12548325769659363</v>
      </c>
      <c r="Q46" s="9">
        <f t="shared" si="4"/>
        <v>1.2548325769659373E-2</v>
      </c>
      <c r="T46" t="b">
        <f t="shared" si="5"/>
        <v>1</v>
      </c>
      <c r="U46" t="b">
        <f t="shared" si="6"/>
        <v>1</v>
      </c>
    </row>
    <row r="47" spans="1:21" x14ac:dyDescent="0.35">
      <c r="A47" t="str">
        <f t="shared" si="1"/>
        <v>Hypera4063041757</v>
      </c>
      <c r="B47" s="43" t="s">
        <v>263</v>
      </c>
      <c r="C47" s="28">
        <v>40630</v>
      </c>
      <c r="D47" s="28">
        <v>41757</v>
      </c>
      <c r="E47" s="14">
        <f>NETWORKDAYS($C47,$D47,Feriados!$A$2:$A$1189)</f>
        <v>776</v>
      </c>
      <c r="F47" s="14">
        <f t="shared" si="2"/>
        <v>1110</v>
      </c>
      <c r="G47" s="43" t="s">
        <v>41</v>
      </c>
      <c r="H47" s="47">
        <v>1.1100000000000001</v>
      </c>
      <c r="I47" s="48">
        <v>69515.02</v>
      </c>
      <c r="J47" s="49">
        <v>41730</v>
      </c>
      <c r="K47" s="18">
        <f>NETWORKDAYS($C47,$J47,Feriados!$A$2:$A$1189)</f>
        <v>759</v>
      </c>
      <c r="L47" s="48">
        <v>67529.73</v>
      </c>
      <c r="M47" s="49">
        <v>41821</v>
      </c>
      <c r="N47" s="18">
        <f>NETWORKDAYS($C47,$M47,Feriados!$A$2:$A$1189)</f>
        <v>820</v>
      </c>
      <c r="O47" s="17">
        <f t="shared" si="3"/>
        <v>68955.948452056196</v>
      </c>
      <c r="P47" s="25">
        <f t="shared" si="7"/>
        <v>0.12829478406303352</v>
      </c>
      <c r="Q47" s="9">
        <f t="shared" si="4"/>
        <v>1.41124262469337E-2</v>
      </c>
      <c r="T47" t="b">
        <f t="shared" si="5"/>
        <v>1</v>
      </c>
      <c r="U47" t="b">
        <f t="shared" si="6"/>
        <v>1</v>
      </c>
    </row>
    <row r="48" spans="1:21" x14ac:dyDescent="0.35">
      <c r="A48" t="str">
        <f t="shared" si="1"/>
        <v>InterCement4101844670</v>
      </c>
      <c r="B48" s="43" t="s">
        <v>277</v>
      </c>
      <c r="C48" s="28">
        <v>41018</v>
      </c>
      <c r="D48" s="28">
        <v>44670</v>
      </c>
      <c r="E48" s="14">
        <f>NETWORKDAYS($C48,$D48,Feriados!$A$2:$A$1189)</f>
        <v>2511</v>
      </c>
      <c r="F48" s="14">
        <f t="shared" si="2"/>
        <v>3600</v>
      </c>
      <c r="G48" s="43" t="s">
        <v>41</v>
      </c>
      <c r="H48" s="47">
        <v>1.1499999999999999</v>
      </c>
      <c r="I48" s="48">
        <v>37091.32</v>
      </c>
      <c r="J48" s="49">
        <v>44562</v>
      </c>
      <c r="K48" s="18">
        <f>NETWORKDAYS($C48,$J48,Feriados!$A$2:$A$1189)</f>
        <v>2437</v>
      </c>
      <c r="L48" s="48">
        <v>33168.83</v>
      </c>
      <c r="M48" s="49">
        <v>44927</v>
      </c>
      <c r="N48" s="18">
        <f>NETWORKDAYS($C48,$M48,Feriados!$A$2:$A$1189)</f>
        <v>2688</v>
      </c>
      <c r="O48" s="17">
        <f t="shared" si="3"/>
        <v>35888.975554400029</v>
      </c>
      <c r="P48" s="25">
        <f t="shared" si="7"/>
        <v>0.10831549753350367</v>
      </c>
      <c r="Q48" s="9">
        <f t="shared" si="4"/>
        <v>1.6247324630025539E-2</v>
      </c>
      <c r="T48" t="b">
        <f t="shared" si="5"/>
        <v>1</v>
      </c>
      <c r="U48" t="b">
        <f t="shared" si="6"/>
        <v>1</v>
      </c>
    </row>
    <row r="49" spans="1:21" x14ac:dyDescent="0.35">
      <c r="A49" t="str">
        <f t="shared" si="1"/>
        <v>InterCement4101844670</v>
      </c>
      <c r="B49" s="43" t="s">
        <v>277</v>
      </c>
      <c r="C49" s="28">
        <v>41018</v>
      </c>
      <c r="D49" s="28">
        <v>44670</v>
      </c>
      <c r="E49" s="14">
        <f>NETWORKDAYS($C49,$D49,Feriados!$A$2:$A$1189)</f>
        <v>2511</v>
      </c>
      <c r="F49" s="14">
        <f t="shared" si="2"/>
        <v>3600</v>
      </c>
      <c r="G49" s="43" t="s">
        <v>41</v>
      </c>
      <c r="H49" s="47">
        <v>1.1499999999999999</v>
      </c>
      <c r="I49" s="48">
        <v>37091.32</v>
      </c>
      <c r="J49" s="49">
        <v>44562</v>
      </c>
      <c r="K49" s="18">
        <f>NETWORKDAYS($C49,$J49,Feriados!$A$2:$A$1189)</f>
        <v>2437</v>
      </c>
      <c r="L49" s="48">
        <v>33168.83</v>
      </c>
      <c r="M49" s="49">
        <v>44927</v>
      </c>
      <c r="N49" s="18">
        <f>NETWORKDAYS($C49,$M49,Feriados!$A$2:$A$1189)</f>
        <v>2688</v>
      </c>
      <c r="O49" s="17">
        <f t="shared" si="3"/>
        <v>35888.975554400029</v>
      </c>
      <c r="P49" s="25">
        <f t="shared" si="7"/>
        <v>0.10831549753350367</v>
      </c>
      <c r="Q49" s="9">
        <f t="shared" si="4"/>
        <v>1.6247324630025539E-2</v>
      </c>
      <c r="T49" t="b">
        <f t="shared" si="5"/>
        <v>1</v>
      </c>
      <c r="U49" t="b">
        <f t="shared" si="6"/>
        <v>1</v>
      </c>
    </row>
    <row r="50" spans="1:21" x14ac:dyDescent="0.35">
      <c r="A50" t="str">
        <f t="shared" si="1"/>
        <v>InterCement4126444794</v>
      </c>
      <c r="B50" s="43" t="s">
        <v>277</v>
      </c>
      <c r="C50" s="28">
        <v>41264</v>
      </c>
      <c r="D50" s="28">
        <v>44794</v>
      </c>
      <c r="E50" s="14">
        <f>NETWORKDAYS($C50,$D50,Feriados!$A$2:$A$1189)</f>
        <v>2427</v>
      </c>
      <c r="F50" s="14">
        <f t="shared" si="2"/>
        <v>3480</v>
      </c>
      <c r="G50" s="43" t="s">
        <v>41</v>
      </c>
      <c r="H50" s="47">
        <v>1.1499999999999999</v>
      </c>
      <c r="I50" s="48">
        <v>42505.41</v>
      </c>
      <c r="J50" s="49">
        <v>44743</v>
      </c>
      <c r="K50" s="18">
        <f>NETWORKDAYS($C50,$J50,Feriados!$A$2:$A$1189)</f>
        <v>2392</v>
      </c>
      <c r="L50" s="48">
        <v>40491.199999999997</v>
      </c>
      <c r="M50" s="49">
        <v>44927</v>
      </c>
      <c r="N50" s="18">
        <f>NETWORKDAYS($C50,$M50,Feriados!$A$2:$A$1189)</f>
        <v>2518</v>
      </c>
      <c r="O50" s="17">
        <f t="shared" si="3"/>
        <v>41936.063835053661</v>
      </c>
      <c r="P50" s="25">
        <f t="shared" si="7"/>
        <v>9.4428607266749953E-2</v>
      </c>
      <c r="Q50" s="9">
        <f t="shared" si="4"/>
        <v>1.4164291090012484E-2</v>
      </c>
      <c r="T50" t="b">
        <f t="shared" si="5"/>
        <v>1</v>
      </c>
      <c r="U50" t="b">
        <f t="shared" si="6"/>
        <v>1</v>
      </c>
    </row>
    <row r="51" spans="1:21" x14ac:dyDescent="0.35">
      <c r="A51" t="str">
        <f t="shared" si="1"/>
        <v>Iochpe-Maxion4173043556</v>
      </c>
      <c r="B51" s="43" t="s">
        <v>312</v>
      </c>
      <c r="C51" s="28">
        <v>41730</v>
      </c>
      <c r="D51" s="28">
        <v>43556</v>
      </c>
      <c r="E51" s="14">
        <f>NETWORKDAYS($C51,$D51,Feriados!$A$2:$A$1189)</f>
        <v>1254</v>
      </c>
      <c r="F51" s="14">
        <f t="shared" si="2"/>
        <v>1800</v>
      </c>
      <c r="G51" s="43" t="s">
        <v>41</v>
      </c>
      <c r="H51" s="47">
        <v>0.99</v>
      </c>
      <c r="I51" s="48">
        <v>56662.83</v>
      </c>
      <c r="J51" s="49">
        <v>43466</v>
      </c>
      <c r="K51" s="18">
        <f>NETWORKDAYS($C51,$J51,Feriados!$A$2:$A$1189)</f>
        <v>1192</v>
      </c>
      <c r="L51" s="48">
        <v>53165.74</v>
      </c>
      <c r="M51" s="49">
        <v>43647</v>
      </c>
      <c r="N51" s="18">
        <f>NETWORKDAYS($C51,$M51,Feriados!$A$2:$A$1189)</f>
        <v>1316</v>
      </c>
      <c r="O51" s="17">
        <f t="shared" si="3"/>
        <v>54886.439923210535</v>
      </c>
      <c r="P51" s="25">
        <f t="shared" si="7"/>
        <v>0.12812260942345821</v>
      </c>
      <c r="Q51" s="9">
        <f t="shared" si="4"/>
        <v>-1.2812260942345834E-3</v>
      </c>
      <c r="T51" t="b">
        <f t="shared" si="5"/>
        <v>1</v>
      </c>
      <c r="U51" t="b">
        <f t="shared" si="6"/>
        <v>1</v>
      </c>
    </row>
    <row r="52" spans="1:21" x14ac:dyDescent="0.35">
      <c r="A52" t="str">
        <f t="shared" si="1"/>
        <v>Klabin4354347196</v>
      </c>
      <c r="B52" s="43" t="s">
        <v>323</v>
      </c>
      <c r="C52" s="28">
        <v>43543</v>
      </c>
      <c r="D52" s="28">
        <v>47196</v>
      </c>
      <c r="E52" s="14">
        <f>NETWORKDAYS($C52,$D52,Feriados!$A$2:$A$1189)</f>
        <v>2513</v>
      </c>
      <c r="F52" s="14">
        <f t="shared" si="2"/>
        <v>3600</v>
      </c>
      <c r="G52" s="43" t="s">
        <v>41</v>
      </c>
      <c r="H52" s="47">
        <v>1.1465000000000001</v>
      </c>
      <c r="I52" s="48">
        <v>43116.76</v>
      </c>
      <c r="J52" s="49">
        <v>47119</v>
      </c>
      <c r="K52" s="18">
        <f>NETWORKDAYS($C52,$J52,Feriados!$A$2:$A$1189)</f>
        <v>2460</v>
      </c>
      <c r="L52" s="48">
        <v>39435.620000000003</v>
      </c>
      <c r="M52" s="49">
        <v>47484</v>
      </c>
      <c r="N52" s="18">
        <f>NETWORKDAYS($C52,$M52,Feriados!$A$2:$A$1189)</f>
        <v>2710</v>
      </c>
      <c r="O52" s="17">
        <f t="shared" si="3"/>
        <v>42308.686250177678</v>
      </c>
      <c r="P52" s="25">
        <f t="shared" si="7"/>
        <v>9.0086859921604701E-2</v>
      </c>
      <c r="Q52" s="9">
        <f t="shared" si="4"/>
        <v>1.3197724978515095E-2</v>
      </c>
      <c r="T52" t="b">
        <f t="shared" si="5"/>
        <v>1</v>
      </c>
      <c r="U52" t="b">
        <f t="shared" si="6"/>
        <v>1</v>
      </c>
    </row>
    <row r="53" spans="1:21" x14ac:dyDescent="0.35">
      <c r="A53" t="str">
        <f t="shared" si="1"/>
        <v>Light Energia4176843960</v>
      </c>
      <c r="B53" s="43" t="s">
        <v>332</v>
      </c>
      <c r="C53" s="28">
        <v>41768</v>
      </c>
      <c r="D53" s="28">
        <v>43960</v>
      </c>
      <c r="E53" s="14">
        <f>NETWORKDAYS($C53,$D53,Feriados!$A$2:$A$1189)</f>
        <v>1507</v>
      </c>
      <c r="F53" s="14">
        <f t="shared" si="2"/>
        <v>2160</v>
      </c>
      <c r="G53" s="43" t="s">
        <v>41</v>
      </c>
      <c r="H53" s="47">
        <v>1.1499999999999999</v>
      </c>
      <c r="I53" s="48">
        <v>50401.77</v>
      </c>
      <c r="J53" s="49">
        <v>43922</v>
      </c>
      <c r="K53" s="18">
        <f>NETWORKDAYS($C53,$J53,Feriados!$A$2:$A$1189)</f>
        <v>1483</v>
      </c>
      <c r="L53" s="48">
        <v>48962.879999999997</v>
      </c>
      <c r="M53" s="49">
        <v>44013</v>
      </c>
      <c r="N53" s="18">
        <f>NETWORKDAYS($C53,$M53,Feriados!$A$2:$A$1189)</f>
        <v>1544</v>
      </c>
      <c r="O53" s="17">
        <f t="shared" si="3"/>
        <v>49830.671443349172</v>
      </c>
      <c r="P53" s="25">
        <f t="shared" si="7"/>
        <v>0.12352951788705768</v>
      </c>
      <c r="Q53" s="9">
        <f t="shared" si="4"/>
        <v>1.8529427683058642E-2</v>
      </c>
      <c r="T53" t="b">
        <f t="shared" si="5"/>
        <v>1</v>
      </c>
      <c r="U53" t="b">
        <f t="shared" si="6"/>
        <v>1</v>
      </c>
    </row>
    <row r="54" spans="1:21" x14ac:dyDescent="0.35">
      <c r="A54" t="str">
        <f t="shared" si="1"/>
        <v>Marfrig4056142022</v>
      </c>
      <c r="B54" s="43" t="s">
        <v>370</v>
      </c>
      <c r="C54" s="28">
        <v>40561</v>
      </c>
      <c r="D54" s="28">
        <v>42022</v>
      </c>
      <c r="E54" s="14">
        <f>NETWORKDAYS($C54,$D54,Feriados!$A$2:$A$1189)</f>
        <v>1008</v>
      </c>
      <c r="F54" s="14">
        <f t="shared" si="2"/>
        <v>1440</v>
      </c>
      <c r="G54" s="43" t="s">
        <v>41</v>
      </c>
      <c r="H54" s="47">
        <v>1.276</v>
      </c>
      <c r="I54" s="48">
        <v>62619.07</v>
      </c>
      <c r="J54" s="49">
        <v>42005</v>
      </c>
      <c r="K54" s="18">
        <f>NETWORKDAYS($C54,$J54,Feriados!$A$2:$A$1189)</f>
        <v>997</v>
      </c>
      <c r="L54" s="48">
        <v>60873.8</v>
      </c>
      <c r="M54" s="49">
        <v>42095</v>
      </c>
      <c r="N54" s="18">
        <f>NETWORKDAYS($C54,$M54,Feriados!$A$2:$A$1189)</f>
        <v>1059</v>
      </c>
      <c r="O54" s="17">
        <f t="shared" si="3"/>
        <v>62305.814504997739</v>
      </c>
      <c r="P54" s="25">
        <f t="shared" si="7"/>
        <v>0.12555793895402068</v>
      </c>
      <c r="Q54" s="9">
        <f t="shared" si="4"/>
        <v>3.465399115130971E-2</v>
      </c>
      <c r="T54" t="b">
        <f t="shared" si="5"/>
        <v>1</v>
      </c>
      <c r="U54" t="b">
        <f t="shared" si="6"/>
        <v>1</v>
      </c>
    </row>
    <row r="55" spans="1:21" x14ac:dyDescent="0.35">
      <c r="A55" t="str">
        <f t="shared" si="1"/>
        <v>Natura Cosméticos4169542791</v>
      </c>
      <c r="B55" s="43" t="s">
        <v>431</v>
      </c>
      <c r="C55" s="28">
        <v>41695</v>
      </c>
      <c r="D55" s="28">
        <v>42791</v>
      </c>
      <c r="E55" s="14">
        <f>NETWORKDAYS($C55,$D55,Feriados!$A$2:$A$1189)</f>
        <v>756</v>
      </c>
      <c r="F55" s="14">
        <f t="shared" si="2"/>
        <v>1080</v>
      </c>
      <c r="G55" s="43" t="s">
        <v>41</v>
      </c>
      <c r="H55" s="47">
        <v>1.07</v>
      </c>
      <c r="I55" s="48">
        <v>72323.13</v>
      </c>
      <c r="J55" s="49">
        <v>42736</v>
      </c>
      <c r="K55" s="18">
        <f>NETWORKDAYS($C55,$J55,Feriados!$A$2:$A$1189)</f>
        <v>716</v>
      </c>
      <c r="L55" s="48">
        <v>70193.42</v>
      </c>
      <c r="M55" s="49">
        <v>42826</v>
      </c>
      <c r="N55" s="18">
        <f>NETWORKDAYS($C55,$M55,Feriados!$A$2:$A$1189)</f>
        <v>779</v>
      </c>
      <c r="O55" s="17">
        <f t="shared" si="3"/>
        <v>70963.565625766423</v>
      </c>
      <c r="P55" s="25">
        <f t="shared" si="7"/>
        <v>0.12112711686945765</v>
      </c>
      <c r="Q55" s="9">
        <f t="shared" si="4"/>
        <v>8.4788981808620427E-3</v>
      </c>
      <c r="T55" t="b">
        <f t="shared" si="5"/>
        <v>1</v>
      </c>
      <c r="U55" t="b">
        <f t="shared" si="6"/>
        <v>1</v>
      </c>
    </row>
    <row r="56" spans="1:21" x14ac:dyDescent="0.35">
      <c r="A56" t="str">
        <f t="shared" si="1"/>
        <v>Natura Cosméticos4207943175</v>
      </c>
      <c r="B56" s="43" t="s">
        <v>431</v>
      </c>
      <c r="C56" s="28">
        <v>42079</v>
      </c>
      <c r="D56" s="28">
        <v>43175</v>
      </c>
      <c r="E56" s="14">
        <f>NETWORKDAYS($C56,$D56,Feriados!$A$2:$A$1189)</f>
        <v>753</v>
      </c>
      <c r="F56" s="14">
        <f t="shared" si="2"/>
        <v>1080</v>
      </c>
      <c r="G56" s="43" t="s">
        <v>41</v>
      </c>
      <c r="H56" s="47">
        <v>1.07</v>
      </c>
      <c r="I56" s="48">
        <v>70120.53</v>
      </c>
      <c r="J56" s="49">
        <v>43101</v>
      </c>
      <c r="K56" s="18">
        <f>NETWORKDAYS($C56,$J56,Feriados!$A$2:$A$1189)</f>
        <v>701</v>
      </c>
      <c r="L56" s="48">
        <v>68060.22</v>
      </c>
      <c r="M56" s="49">
        <v>43191</v>
      </c>
      <c r="N56" s="18">
        <f>NETWORKDAYS($C56,$M56,Feriados!$A$2:$A$1189)</f>
        <v>762</v>
      </c>
      <c r="O56" s="17">
        <f t="shared" si="3"/>
        <v>68360.349748432855</v>
      </c>
      <c r="P56" s="25">
        <f t="shared" si="7"/>
        <v>0.13575491461523703</v>
      </c>
      <c r="Q56" s="9">
        <f t="shared" si="4"/>
        <v>9.5028440230666006E-3</v>
      </c>
      <c r="T56" t="b">
        <f t="shared" si="5"/>
        <v>1</v>
      </c>
      <c r="U56" t="b">
        <f t="shared" si="6"/>
        <v>1</v>
      </c>
    </row>
    <row r="57" spans="1:21" x14ac:dyDescent="0.35">
      <c r="A57" t="str">
        <f t="shared" si="1"/>
        <v>Natura Cosméticos4314543691</v>
      </c>
      <c r="B57" s="43" t="s">
        <v>431</v>
      </c>
      <c r="C57" s="28">
        <v>43145</v>
      </c>
      <c r="D57" s="28">
        <v>43691</v>
      </c>
      <c r="E57" s="14">
        <f>NETWORKDAYS($C57,$D57,Feriados!$A$2:$A$1189)</f>
        <v>377</v>
      </c>
      <c r="F57" s="14">
        <f t="shared" si="2"/>
        <v>540</v>
      </c>
      <c r="G57" s="43" t="s">
        <v>41</v>
      </c>
      <c r="H57" s="47">
        <v>1.1000000000000001</v>
      </c>
      <c r="I57" s="48">
        <v>90899.3</v>
      </c>
      <c r="J57" s="49">
        <v>43647</v>
      </c>
      <c r="K57" s="18">
        <f>NETWORKDAYS($C57,$J57,Feriados!$A$2:$A$1189)</f>
        <v>345</v>
      </c>
      <c r="L57" s="48">
        <v>88751.62</v>
      </c>
      <c r="M57" s="49">
        <v>43739</v>
      </c>
      <c r="N57" s="18">
        <f>NETWORKDAYS($C57,$M57,Feriados!$A$2:$A$1189)</f>
        <v>411</v>
      </c>
      <c r="O57" s="17">
        <f t="shared" si="3"/>
        <v>89851.586757681856</v>
      </c>
      <c r="P57" s="25">
        <f t="shared" si="7"/>
        <v>7.4150203878619259E-2</v>
      </c>
      <c r="Q57" s="9">
        <f t="shared" si="4"/>
        <v>7.4150203878619323E-3</v>
      </c>
      <c r="T57" t="b">
        <f t="shared" si="5"/>
        <v>1</v>
      </c>
      <c r="U57" t="b">
        <f t="shared" si="6"/>
        <v>1</v>
      </c>
    </row>
    <row r="58" spans="1:21" x14ac:dyDescent="0.35">
      <c r="A58" t="str">
        <f t="shared" si="1"/>
        <v>Natura Cosméticos4336444095</v>
      </c>
      <c r="B58" s="43" t="s">
        <v>431</v>
      </c>
      <c r="C58" s="28">
        <v>43364</v>
      </c>
      <c r="D58" s="28">
        <v>44095</v>
      </c>
      <c r="E58" s="14">
        <f>NETWORKDAYS($C58,$D58,Feriados!$A$2:$A$1189)</f>
        <v>502</v>
      </c>
      <c r="F58" s="14">
        <f t="shared" si="2"/>
        <v>720</v>
      </c>
      <c r="G58" s="43" t="s">
        <v>41</v>
      </c>
      <c r="H58" s="47">
        <v>1.095</v>
      </c>
      <c r="I58" s="48">
        <v>85885.07</v>
      </c>
      <c r="J58" s="49">
        <v>44013</v>
      </c>
      <c r="K58" s="18">
        <f>NETWORKDAYS($C58,$J58,Feriados!$A$2:$A$1189)</f>
        <v>445</v>
      </c>
      <c r="L58" s="48">
        <v>83497.3</v>
      </c>
      <c r="M58" s="49">
        <v>44105</v>
      </c>
      <c r="N58" s="18">
        <f>NETWORKDAYS($C58,$M58,Feriados!$A$2:$A$1189)</f>
        <v>510</v>
      </c>
      <c r="O58" s="17">
        <f t="shared" si="3"/>
        <v>83787.559128031411</v>
      </c>
      <c r="P58" s="25">
        <f t="shared" si="7"/>
        <v>9.2856801201253614E-2</v>
      </c>
      <c r="Q58" s="9">
        <f t="shared" si="4"/>
        <v>8.8213961141190914E-3</v>
      </c>
      <c r="T58" t="b">
        <f t="shared" si="5"/>
        <v>1</v>
      </c>
      <c r="U58" t="b">
        <f t="shared" si="6"/>
        <v>1</v>
      </c>
    </row>
    <row r="59" spans="1:21" x14ac:dyDescent="0.35">
      <c r="A59" t="str">
        <f t="shared" si="1"/>
        <v>Natura Cosméticos4169543156</v>
      </c>
      <c r="B59" s="43" t="s">
        <v>431</v>
      </c>
      <c r="C59" s="28">
        <v>41695</v>
      </c>
      <c r="D59" s="28">
        <v>43156</v>
      </c>
      <c r="E59" s="14">
        <f>NETWORKDAYS($C59,$D59,Feriados!$A$2:$A$1189)</f>
        <v>1002</v>
      </c>
      <c r="F59" s="14">
        <f t="shared" si="2"/>
        <v>1440</v>
      </c>
      <c r="G59" s="43" t="s">
        <v>41</v>
      </c>
      <c r="H59" s="47">
        <v>1.075</v>
      </c>
      <c r="I59" s="48">
        <v>64110.54</v>
      </c>
      <c r="J59" s="49">
        <v>43101</v>
      </c>
      <c r="K59" s="18">
        <f>NETWORKDAYS($C59,$J59,Feriados!$A$2:$A$1189)</f>
        <v>965</v>
      </c>
      <c r="L59" s="48">
        <v>62268.51</v>
      </c>
      <c r="M59" s="49">
        <v>43191</v>
      </c>
      <c r="N59" s="18">
        <f>NETWORKDAYS($C59,$M59,Feriados!$A$2:$A$1189)</f>
        <v>1026</v>
      </c>
      <c r="O59" s="17">
        <f t="shared" si="3"/>
        <v>62986.842155122955</v>
      </c>
      <c r="P59" s="25">
        <f t="shared" si="7"/>
        <v>0.12328010080021801</v>
      </c>
      <c r="Q59" s="9">
        <f t="shared" si="4"/>
        <v>9.2460075600163446E-3</v>
      </c>
      <c r="T59" t="b">
        <f t="shared" si="5"/>
        <v>1</v>
      </c>
      <c r="U59" t="b">
        <f t="shared" si="6"/>
        <v>1</v>
      </c>
    </row>
    <row r="60" spans="1:21" x14ac:dyDescent="0.35">
      <c r="A60" t="str">
        <f t="shared" si="1"/>
        <v>Natura Cosméticos4207943540</v>
      </c>
      <c r="B60" s="43" t="s">
        <v>431</v>
      </c>
      <c r="C60" s="28">
        <v>42079</v>
      </c>
      <c r="D60" s="28">
        <v>43540</v>
      </c>
      <c r="E60" s="14">
        <f>NETWORKDAYS($C60,$D60,Feriados!$A$2:$A$1189)</f>
        <v>1002</v>
      </c>
      <c r="F60" s="14">
        <f t="shared" si="2"/>
        <v>1440</v>
      </c>
      <c r="G60" s="43" t="s">
        <v>41</v>
      </c>
      <c r="H60" s="47">
        <v>1.0825</v>
      </c>
      <c r="I60" s="48">
        <v>62050.45</v>
      </c>
      <c r="J60" s="49">
        <v>43466</v>
      </c>
      <c r="K60" s="18">
        <f>NETWORKDAYS($C60,$J60,Feriados!$A$2:$A$1189)</f>
        <v>951</v>
      </c>
      <c r="L60" s="48">
        <v>60286.43</v>
      </c>
      <c r="M60" s="49">
        <v>43556</v>
      </c>
      <c r="N60" s="18">
        <f>NETWORKDAYS($C60,$M60,Feriados!$A$2:$A$1189)</f>
        <v>1013</v>
      </c>
      <c r="O60" s="17">
        <f t="shared" si="3"/>
        <v>60595.700402624338</v>
      </c>
      <c r="P60" s="25">
        <f t="shared" si="7"/>
        <v>0.13426683402624828</v>
      </c>
      <c r="Q60" s="9">
        <f t="shared" si="4"/>
        <v>1.1077013807165486E-2</v>
      </c>
      <c r="T60" t="b">
        <f t="shared" si="5"/>
        <v>1</v>
      </c>
      <c r="U60" t="b">
        <f t="shared" si="6"/>
        <v>1</v>
      </c>
    </row>
    <row r="61" spans="1:21" x14ac:dyDescent="0.35">
      <c r="A61" t="str">
        <f t="shared" si="1"/>
        <v>Natura Cosméticos4336444460</v>
      </c>
      <c r="B61" s="43" t="s">
        <v>431</v>
      </c>
      <c r="C61" s="28">
        <v>43364</v>
      </c>
      <c r="D61" s="28">
        <v>44460</v>
      </c>
      <c r="E61" s="14">
        <f>NETWORKDAYS($C61,$D61,Feriados!$A$2:$A$1189)</f>
        <v>753</v>
      </c>
      <c r="F61" s="14">
        <f t="shared" si="2"/>
        <v>1080</v>
      </c>
      <c r="G61" s="43" t="s">
        <v>41</v>
      </c>
      <c r="H61" s="47">
        <v>1.105</v>
      </c>
      <c r="I61" s="48">
        <v>76711.77</v>
      </c>
      <c r="J61" s="49">
        <v>44378</v>
      </c>
      <c r="K61" s="18">
        <f>NETWORKDAYS($C61,$J61,Feriados!$A$2:$A$1189)</f>
        <v>696</v>
      </c>
      <c r="L61" s="48">
        <v>74322.92</v>
      </c>
      <c r="M61" s="49">
        <v>44470</v>
      </c>
      <c r="N61" s="18">
        <f>NETWORKDAYS($C61,$M61,Feriados!$A$2:$A$1189)</f>
        <v>761</v>
      </c>
      <c r="O61" s="17">
        <f t="shared" si="3"/>
        <v>74612.870289517552</v>
      </c>
      <c r="P61" s="25">
        <f t="shared" si="7"/>
        <v>0.1029715835891043</v>
      </c>
      <c r="Q61" s="9">
        <f t="shared" si="4"/>
        <v>1.081201627685595E-2</v>
      </c>
      <c r="T61" t="b">
        <f t="shared" si="5"/>
        <v>1</v>
      </c>
      <c r="U61" t="b">
        <f t="shared" si="6"/>
        <v>1</v>
      </c>
    </row>
    <row r="62" spans="1:21" x14ac:dyDescent="0.35">
      <c r="A62" t="str">
        <f t="shared" si="1"/>
        <v>Natura Cosméticos4169543521</v>
      </c>
      <c r="B62" s="43" t="s">
        <v>431</v>
      </c>
      <c r="C62" s="28">
        <v>41695</v>
      </c>
      <c r="D62" s="28">
        <v>43521</v>
      </c>
      <c r="E62" s="14">
        <f>NETWORKDAYS($C62,$D62,Feriados!$A$2:$A$1189)</f>
        <v>1254</v>
      </c>
      <c r="F62" s="14">
        <f t="shared" si="2"/>
        <v>1800</v>
      </c>
      <c r="G62" s="43" t="s">
        <v>41</v>
      </c>
      <c r="H62" s="47">
        <v>1.08</v>
      </c>
      <c r="I62" s="48">
        <v>56818.38</v>
      </c>
      <c r="J62" s="49">
        <v>43466</v>
      </c>
      <c r="K62" s="18">
        <f>NETWORKDAYS($C62,$J62,Feriados!$A$2:$A$1189)</f>
        <v>1215</v>
      </c>
      <c r="L62" s="48">
        <v>55173.75</v>
      </c>
      <c r="M62" s="49">
        <v>43556</v>
      </c>
      <c r="N62" s="18">
        <f>NETWORKDAYS($C62,$M62,Feriados!$A$2:$A$1189)</f>
        <v>1277</v>
      </c>
      <c r="O62" s="17">
        <f t="shared" si="3"/>
        <v>55778.22565589736</v>
      </c>
      <c r="P62" s="25">
        <f t="shared" si="7"/>
        <v>0.1244746741339775</v>
      </c>
      <c r="Q62" s="9">
        <f t="shared" si="4"/>
        <v>9.9579739307182093E-3</v>
      </c>
      <c r="T62" t="b">
        <f t="shared" si="5"/>
        <v>1</v>
      </c>
      <c r="U62" t="b">
        <f t="shared" si="6"/>
        <v>1</v>
      </c>
    </row>
    <row r="63" spans="1:21" x14ac:dyDescent="0.35">
      <c r="A63" t="str">
        <f t="shared" si="1"/>
        <v>Natura Cosméticos4207943906</v>
      </c>
      <c r="B63" s="43" t="s">
        <v>431</v>
      </c>
      <c r="C63" s="28">
        <v>42079</v>
      </c>
      <c r="D63" s="28">
        <v>43906</v>
      </c>
      <c r="E63" s="14">
        <f>NETWORKDAYS($C63,$D63,Feriados!$A$2:$A$1189)</f>
        <v>1255</v>
      </c>
      <c r="F63" s="14">
        <f t="shared" si="2"/>
        <v>1800</v>
      </c>
      <c r="G63" s="43" t="s">
        <v>41</v>
      </c>
      <c r="H63" s="47">
        <v>1.0900000000000001</v>
      </c>
      <c r="I63" s="48">
        <v>54906.02</v>
      </c>
      <c r="J63" s="49">
        <v>43831</v>
      </c>
      <c r="K63" s="18">
        <f>NETWORKDAYS($C63,$J63,Feriados!$A$2:$A$1189)</f>
        <v>1204</v>
      </c>
      <c r="L63" s="48">
        <v>53283.98</v>
      </c>
      <c r="M63" s="49">
        <v>43922</v>
      </c>
      <c r="N63" s="18">
        <f>NETWORKDAYS($C63,$M63,Feriados!$A$2:$A$1189)</f>
        <v>1267</v>
      </c>
      <c r="O63" s="17">
        <f t="shared" si="3"/>
        <v>53589.201579898305</v>
      </c>
      <c r="P63" s="25">
        <f t="shared" si="7"/>
        <v>0.13344491220744503</v>
      </c>
      <c r="Q63" s="9">
        <f t="shared" si="4"/>
        <v>1.2010042098670064E-2</v>
      </c>
      <c r="T63" t="b">
        <f t="shared" si="5"/>
        <v>1</v>
      </c>
      <c r="U63" t="b">
        <f t="shared" si="6"/>
        <v>1</v>
      </c>
    </row>
    <row r="64" spans="1:21" x14ac:dyDescent="0.35">
      <c r="A64" t="str">
        <f t="shared" si="1"/>
        <v>Natura Cosméticos4336444825</v>
      </c>
      <c r="B64" s="43" t="s">
        <v>431</v>
      </c>
      <c r="C64" s="28">
        <v>43364</v>
      </c>
      <c r="D64" s="28">
        <v>44825</v>
      </c>
      <c r="E64" s="14">
        <f>NETWORKDAYS($C64,$D64,Feriados!$A$2:$A$1189)</f>
        <v>1005</v>
      </c>
      <c r="F64" s="14">
        <f t="shared" si="2"/>
        <v>1440</v>
      </c>
      <c r="G64" s="43" t="s">
        <v>41</v>
      </c>
      <c r="H64" s="47">
        <v>1.1200000000000001</v>
      </c>
      <c r="I64" s="48">
        <v>67833.539999999994</v>
      </c>
      <c r="J64" s="49">
        <v>44743</v>
      </c>
      <c r="K64" s="18">
        <f>NETWORKDAYS($C64,$J64,Feriados!$A$2:$A$1189)</f>
        <v>948</v>
      </c>
      <c r="L64" s="48">
        <v>65752.17</v>
      </c>
      <c r="M64" s="49">
        <v>44835</v>
      </c>
      <c r="N64" s="18">
        <f>NETWORKDAYS($C64,$M64,Feriados!$A$2:$A$1189)</f>
        <v>1012</v>
      </c>
      <c r="O64" s="17">
        <f t="shared" si="3"/>
        <v>65976.673418663733</v>
      </c>
      <c r="P64" s="25">
        <f t="shared" si="7"/>
        <v>0.10990850591788504</v>
      </c>
      <c r="Q64" s="9">
        <f t="shared" si="4"/>
        <v>1.3189020710146215E-2</v>
      </c>
      <c r="T64" t="b">
        <f t="shared" si="5"/>
        <v>1</v>
      </c>
      <c r="U64" t="b">
        <f t="shared" si="6"/>
        <v>1</v>
      </c>
    </row>
    <row r="65" spans="1:21" x14ac:dyDescent="0.35">
      <c r="A65" t="str">
        <f t="shared" si="1"/>
        <v>Oi4313649365</v>
      </c>
      <c r="B65" s="43" t="s">
        <v>452</v>
      </c>
      <c r="C65" s="28">
        <v>43136</v>
      </c>
      <c r="D65" s="28">
        <v>49365</v>
      </c>
      <c r="E65" s="14">
        <f>NETWORKDAYS($C65,$D65,Feriados!$A$2:$A$1189)</f>
        <v>4283</v>
      </c>
      <c r="F65" s="14">
        <f t="shared" si="2"/>
        <v>6140</v>
      </c>
      <c r="G65" s="43" t="s">
        <v>41</v>
      </c>
      <c r="H65" s="47">
        <v>0.8</v>
      </c>
      <c r="I65" s="30" t="s">
        <v>29</v>
      </c>
      <c r="J65" s="31" t="s">
        <v>29</v>
      </c>
      <c r="K65" s="18" t="s">
        <v>29</v>
      </c>
      <c r="L65" s="48">
        <v>30912.66</v>
      </c>
      <c r="M65" s="49">
        <v>47484</v>
      </c>
      <c r="N65" s="18">
        <f>NETWORKDAYS($C65,$M65,Feriados!$A$2:$A$1189)</f>
        <v>2988</v>
      </c>
      <c r="O65" s="18" t="s">
        <v>29</v>
      </c>
      <c r="P65" s="37">
        <f>($R$1/$L65)^(252/N65)-1</f>
        <v>0.10408000923137117</v>
      </c>
      <c r="Q65" s="9">
        <f t="shared" si="4"/>
        <v>-2.0816001846274228E-2</v>
      </c>
      <c r="T65" t="b">
        <f t="shared" si="5"/>
        <v>0</v>
      </c>
      <c r="U65" t="b">
        <f t="shared" si="6"/>
        <v>0</v>
      </c>
    </row>
    <row r="66" spans="1:21" x14ac:dyDescent="0.35">
      <c r="A66" t="str">
        <f t="shared" ref="A66:A101" si="8">B66&amp;C66&amp;D66</f>
        <v>Petrobras4177943971</v>
      </c>
      <c r="B66" s="43" t="s">
        <v>463</v>
      </c>
      <c r="C66" s="28">
        <v>41779</v>
      </c>
      <c r="D66" s="28">
        <v>43971</v>
      </c>
      <c r="E66" s="14">
        <f>NETWORKDAYS($C66,$D66,Feriados!$A$2:$A$1189)</f>
        <v>1508</v>
      </c>
      <c r="F66" s="14">
        <f t="shared" ref="F66:F77" si="9">DAYS360(C66,D66,0)</f>
        <v>2160</v>
      </c>
      <c r="G66" s="43" t="s">
        <v>41</v>
      </c>
      <c r="H66" s="47">
        <v>1.0449999999999999</v>
      </c>
      <c r="I66" s="48">
        <v>50744.639999999999</v>
      </c>
      <c r="J66" s="49">
        <v>43922</v>
      </c>
      <c r="K66" s="18">
        <f>NETWORKDAYS($C66,$J66,Feriados!$A$2:$A$1189)</f>
        <v>1476</v>
      </c>
      <c r="L66" s="48">
        <v>49335.45</v>
      </c>
      <c r="M66" s="49">
        <v>44013</v>
      </c>
      <c r="N66" s="18">
        <f>NETWORKDAYS($C66,$M66,Feriados!$A$2:$A$1189)</f>
        <v>1537</v>
      </c>
      <c r="O66" s="17">
        <f t="shared" ref="O66:O101" si="10">$I66*(($L66/$I66)^(($E66-$K66)/($N66-$K66)))</f>
        <v>50000.445113713096</v>
      </c>
      <c r="P66" s="25">
        <f t="shared" ref="P66:P101" si="11">IFERROR(($R$1/$O66)^(252/$E66)-1,"NA")</f>
        <v>0.12280438797913695</v>
      </c>
      <c r="Q66" s="9">
        <f t="shared" ref="Q66:Q101" si="12">$P66*($H66-1)</f>
        <v>5.5261974590611537E-3</v>
      </c>
      <c r="T66" t="b">
        <f t="shared" ref="T66:T101" si="13">K66&lt;E66</f>
        <v>1</v>
      </c>
      <c r="U66" t="b">
        <f t="shared" ref="U66:U101" si="14">N66&gt;E66</f>
        <v>1</v>
      </c>
    </row>
    <row r="67" spans="1:21" x14ac:dyDescent="0.35">
      <c r="A67" t="str">
        <f t="shared" si="8"/>
        <v>Petrobras4296244788</v>
      </c>
      <c r="B67" s="43" t="s">
        <v>463</v>
      </c>
      <c r="C67" s="28">
        <v>42962</v>
      </c>
      <c r="D67" s="28">
        <v>44788</v>
      </c>
      <c r="E67" s="14">
        <f>NETWORKDAYS($C67,$D67,Feriados!$A$2:$A$1189)</f>
        <v>1255</v>
      </c>
      <c r="F67" s="14">
        <f t="shared" si="9"/>
        <v>1800</v>
      </c>
      <c r="G67" s="43" t="s">
        <v>41</v>
      </c>
      <c r="H67" s="47">
        <v>1.0674999999999999</v>
      </c>
      <c r="I67" s="48">
        <v>63329.56</v>
      </c>
      <c r="J67" s="49">
        <v>44743</v>
      </c>
      <c r="K67" s="18">
        <f>NETWORKDAYS($C67,$J67,Feriados!$A$2:$A$1189)</f>
        <v>1224</v>
      </c>
      <c r="L67" s="48">
        <v>60101.88</v>
      </c>
      <c r="M67" s="49">
        <v>44927</v>
      </c>
      <c r="N67" s="18">
        <f>NETWORKDAYS($C67,$M67,Feriados!$A$2:$A$1189)</f>
        <v>1350</v>
      </c>
      <c r="O67" s="17">
        <f t="shared" si="10"/>
        <v>62519.719332072651</v>
      </c>
      <c r="P67" s="25">
        <f t="shared" si="11"/>
        <v>9.8902426362847962E-2</v>
      </c>
      <c r="Q67" s="9">
        <f t="shared" si="12"/>
        <v>6.6759137794922272E-3</v>
      </c>
      <c r="T67" t="b">
        <f t="shared" si="13"/>
        <v>1</v>
      </c>
      <c r="U67" t="b">
        <f t="shared" si="14"/>
        <v>1</v>
      </c>
    </row>
    <row r="68" spans="1:21" x14ac:dyDescent="0.35">
      <c r="A68" t="str">
        <f t="shared" si="8"/>
        <v>Petrobras4348046037</v>
      </c>
      <c r="B68" s="43" t="s">
        <v>463</v>
      </c>
      <c r="C68" s="28">
        <v>43480</v>
      </c>
      <c r="D68" s="28">
        <v>46037</v>
      </c>
      <c r="E68" s="14">
        <f>NETWORKDAYS($C68,$D68,Feriados!$A$2:$A$1189)</f>
        <v>1763</v>
      </c>
      <c r="F68" s="14">
        <f t="shared" si="9"/>
        <v>2520</v>
      </c>
      <c r="G68" s="43" t="s">
        <v>41</v>
      </c>
      <c r="H68" s="47">
        <v>1.0625</v>
      </c>
      <c r="I68" s="48">
        <v>54248.36</v>
      </c>
      <c r="J68" s="49">
        <v>46023</v>
      </c>
      <c r="K68" s="18">
        <f>NETWORKDAYS($C68,$J68,Feriados!$A$2:$A$1189)</f>
        <v>1753</v>
      </c>
      <c r="L68" s="48">
        <v>51687.65</v>
      </c>
      <c r="M68" s="49">
        <v>46204</v>
      </c>
      <c r="N68" s="18">
        <f>NETWORKDAYS($C68,$M68,Feriados!$A$2:$A$1189)</f>
        <v>1876</v>
      </c>
      <c r="O68" s="17">
        <f t="shared" si="10"/>
        <v>54035.516927858647</v>
      </c>
      <c r="P68" s="25">
        <f t="shared" si="11"/>
        <v>9.1969054802865546E-2</v>
      </c>
      <c r="Q68" s="9">
        <f t="shared" si="12"/>
        <v>5.7480659251790966E-3</v>
      </c>
      <c r="T68" t="b">
        <f t="shared" si="13"/>
        <v>1</v>
      </c>
      <c r="U68" t="b">
        <f t="shared" si="14"/>
        <v>1</v>
      </c>
    </row>
    <row r="69" spans="1:21" x14ac:dyDescent="0.35">
      <c r="A69" t="str">
        <f t="shared" si="8"/>
        <v>Queiroz Galvão4194346572</v>
      </c>
      <c r="B69" s="43" t="s">
        <v>499</v>
      </c>
      <c r="C69" s="28">
        <v>41943</v>
      </c>
      <c r="D69" s="28">
        <v>46572</v>
      </c>
      <c r="E69" s="14">
        <f>NETWORKDAYS($C69,$D69,Feriados!$A$2:$A$1189)</f>
        <v>3180</v>
      </c>
      <c r="F69" s="14">
        <f t="shared" si="9"/>
        <v>4564</v>
      </c>
      <c r="G69" s="43" t="s">
        <v>41</v>
      </c>
      <c r="H69" s="47">
        <v>1.3</v>
      </c>
      <c r="I69" s="48">
        <v>28493.57</v>
      </c>
      <c r="J69" s="49">
        <v>46023</v>
      </c>
      <c r="K69" s="18">
        <f>NETWORKDAYS($C69,$J69,Feriados!$A$2:$A$1189)</f>
        <v>2805</v>
      </c>
      <c r="L69" s="48">
        <v>20368.419999999998</v>
      </c>
      <c r="M69" s="49">
        <v>47119</v>
      </c>
      <c r="N69" s="18">
        <f>NETWORKDAYS($C69,$M69,Feriados!$A$2:$A$1189)</f>
        <v>3555</v>
      </c>
      <c r="O69" s="17">
        <f t="shared" si="10"/>
        <v>24090.848906989559</v>
      </c>
      <c r="P69" s="25">
        <f t="shared" si="11"/>
        <v>0.11940000621022961</v>
      </c>
      <c r="Q69" s="9">
        <f t="shared" si="12"/>
        <v>3.5820001863068891E-2</v>
      </c>
      <c r="T69" t="b">
        <f t="shared" si="13"/>
        <v>1</v>
      </c>
      <c r="U69" t="b">
        <f t="shared" si="14"/>
        <v>1</v>
      </c>
    </row>
    <row r="70" spans="1:21" x14ac:dyDescent="0.35">
      <c r="A70" t="str">
        <f t="shared" si="8"/>
        <v>Queiroz Galvão4196443060</v>
      </c>
      <c r="B70" s="43" t="s">
        <v>499</v>
      </c>
      <c r="C70" s="28">
        <v>41964</v>
      </c>
      <c r="D70" s="28">
        <v>43060</v>
      </c>
      <c r="E70" s="14">
        <f>NETWORKDAYS($C70,$D70,Feriados!$A$2:$A$1189)</f>
        <v>751</v>
      </c>
      <c r="F70" s="14">
        <f t="shared" si="9"/>
        <v>1080</v>
      </c>
      <c r="G70" s="43" t="s">
        <v>41</v>
      </c>
      <c r="H70" s="47">
        <v>1.1559999999999999</v>
      </c>
      <c r="I70" s="48">
        <v>72034.11</v>
      </c>
      <c r="J70" s="49">
        <v>43009</v>
      </c>
      <c r="K70" s="18">
        <f>NETWORKDAYS($C70,$J70,Feriados!$A$2:$A$1189)</f>
        <v>717</v>
      </c>
      <c r="L70" s="48">
        <v>70148.039999999994</v>
      </c>
      <c r="M70" s="49">
        <v>43101</v>
      </c>
      <c r="N70" s="18">
        <f>NETWORKDAYS($C70,$M70,Feriados!$A$2:$A$1189)</f>
        <v>778</v>
      </c>
      <c r="O70" s="17">
        <f t="shared" si="10"/>
        <v>70976.688335654675</v>
      </c>
      <c r="P70" s="25">
        <f t="shared" si="11"/>
        <v>0.12191124942585052</v>
      </c>
      <c r="Q70" s="9">
        <f t="shared" si="12"/>
        <v>1.9018154910432673E-2</v>
      </c>
      <c r="T70" t="b">
        <f t="shared" si="13"/>
        <v>1</v>
      </c>
      <c r="U70" t="b">
        <f t="shared" si="14"/>
        <v>1</v>
      </c>
    </row>
    <row r="71" spans="1:21" x14ac:dyDescent="0.35">
      <c r="A71" t="str">
        <f t="shared" si="8"/>
        <v>Queiroz Galvão4164645110</v>
      </c>
      <c r="B71" s="43" t="s">
        <v>499</v>
      </c>
      <c r="C71" s="28">
        <v>41646</v>
      </c>
      <c r="D71" s="28">
        <v>45110</v>
      </c>
      <c r="E71" s="14">
        <f>NETWORKDAYS($C71,$D71,Feriados!$A$2:$A$1189)</f>
        <v>2381</v>
      </c>
      <c r="F71" s="14">
        <f t="shared" si="9"/>
        <v>3416</v>
      </c>
      <c r="G71" s="43" t="s">
        <v>41</v>
      </c>
      <c r="H71" s="47">
        <v>1.1000000000000001</v>
      </c>
      <c r="I71" s="48">
        <v>33061.33</v>
      </c>
      <c r="J71" s="49">
        <v>44927</v>
      </c>
      <c r="K71" s="18">
        <f>NETWORKDAYS($C71,$J71,Feriados!$A$2:$A$1189)</f>
        <v>2256</v>
      </c>
      <c r="L71" s="48">
        <v>29036.799999999999</v>
      </c>
      <c r="M71" s="49">
        <v>45292</v>
      </c>
      <c r="N71" s="18">
        <f>NETWORKDAYS($C71,$M71,Feriados!$A$2:$A$1189)</f>
        <v>2505</v>
      </c>
      <c r="O71" s="17">
        <f t="shared" si="10"/>
        <v>30975.715081898681</v>
      </c>
      <c r="P71" s="25">
        <f t="shared" si="11"/>
        <v>0.1320594226349725</v>
      </c>
      <c r="Q71" s="9">
        <f t="shared" si="12"/>
        <v>1.3205942263497262E-2</v>
      </c>
      <c r="T71" t="b">
        <f t="shared" si="13"/>
        <v>1</v>
      </c>
      <c r="U71" t="b">
        <f t="shared" si="14"/>
        <v>1</v>
      </c>
    </row>
    <row r="72" spans="1:21" x14ac:dyDescent="0.35">
      <c r="A72" t="str">
        <f t="shared" si="8"/>
        <v>Queiroz Galvão4178943069</v>
      </c>
      <c r="B72" s="43" t="s">
        <v>499</v>
      </c>
      <c r="C72" s="28">
        <v>41789</v>
      </c>
      <c r="D72" s="28">
        <v>43069</v>
      </c>
      <c r="E72" s="14">
        <f>NETWORKDAYS($C72,$D72,Feriados!$A$2:$A$1189)</f>
        <v>882</v>
      </c>
      <c r="F72" s="14">
        <f t="shared" si="9"/>
        <v>1260</v>
      </c>
      <c r="G72" s="43" t="s">
        <v>41</v>
      </c>
      <c r="H72" s="47">
        <v>1.145</v>
      </c>
      <c r="I72" s="48">
        <v>68938.960000000006</v>
      </c>
      <c r="J72" s="49">
        <v>43009</v>
      </c>
      <c r="K72" s="18">
        <f>NETWORKDAYS($C72,$J72,Feriados!$A$2:$A$1189)</f>
        <v>841</v>
      </c>
      <c r="L72" s="48">
        <v>67082.48</v>
      </c>
      <c r="M72" s="49">
        <v>43101</v>
      </c>
      <c r="N72" s="18">
        <f>NETWORKDAYS($C72,$M72,Feriados!$A$2:$A$1189)</f>
        <v>902</v>
      </c>
      <c r="O72" s="17">
        <f t="shared" si="10"/>
        <v>67685.586675179991</v>
      </c>
      <c r="P72" s="25">
        <f t="shared" si="11"/>
        <v>0.11796873384055906</v>
      </c>
      <c r="Q72" s="9">
        <f t="shared" si="12"/>
        <v>1.7105466406881067E-2</v>
      </c>
      <c r="T72" t="b">
        <f t="shared" si="13"/>
        <v>1</v>
      </c>
      <c r="U72" t="b">
        <f t="shared" si="14"/>
        <v>1</v>
      </c>
    </row>
    <row r="73" spans="1:21" x14ac:dyDescent="0.35">
      <c r="A73" t="str">
        <f t="shared" si="8"/>
        <v>Queiroz Galvão4109545110</v>
      </c>
      <c r="B73" s="43" t="s">
        <v>499</v>
      </c>
      <c r="C73" s="28">
        <v>41095</v>
      </c>
      <c r="D73" s="28">
        <v>45110</v>
      </c>
      <c r="E73" s="14">
        <f>NETWORKDAYS($C73,$D73,Feriados!$A$2:$A$1189)</f>
        <v>2760</v>
      </c>
      <c r="F73" s="14">
        <f t="shared" si="9"/>
        <v>3958</v>
      </c>
      <c r="G73" s="43" t="s">
        <v>41</v>
      </c>
      <c r="H73" s="47">
        <v>1.1000000000000001</v>
      </c>
      <c r="I73" s="48">
        <v>36287.64</v>
      </c>
      <c r="J73" s="49">
        <v>44927</v>
      </c>
      <c r="K73" s="18">
        <f>NETWORKDAYS($C73,$J73,Feriados!$A$2:$A$1189)</f>
        <v>2635</v>
      </c>
      <c r="L73" s="48">
        <v>32972.9</v>
      </c>
      <c r="M73" s="49">
        <v>45292</v>
      </c>
      <c r="N73" s="18">
        <f>NETWORKDAYS($C73,$M73,Feriados!$A$2:$A$1189)</f>
        <v>2884</v>
      </c>
      <c r="O73" s="17">
        <f t="shared" si="10"/>
        <v>34583.934310183657</v>
      </c>
      <c r="P73" s="25">
        <f t="shared" si="11"/>
        <v>0.10180001104728253</v>
      </c>
      <c r="Q73" s="9">
        <f t="shared" si="12"/>
        <v>1.0180001104728262E-2</v>
      </c>
      <c r="T73" t="b">
        <f t="shared" si="13"/>
        <v>1</v>
      </c>
      <c r="U73" t="b">
        <f t="shared" si="14"/>
        <v>1</v>
      </c>
    </row>
    <row r="74" spans="1:21" x14ac:dyDescent="0.35">
      <c r="A74" t="str">
        <f t="shared" si="8"/>
        <v>Queiroz Galvão4164643472</v>
      </c>
      <c r="B74" s="43" t="s">
        <v>499</v>
      </c>
      <c r="C74" s="28">
        <v>41646</v>
      </c>
      <c r="D74" s="28">
        <v>43472</v>
      </c>
      <c r="E74" s="14">
        <f>NETWORKDAYS($C74,$D74,Feriados!$A$2:$A$1189)</f>
        <v>1254</v>
      </c>
      <c r="F74" s="14">
        <f t="shared" si="9"/>
        <v>1800</v>
      </c>
      <c r="G74" s="43" t="s">
        <v>41</v>
      </c>
      <c r="H74" s="47">
        <v>1.41</v>
      </c>
      <c r="I74" s="48">
        <v>55045.43</v>
      </c>
      <c r="J74" s="49">
        <v>43466</v>
      </c>
      <c r="K74" s="18">
        <f>NETWORKDAYS($C74,$J74,Feriados!$A$2:$A$1189)</f>
        <v>1250</v>
      </c>
      <c r="L74" s="48">
        <v>53464.86</v>
      </c>
      <c r="M74" s="49">
        <v>43556</v>
      </c>
      <c r="N74" s="18">
        <f>NETWORKDAYS($C74,$M74,Feriados!$A$2:$A$1189)</f>
        <v>1312</v>
      </c>
      <c r="O74" s="17">
        <f t="shared" si="10"/>
        <v>54942.062264492859</v>
      </c>
      <c r="P74" s="25">
        <f t="shared" si="11"/>
        <v>0.12789300547843085</v>
      </c>
      <c r="Q74" s="9">
        <f t="shared" si="12"/>
        <v>5.243613224615664E-2</v>
      </c>
      <c r="T74" t="b">
        <f t="shared" si="13"/>
        <v>1</v>
      </c>
      <c r="U74" t="b">
        <f t="shared" si="14"/>
        <v>1</v>
      </c>
    </row>
    <row r="75" spans="1:21" x14ac:dyDescent="0.35">
      <c r="A75" t="str">
        <f t="shared" si="8"/>
        <v>Queiroz Galvão4364946572</v>
      </c>
      <c r="B75" s="43" t="s">
        <v>499</v>
      </c>
      <c r="C75" s="28">
        <v>43649</v>
      </c>
      <c r="D75" s="28">
        <v>46572</v>
      </c>
      <c r="E75" s="14">
        <f>NETWORKDAYS($C75,$D75,Feriados!$A$2:$A$1189)</f>
        <v>2012</v>
      </c>
      <c r="F75" s="14">
        <f t="shared" si="9"/>
        <v>2881</v>
      </c>
      <c r="G75" s="43" t="s">
        <v>41</v>
      </c>
      <c r="H75" s="47">
        <v>1.3</v>
      </c>
      <c r="I75" s="48">
        <v>58960.79</v>
      </c>
      <c r="J75" s="49">
        <v>46388</v>
      </c>
      <c r="K75" s="18">
        <f>NETWORKDAYS($C75,$J75,Feriados!$A$2:$A$1189)</f>
        <v>1887</v>
      </c>
      <c r="L75" s="48">
        <v>54380.92</v>
      </c>
      <c r="M75" s="49">
        <v>46753</v>
      </c>
      <c r="N75" s="18">
        <f>NETWORKDAYS($C75,$M75,Feriados!$A$2:$A$1189)</f>
        <v>2138</v>
      </c>
      <c r="O75" s="17">
        <f t="shared" si="10"/>
        <v>56633.692171664195</v>
      </c>
      <c r="P75" s="25">
        <f t="shared" si="11"/>
        <v>7.3808910952634754E-2</v>
      </c>
      <c r="Q75" s="9">
        <f t="shared" si="12"/>
        <v>2.2142673285790431E-2</v>
      </c>
      <c r="T75" t="b">
        <f t="shared" si="13"/>
        <v>1</v>
      </c>
      <c r="U75" t="b">
        <f t="shared" si="14"/>
        <v>1</v>
      </c>
    </row>
    <row r="76" spans="1:21" x14ac:dyDescent="0.35">
      <c r="A76" t="str">
        <f t="shared" si="8"/>
        <v>Queiroz Galvão4364946572</v>
      </c>
      <c r="B76" s="43" t="s">
        <v>499</v>
      </c>
      <c r="C76" s="28">
        <v>43649</v>
      </c>
      <c r="D76" s="28">
        <v>46572</v>
      </c>
      <c r="E76" s="14">
        <f>NETWORKDAYS($C76,$D76,Feriados!$A$2:$A$1189)</f>
        <v>2012</v>
      </c>
      <c r="F76" s="14">
        <f t="shared" si="9"/>
        <v>2881</v>
      </c>
      <c r="G76" s="43" t="s">
        <v>41</v>
      </c>
      <c r="H76" s="47">
        <v>1.3</v>
      </c>
      <c r="I76" s="48">
        <v>58960.79</v>
      </c>
      <c r="J76" s="49">
        <v>46388</v>
      </c>
      <c r="K76" s="18">
        <f>NETWORKDAYS($C76,$J76,Feriados!$A$2:$A$1189)</f>
        <v>1887</v>
      </c>
      <c r="L76" s="48">
        <v>54380.92</v>
      </c>
      <c r="M76" s="49">
        <v>46753</v>
      </c>
      <c r="N76" s="18">
        <f>NETWORKDAYS($C76,$M76,Feriados!$A$2:$A$1189)</f>
        <v>2138</v>
      </c>
      <c r="O76" s="17">
        <f t="shared" si="10"/>
        <v>56633.692171664195</v>
      </c>
      <c r="P76" s="25">
        <f t="shared" si="11"/>
        <v>7.3808910952634754E-2</v>
      </c>
      <c r="Q76" s="9">
        <f t="shared" si="12"/>
        <v>2.2142673285790431E-2</v>
      </c>
      <c r="T76" t="b">
        <f t="shared" si="13"/>
        <v>1</v>
      </c>
      <c r="U76" t="b">
        <f t="shared" si="14"/>
        <v>1</v>
      </c>
    </row>
    <row r="77" spans="1:21" x14ac:dyDescent="0.35">
      <c r="A77" t="str">
        <f t="shared" si="8"/>
        <v>Queiroz Galvão4364946572</v>
      </c>
      <c r="B77" s="43" t="s">
        <v>499</v>
      </c>
      <c r="C77" s="28">
        <v>43649</v>
      </c>
      <c r="D77" s="28">
        <v>46572</v>
      </c>
      <c r="E77" s="14">
        <f>NETWORKDAYS($C77,$D77,Feriados!$A$2:$A$1189)</f>
        <v>2012</v>
      </c>
      <c r="F77" s="14">
        <f t="shared" si="9"/>
        <v>2881</v>
      </c>
      <c r="G77" s="43" t="s">
        <v>41</v>
      </c>
      <c r="H77" s="47">
        <v>1.3</v>
      </c>
      <c r="I77" s="48">
        <v>58960.79</v>
      </c>
      <c r="J77" s="49">
        <v>46388</v>
      </c>
      <c r="K77" s="18">
        <f>NETWORKDAYS($C77,$J77,Feriados!$A$2:$A$1189)</f>
        <v>1887</v>
      </c>
      <c r="L77" s="48">
        <v>54380.92</v>
      </c>
      <c r="M77" s="49">
        <v>46753</v>
      </c>
      <c r="N77" s="18">
        <f>NETWORKDAYS($C77,$M77,Feriados!$A$2:$A$1189)</f>
        <v>2138</v>
      </c>
      <c r="O77" s="17">
        <f t="shared" si="10"/>
        <v>56633.692171664195</v>
      </c>
      <c r="P77" s="25">
        <f t="shared" si="11"/>
        <v>7.3808910952634754E-2</v>
      </c>
      <c r="Q77" s="9">
        <f t="shared" si="12"/>
        <v>2.2142673285790431E-2</v>
      </c>
      <c r="T77" t="b">
        <f t="shared" si="13"/>
        <v>1</v>
      </c>
      <c r="U77" t="b">
        <f t="shared" si="14"/>
        <v>1</v>
      </c>
    </row>
    <row r="78" spans="1:21" x14ac:dyDescent="0.35">
      <c r="A78" t="str">
        <f t="shared" si="8"/>
        <v>Rede D'or4295444050</v>
      </c>
      <c r="B78" s="43" t="s">
        <v>524</v>
      </c>
      <c r="C78" s="28">
        <v>42954</v>
      </c>
      <c r="D78" s="28">
        <v>44050</v>
      </c>
      <c r="E78" s="14">
        <f>NETWORKDAYS($C78,$D78,Feriados!$A$2:$A$1189)</f>
        <v>754</v>
      </c>
      <c r="F78" s="14">
        <f t="shared" ref="F78:F101" si="15">DAYS360(C78,D78,0)</f>
        <v>1080</v>
      </c>
      <c r="G78" s="43" t="s">
        <v>41</v>
      </c>
      <c r="H78" s="47">
        <v>1.1000000000000001</v>
      </c>
      <c r="I78" s="48">
        <v>78055.88</v>
      </c>
      <c r="J78" s="49">
        <v>44013</v>
      </c>
      <c r="K78" s="18">
        <f>NETWORKDAYS($C78,$J78,Feriados!$A$2:$A$1189)</f>
        <v>727</v>
      </c>
      <c r="L78" s="48">
        <v>76036.56</v>
      </c>
      <c r="M78" s="49">
        <v>44105</v>
      </c>
      <c r="N78" s="18">
        <f>NETWORKDAYS($C78,$M78,Feriados!$A$2:$A$1189)</f>
        <v>792</v>
      </c>
      <c r="O78" s="17">
        <f t="shared" si="10"/>
        <v>77210.654377543571</v>
      </c>
      <c r="P78" s="25">
        <f t="shared" si="11"/>
        <v>9.0285496807668064E-2</v>
      </c>
      <c r="Q78" s="9">
        <f t="shared" si="12"/>
        <v>9.0285496807668147E-3</v>
      </c>
      <c r="T78" t="b">
        <f t="shared" si="13"/>
        <v>1</v>
      </c>
      <c r="U78" t="b">
        <f t="shared" si="14"/>
        <v>1</v>
      </c>
    </row>
    <row r="79" spans="1:21" x14ac:dyDescent="0.35">
      <c r="A79" t="str">
        <f t="shared" si="8"/>
        <v>Rede D'or4339746319</v>
      </c>
      <c r="B79" s="43" t="s">
        <v>524</v>
      </c>
      <c r="C79" s="28">
        <v>43397</v>
      </c>
      <c r="D79" s="28">
        <v>46319</v>
      </c>
      <c r="E79" s="14">
        <f>NETWORKDAYS($C79,$D79,Feriados!$A$2:$A$1189)</f>
        <v>2011</v>
      </c>
      <c r="F79" s="14">
        <f t="shared" si="15"/>
        <v>2880</v>
      </c>
      <c r="G79" s="43" t="s">
        <v>41</v>
      </c>
      <c r="H79" s="47">
        <v>1.06</v>
      </c>
      <c r="I79" s="48">
        <v>46732.2</v>
      </c>
      <c r="J79" s="49">
        <v>46204</v>
      </c>
      <c r="K79" s="18">
        <f>NETWORKDAYS($C79,$J79,Feriados!$A$2:$A$1189)</f>
        <v>1931</v>
      </c>
      <c r="L79" s="48">
        <v>44180.73</v>
      </c>
      <c r="M79" s="49">
        <v>46388</v>
      </c>
      <c r="N79" s="18">
        <f>NETWORKDAYS($C79,$M79,Feriados!$A$2:$A$1189)</f>
        <v>2058</v>
      </c>
      <c r="O79" s="17">
        <f t="shared" si="10"/>
        <v>45108.31898688012</v>
      </c>
      <c r="P79" s="25">
        <f t="shared" si="11"/>
        <v>0.10490610557336688</v>
      </c>
      <c r="Q79" s="9">
        <f t="shared" si="12"/>
        <v>6.2943663344020183E-3</v>
      </c>
      <c r="T79" t="b">
        <f t="shared" si="13"/>
        <v>1</v>
      </c>
      <c r="U79" t="b">
        <f t="shared" si="14"/>
        <v>1</v>
      </c>
    </row>
    <row r="80" spans="1:21" x14ac:dyDescent="0.35">
      <c r="A80" t="str">
        <f t="shared" si="8"/>
        <v>Simpar4071842910</v>
      </c>
      <c r="B80" s="43" t="s">
        <v>566</v>
      </c>
      <c r="C80" s="28">
        <v>40718</v>
      </c>
      <c r="D80" s="28">
        <v>42910</v>
      </c>
      <c r="E80" s="14">
        <f>NETWORKDAYS($C80,$D80,Feriados!$A$2:$A$1189)</f>
        <v>1509</v>
      </c>
      <c r="F80" s="14">
        <f t="shared" si="15"/>
        <v>2160</v>
      </c>
      <c r="G80" s="43" t="s">
        <v>41</v>
      </c>
      <c r="H80" s="47">
        <v>1.18</v>
      </c>
      <c r="I80" s="48">
        <v>52944.25</v>
      </c>
      <c r="J80" s="49">
        <v>42736</v>
      </c>
      <c r="K80" s="18">
        <f>NETWORKDAYS($C80,$J80,Feriados!$A$2:$A$1189)</f>
        <v>1390</v>
      </c>
      <c r="L80" s="48">
        <v>47342.47</v>
      </c>
      <c r="M80" s="49">
        <v>43101</v>
      </c>
      <c r="N80" s="18">
        <f>NETWORKDAYS($C80,$M80,Feriados!$A$2:$A$1189)</f>
        <v>1639</v>
      </c>
      <c r="O80" s="17">
        <f t="shared" si="10"/>
        <v>50188.895838886237</v>
      </c>
      <c r="P80" s="25">
        <f t="shared" si="11"/>
        <v>0.12201310301144441</v>
      </c>
      <c r="Q80" s="9">
        <f t="shared" si="12"/>
        <v>2.1962358542059985E-2</v>
      </c>
      <c r="T80" t="b">
        <f t="shared" si="13"/>
        <v>1</v>
      </c>
      <c r="U80" t="b">
        <f t="shared" si="14"/>
        <v>1</v>
      </c>
    </row>
    <row r="81" spans="1:21" x14ac:dyDescent="0.35">
      <c r="A81" t="str">
        <f t="shared" si="8"/>
        <v>Simpar4157143762</v>
      </c>
      <c r="B81" s="43" t="s">
        <v>566</v>
      </c>
      <c r="C81" s="28">
        <v>41571</v>
      </c>
      <c r="D81" s="28">
        <v>43762</v>
      </c>
      <c r="E81" s="14">
        <f>NETWORKDAYS($C81,$D81,Feriados!$A$2:$A$1189)</f>
        <v>1507</v>
      </c>
      <c r="F81" s="14">
        <f t="shared" si="15"/>
        <v>2160</v>
      </c>
      <c r="G81" s="43" t="s">
        <v>41</v>
      </c>
      <c r="H81" s="47">
        <v>1.175</v>
      </c>
      <c r="I81" s="48">
        <v>52015.85</v>
      </c>
      <c r="J81" s="49">
        <v>43739</v>
      </c>
      <c r="K81" s="18">
        <f>NETWORKDAYS($C81,$J81,Feriados!$A$2:$A$1189)</f>
        <v>1490</v>
      </c>
      <c r="L81" s="48">
        <v>50538.6</v>
      </c>
      <c r="M81" s="49">
        <v>43831</v>
      </c>
      <c r="N81" s="18">
        <f>NETWORKDAYS($C81,$M81,Feriados!$A$2:$A$1189)</f>
        <v>1553</v>
      </c>
      <c r="O81" s="17">
        <f t="shared" si="10"/>
        <v>51613.024925101861</v>
      </c>
      <c r="P81" s="25">
        <f t="shared" si="11"/>
        <v>0.11694627674842484</v>
      </c>
      <c r="Q81" s="9">
        <f t="shared" si="12"/>
        <v>2.0465598430974351E-2</v>
      </c>
      <c r="T81" t="b">
        <f t="shared" si="13"/>
        <v>1</v>
      </c>
      <c r="U81" t="b">
        <f t="shared" si="14"/>
        <v>1</v>
      </c>
    </row>
    <row r="82" spans="1:21" x14ac:dyDescent="0.35">
      <c r="A82" t="str">
        <f t="shared" si="8"/>
        <v>Simpar4180543631</v>
      </c>
      <c r="B82" s="43" t="s">
        <v>566</v>
      </c>
      <c r="C82" s="28">
        <v>41805</v>
      </c>
      <c r="D82" s="28">
        <v>43631</v>
      </c>
      <c r="E82" s="14">
        <f>NETWORKDAYS($C82,$D82,Feriados!$A$2:$A$1189)</f>
        <v>1255</v>
      </c>
      <c r="F82" s="14">
        <f t="shared" si="15"/>
        <v>1800</v>
      </c>
      <c r="G82" s="43" t="s">
        <v>41</v>
      </c>
      <c r="H82" s="47">
        <v>1.1599999999999999</v>
      </c>
      <c r="I82" s="48">
        <v>58745.87</v>
      </c>
      <c r="J82" s="49">
        <v>43556</v>
      </c>
      <c r="K82" s="18">
        <f>NETWORKDAYS($C82,$J82,Feriados!$A$2:$A$1189)</f>
        <v>1203</v>
      </c>
      <c r="L82" s="48">
        <v>57114.879999999997</v>
      </c>
      <c r="M82" s="49">
        <v>43647</v>
      </c>
      <c r="N82" s="18">
        <f>NETWORKDAYS($C82,$M82,Feriados!$A$2:$A$1189)</f>
        <v>1265</v>
      </c>
      <c r="O82" s="17">
        <f t="shared" si="10"/>
        <v>57374.846708545563</v>
      </c>
      <c r="P82" s="25">
        <f t="shared" si="11"/>
        <v>0.11801581284394658</v>
      </c>
      <c r="Q82" s="9">
        <f t="shared" si="12"/>
        <v>1.8882530055031443E-2</v>
      </c>
      <c r="T82" t="b">
        <f t="shared" si="13"/>
        <v>1</v>
      </c>
      <c r="U82" t="b">
        <f t="shared" si="14"/>
        <v>1</v>
      </c>
    </row>
    <row r="83" spans="1:21" x14ac:dyDescent="0.35">
      <c r="A83" t="str">
        <f t="shared" si="8"/>
        <v>Simpar4198843814</v>
      </c>
      <c r="B83" s="43" t="s">
        <v>566</v>
      </c>
      <c r="C83" s="28">
        <v>41988</v>
      </c>
      <c r="D83" s="28">
        <v>43814</v>
      </c>
      <c r="E83" s="14">
        <f>NETWORKDAYS($C83,$D83,Feriados!$A$2:$A$1189)</f>
        <v>1254</v>
      </c>
      <c r="F83" s="14">
        <f t="shared" si="15"/>
        <v>1800</v>
      </c>
      <c r="G83" s="43" t="s">
        <v>41</v>
      </c>
      <c r="H83" s="47">
        <v>1.1599999999999999</v>
      </c>
      <c r="I83" s="48">
        <v>56707.360000000001</v>
      </c>
      <c r="J83" s="49">
        <v>43739</v>
      </c>
      <c r="K83" s="18">
        <f>NETWORKDAYS($C83,$J83,Feriados!$A$2:$A$1189)</f>
        <v>1202</v>
      </c>
      <c r="L83" s="48">
        <v>55141.56</v>
      </c>
      <c r="M83" s="49">
        <v>43831</v>
      </c>
      <c r="N83" s="18">
        <f>NETWORKDAYS($C83,$M83,Feriados!$A$2:$A$1189)</f>
        <v>1265</v>
      </c>
      <c r="O83" s="17">
        <f t="shared" si="10"/>
        <v>55411.804024563266</v>
      </c>
      <c r="P83" s="25">
        <f t="shared" si="11"/>
        <v>0.12596502028471668</v>
      </c>
      <c r="Q83" s="9">
        <f t="shared" si="12"/>
        <v>2.0154403245554658E-2</v>
      </c>
      <c r="T83" t="b">
        <f t="shared" si="13"/>
        <v>1</v>
      </c>
      <c r="U83" t="b">
        <f t="shared" si="14"/>
        <v>1</v>
      </c>
    </row>
    <row r="84" spans="1:21" x14ac:dyDescent="0.35">
      <c r="A84" t="str">
        <f t="shared" si="8"/>
        <v>Simpar4198844545</v>
      </c>
      <c r="B84" s="43" t="s">
        <v>566</v>
      </c>
      <c r="C84" s="28">
        <v>41988</v>
      </c>
      <c r="D84" s="28">
        <v>44545</v>
      </c>
      <c r="E84" s="14">
        <f>NETWORKDAYS($C84,$D84,Feriados!$A$2:$A$1189)</f>
        <v>1755</v>
      </c>
      <c r="F84" s="14">
        <f t="shared" si="15"/>
        <v>2520</v>
      </c>
      <c r="G84" s="43" t="s">
        <v>41</v>
      </c>
      <c r="H84" s="47">
        <v>1.1850000000000001</v>
      </c>
      <c r="I84" s="48">
        <v>45163.78</v>
      </c>
      <c r="J84" s="49">
        <v>44470</v>
      </c>
      <c r="K84" s="18">
        <f>NETWORKDAYS($C84,$J84,Feriados!$A$2:$A$1189)</f>
        <v>1705</v>
      </c>
      <c r="L84" s="48">
        <v>43866.76</v>
      </c>
      <c r="M84" s="49">
        <v>44562</v>
      </c>
      <c r="N84" s="18">
        <f>NETWORKDAYS($C84,$M84,Feriados!$A$2:$A$1189)</f>
        <v>1767</v>
      </c>
      <c r="O84" s="17">
        <f t="shared" si="10"/>
        <v>44114.855409958902</v>
      </c>
      <c r="P84" s="25">
        <f t="shared" si="11"/>
        <v>0.12469293957372019</v>
      </c>
      <c r="Q84" s="9">
        <f t="shared" si="12"/>
        <v>2.3068193821138241E-2</v>
      </c>
      <c r="T84" t="b">
        <f t="shared" si="13"/>
        <v>1</v>
      </c>
      <c r="U84" t="b">
        <f t="shared" si="14"/>
        <v>1</v>
      </c>
    </row>
    <row r="85" spans="1:21" x14ac:dyDescent="0.35">
      <c r="A85" t="str">
        <f t="shared" si="8"/>
        <v>Simpar4180544362</v>
      </c>
      <c r="B85" s="43" t="s">
        <v>566</v>
      </c>
      <c r="C85" s="28">
        <v>41805</v>
      </c>
      <c r="D85" s="28">
        <v>44362</v>
      </c>
      <c r="E85" s="14">
        <f>NETWORKDAYS($C85,$D85,Feriados!$A$2:$A$1189)</f>
        <v>1757</v>
      </c>
      <c r="F85" s="14">
        <f t="shared" si="15"/>
        <v>2520</v>
      </c>
      <c r="G85" s="43" t="s">
        <v>41</v>
      </c>
      <c r="H85" s="47">
        <v>1.1850000000000001</v>
      </c>
      <c r="I85" s="48">
        <v>46610.35</v>
      </c>
      <c r="J85" s="49">
        <v>44287</v>
      </c>
      <c r="K85" s="18">
        <f>NETWORKDAYS($C85,$J85,Feriados!$A$2:$A$1189)</f>
        <v>1707</v>
      </c>
      <c r="L85" s="48">
        <v>45289.62</v>
      </c>
      <c r="M85" s="49">
        <v>44378</v>
      </c>
      <c r="N85" s="18">
        <f>NETWORKDAYS($C85,$M85,Feriados!$A$2:$A$1189)</f>
        <v>1769</v>
      </c>
      <c r="O85" s="17">
        <f t="shared" si="10"/>
        <v>45542.29103714216</v>
      </c>
      <c r="P85" s="25">
        <f t="shared" si="11"/>
        <v>0.11941800761347499</v>
      </c>
      <c r="Q85" s="9">
        <f t="shared" si="12"/>
        <v>2.2092331408492878E-2</v>
      </c>
      <c r="T85" t="b">
        <f t="shared" si="13"/>
        <v>1</v>
      </c>
      <c r="U85" t="b">
        <f t="shared" si="14"/>
        <v>1</v>
      </c>
    </row>
    <row r="86" spans="1:21" x14ac:dyDescent="0.35">
      <c r="A86" t="str">
        <f t="shared" si="8"/>
        <v>Simpar4378945250</v>
      </c>
      <c r="B86" s="43" t="s">
        <v>566</v>
      </c>
      <c r="C86" s="28">
        <v>43789</v>
      </c>
      <c r="D86" s="28">
        <v>45250</v>
      </c>
      <c r="E86" s="14">
        <f>NETWORKDAYS($C86,$D86,Feriados!$A$2:$A$1189)</f>
        <v>1003</v>
      </c>
      <c r="F86" s="14">
        <f t="shared" si="15"/>
        <v>1440</v>
      </c>
      <c r="G86" s="43" t="s">
        <v>41</v>
      </c>
      <c r="H86" s="47">
        <v>1.1520000000000001</v>
      </c>
      <c r="I86" s="48">
        <v>79349.649999999994</v>
      </c>
      <c r="J86" s="49">
        <v>45200</v>
      </c>
      <c r="K86" s="18">
        <f>NETWORKDAYS($C86,$J86,Feriados!$A$2:$A$1189)</f>
        <v>970</v>
      </c>
      <c r="L86" s="48">
        <v>77962.28</v>
      </c>
      <c r="M86" s="49">
        <v>45292</v>
      </c>
      <c r="N86" s="18">
        <f>NETWORKDAYS($C86,$M86,Feriados!$A$2:$A$1189)</f>
        <v>1031</v>
      </c>
      <c r="O86" s="17">
        <f t="shared" si="10"/>
        <v>78596.067914623185</v>
      </c>
      <c r="P86" s="25">
        <f t="shared" si="11"/>
        <v>6.2380652816515392E-2</v>
      </c>
      <c r="Q86" s="9">
        <f t="shared" si="12"/>
        <v>9.4818592281103488E-3</v>
      </c>
      <c r="T86" t="b">
        <f t="shared" si="13"/>
        <v>1</v>
      </c>
      <c r="U86" t="b">
        <f t="shared" si="14"/>
        <v>1</v>
      </c>
    </row>
    <row r="87" spans="1:21" x14ac:dyDescent="0.35">
      <c r="A87" t="str">
        <f t="shared" si="8"/>
        <v>Suzano4328046202</v>
      </c>
      <c r="B87" s="43" t="s">
        <v>592</v>
      </c>
      <c r="C87" s="28">
        <v>43280</v>
      </c>
      <c r="D87" s="28">
        <v>46202</v>
      </c>
      <c r="E87" s="14">
        <f>NETWORKDAYS($C87,$D87,Feriados!$A$2:$A$1189)</f>
        <v>2010</v>
      </c>
      <c r="F87" s="14">
        <f t="shared" si="15"/>
        <v>2880</v>
      </c>
      <c r="G87" s="43" t="s">
        <v>41</v>
      </c>
      <c r="H87" s="47">
        <v>1.125</v>
      </c>
      <c r="I87" s="48">
        <v>43557.54</v>
      </c>
      <c r="J87" s="49">
        <v>46023</v>
      </c>
      <c r="K87" s="18">
        <f>NETWORKDAYS($C87,$J87,Feriados!$A$2:$A$1189)</f>
        <v>1889</v>
      </c>
      <c r="L87" s="48">
        <v>38476.550000000003</v>
      </c>
      <c r="M87" s="49">
        <v>46388</v>
      </c>
      <c r="N87" s="18">
        <f>NETWORKDAYS($C87,$M87,Feriados!$A$2:$A$1189)</f>
        <v>2139</v>
      </c>
      <c r="O87" s="17">
        <f t="shared" si="10"/>
        <v>41019.617810570446</v>
      </c>
      <c r="P87" s="25">
        <f t="shared" si="11"/>
        <v>0.11820248976023318</v>
      </c>
      <c r="Q87" s="9">
        <f t="shared" si="12"/>
        <v>1.4775311220029147E-2</v>
      </c>
      <c r="T87" t="b">
        <f t="shared" si="13"/>
        <v>1</v>
      </c>
      <c r="U87" t="b">
        <f t="shared" si="14"/>
        <v>1</v>
      </c>
    </row>
    <row r="88" spans="1:21" x14ac:dyDescent="0.35">
      <c r="A88" t="str">
        <f t="shared" si="8"/>
        <v>Suzano4347243832</v>
      </c>
      <c r="B88" s="43" t="s">
        <v>592</v>
      </c>
      <c r="C88" s="28">
        <v>43472</v>
      </c>
      <c r="D88" s="28">
        <v>43832</v>
      </c>
      <c r="E88" s="14">
        <f>NETWORKDAYS($C88,$D88,Feriados!$A$2:$A$1189)</f>
        <v>251</v>
      </c>
      <c r="F88" s="14">
        <f t="shared" si="15"/>
        <v>355</v>
      </c>
      <c r="G88" s="43" t="s">
        <v>41</v>
      </c>
      <c r="H88" s="47">
        <v>1.03</v>
      </c>
      <c r="I88" s="48">
        <v>93869.33</v>
      </c>
      <c r="J88" s="49">
        <v>43831</v>
      </c>
      <c r="K88" s="18">
        <f>NETWORKDAYS($C88,$J88,Feriados!$A$2:$A$1189)</f>
        <v>250</v>
      </c>
      <c r="L88" s="48">
        <v>92274.01</v>
      </c>
      <c r="M88" s="49">
        <v>43922</v>
      </c>
      <c r="N88" s="18">
        <f>NETWORKDAYS($C88,$M88,Feriados!$A$2:$A$1189)</f>
        <v>313</v>
      </c>
      <c r="O88" s="17">
        <f t="shared" si="10"/>
        <v>93843.793285283769</v>
      </c>
      <c r="P88" s="25">
        <f t="shared" si="11"/>
        <v>6.5870356150075748E-2</v>
      </c>
      <c r="Q88" s="9">
        <f t="shared" si="12"/>
        <v>1.9761106845022744E-3</v>
      </c>
      <c r="T88" t="b">
        <f t="shared" si="13"/>
        <v>1</v>
      </c>
      <c r="U88" t="b">
        <f t="shared" si="14"/>
        <v>1</v>
      </c>
    </row>
    <row r="89" spans="1:21" x14ac:dyDescent="0.35">
      <c r="A89" t="str">
        <f t="shared" si="8"/>
        <v>Ultrapar4098442079</v>
      </c>
      <c r="B89" s="43" t="s">
        <v>604</v>
      </c>
      <c r="C89" s="28">
        <v>40984</v>
      </c>
      <c r="D89" s="28">
        <v>42079</v>
      </c>
      <c r="E89" s="14">
        <f>NETWORKDAYS($C89,$D89,Feriados!$A$2:$A$1189)</f>
        <v>755</v>
      </c>
      <c r="F89" s="14">
        <f t="shared" si="15"/>
        <v>1080</v>
      </c>
      <c r="G89" s="43" t="s">
        <v>41</v>
      </c>
      <c r="H89" s="47">
        <v>1.0825</v>
      </c>
      <c r="I89" s="48">
        <v>76109.84</v>
      </c>
      <c r="J89" s="49">
        <v>42005</v>
      </c>
      <c r="K89" s="18">
        <f>NETWORKDAYS($C89,$J89,Feriados!$A$2:$A$1189)</f>
        <v>705</v>
      </c>
      <c r="L89" s="48">
        <v>74087.75</v>
      </c>
      <c r="M89" s="49">
        <v>42095</v>
      </c>
      <c r="N89" s="18">
        <f>NETWORKDAYS($C89,$M89,Feriados!$A$2:$A$1189)</f>
        <v>767</v>
      </c>
      <c r="O89" s="17">
        <f t="shared" si="10"/>
        <v>74474.884542641463</v>
      </c>
      <c r="P89" s="25">
        <f t="shared" si="11"/>
        <v>0.10336675658201755</v>
      </c>
      <c r="Q89" s="9">
        <f t="shared" si="12"/>
        <v>8.52775741801645E-3</v>
      </c>
      <c r="T89" t="b">
        <f t="shared" si="13"/>
        <v>1</v>
      </c>
      <c r="U89" t="b">
        <f t="shared" si="14"/>
        <v>1</v>
      </c>
    </row>
    <row r="90" spans="1:21" x14ac:dyDescent="0.35">
      <c r="A90" t="str">
        <f t="shared" si="8"/>
        <v>Ultrapar4207943175</v>
      </c>
      <c r="B90" s="43" t="s">
        <v>604</v>
      </c>
      <c r="C90" s="28">
        <v>42079</v>
      </c>
      <c r="D90" s="28">
        <v>43175</v>
      </c>
      <c r="E90" s="14">
        <f>NETWORKDAYS($C90,$D90,Feriados!$A$2:$A$1189)</f>
        <v>753</v>
      </c>
      <c r="F90" s="14">
        <f t="shared" si="15"/>
        <v>1080</v>
      </c>
      <c r="G90" s="43" t="s">
        <v>41</v>
      </c>
      <c r="H90" s="47">
        <v>1.0825</v>
      </c>
      <c r="I90" s="48">
        <v>70120.53</v>
      </c>
      <c r="J90" s="49">
        <v>43101</v>
      </c>
      <c r="K90" s="18">
        <f>NETWORKDAYS($C90,$J90,Feriados!$A$2:$A$1189)</f>
        <v>701</v>
      </c>
      <c r="L90" s="48">
        <v>68060.22</v>
      </c>
      <c r="M90" s="49">
        <v>43191</v>
      </c>
      <c r="N90" s="18">
        <f>NETWORKDAYS($C90,$M90,Feriados!$A$2:$A$1189)</f>
        <v>762</v>
      </c>
      <c r="O90" s="17">
        <f t="shared" si="10"/>
        <v>68360.349748432855</v>
      </c>
      <c r="P90" s="25">
        <f t="shared" si="11"/>
        <v>0.13575491461523703</v>
      </c>
      <c r="Q90" s="9">
        <f t="shared" si="12"/>
        <v>1.1199780455757058E-2</v>
      </c>
      <c r="T90" t="b">
        <f t="shared" si="13"/>
        <v>1</v>
      </c>
      <c r="U90" t="b">
        <f t="shared" si="14"/>
        <v>1</v>
      </c>
    </row>
    <row r="91" spans="1:21" x14ac:dyDescent="0.35">
      <c r="A91" t="str">
        <f t="shared" si="8"/>
        <v>Ultrapar4316444990</v>
      </c>
      <c r="B91" s="43" t="s">
        <v>604</v>
      </c>
      <c r="C91" s="28">
        <v>43164</v>
      </c>
      <c r="D91" s="28">
        <v>44990</v>
      </c>
      <c r="E91" s="14">
        <f>NETWORKDAYS($C91,$D91,Feriados!$A$2:$A$1189)</f>
        <v>1257</v>
      </c>
      <c r="F91" s="14">
        <f t="shared" si="15"/>
        <v>1800</v>
      </c>
      <c r="G91" s="43" t="s">
        <v>41</v>
      </c>
      <c r="H91" s="47">
        <v>1.0525</v>
      </c>
      <c r="I91" s="48">
        <v>65645.59</v>
      </c>
      <c r="J91" s="49">
        <v>44927</v>
      </c>
      <c r="K91" s="18">
        <f>NETWORKDAYS($C91,$J91,Feriados!$A$2:$A$1189)</f>
        <v>1214</v>
      </c>
      <c r="L91" s="48">
        <v>62483.92</v>
      </c>
      <c r="M91" s="49">
        <v>45108</v>
      </c>
      <c r="N91" s="18">
        <f>NETWORKDAYS($C91,$M91,Feriados!$A$2:$A$1189)</f>
        <v>1338</v>
      </c>
      <c r="O91" s="17">
        <f t="shared" si="10"/>
        <v>64531.484761680011</v>
      </c>
      <c r="P91" s="25">
        <f t="shared" si="11"/>
        <v>9.1783356754502332E-2</v>
      </c>
      <c r="Q91" s="9">
        <f t="shared" si="12"/>
        <v>4.8186262296113719E-3</v>
      </c>
      <c r="T91" t="b">
        <f t="shared" si="13"/>
        <v>1</v>
      </c>
      <c r="U91" t="b">
        <f t="shared" si="14"/>
        <v>1</v>
      </c>
    </row>
    <row r="92" spans="1:21" x14ac:dyDescent="0.35">
      <c r="A92" t="str">
        <f t="shared" si="8"/>
        <v>Votorantim Cimentos4188343344</v>
      </c>
      <c r="B92" s="43" t="s">
        <v>633</v>
      </c>
      <c r="C92" s="28">
        <v>41883</v>
      </c>
      <c r="D92" s="28">
        <v>43344</v>
      </c>
      <c r="E92" s="14">
        <f>NETWORKDAYS($C92,$D92,Feriados!$A$2:$A$1189)</f>
        <v>1006</v>
      </c>
      <c r="F92" s="14">
        <f t="shared" si="15"/>
        <v>1440</v>
      </c>
      <c r="G92" s="43" t="s">
        <v>41</v>
      </c>
      <c r="H92" s="47">
        <v>1.0880000000000001</v>
      </c>
      <c r="I92" s="48">
        <v>66868.66</v>
      </c>
      <c r="J92" s="49">
        <v>43282</v>
      </c>
      <c r="K92" s="18">
        <f>NETWORKDAYS($C92,$J92,Feriados!$A$2:$A$1189)</f>
        <v>961</v>
      </c>
      <c r="L92" s="48">
        <v>65124.13</v>
      </c>
      <c r="M92" s="49">
        <v>43374</v>
      </c>
      <c r="N92" s="18">
        <f>NETWORKDAYS($C92,$M92,Feriados!$A$2:$A$1189)</f>
        <v>1026</v>
      </c>
      <c r="O92" s="17">
        <f t="shared" si="10"/>
        <v>65656.004965668733</v>
      </c>
      <c r="P92" s="25">
        <f t="shared" si="11"/>
        <v>0.11114875643134403</v>
      </c>
      <c r="Q92" s="9">
        <f t="shared" si="12"/>
        <v>9.7810905659582829E-3</v>
      </c>
      <c r="T92" t="b">
        <f t="shared" si="13"/>
        <v>1</v>
      </c>
      <c r="U92" t="b">
        <f t="shared" si="14"/>
        <v>1</v>
      </c>
    </row>
    <row r="93" spans="1:21" x14ac:dyDescent="0.35">
      <c r="A93" t="str">
        <f t="shared" si="8"/>
        <v>Votorantim Cimentos4231345721</v>
      </c>
      <c r="B93" s="43" t="s">
        <v>633</v>
      </c>
      <c r="C93" s="28">
        <v>42313</v>
      </c>
      <c r="D93" s="28">
        <v>45721</v>
      </c>
      <c r="E93" s="14">
        <f>NETWORKDAYS($C93,$D93,Feriados!$A$2:$A$1189)</f>
        <v>2342</v>
      </c>
      <c r="F93" s="14">
        <f t="shared" si="15"/>
        <v>3360</v>
      </c>
      <c r="G93" s="43" t="s">
        <v>41</v>
      </c>
      <c r="H93" s="47">
        <v>1.1200000000000001</v>
      </c>
      <c r="I93" s="48">
        <v>26625.14</v>
      </c>
      <c r="J93" s="49">
        <v>45658</v>
      </c>
      <c r="K93" s="18">
        <f>NETWORKDAYS($C93,$J93,Feriados!$A$2:$A$1189)</f>
        <v>2299</v>
      </c>
      <c r="L93" s="48">
        <v>22976.6</v>
      </c>
      <c r="M93" s="49">
        <v>46023</v>
      </c>
      <c r="N93" s="18">
        <f>NETWORKDAYS($C93,$M93,Feriados!$A$2:$A$1189)</f>
        <v>2552</v>
      </c>
      <c r="O93" s="17">
        <f t="shared" si="10"/>
        <v>25966.498285523099</v>
      </c>
      <c r="P93" s="25">
        <f t="shared" si="11"/>
        <v>0.15613705170867798</v>
      </c>
      <c r="Q93" s="9">
        <f t="shared" si="12"/>
        <v>1.8736446205041373E-2</v>
      </c>
      <c r="T93" t="b">
        <f t="shared" si="13"/>
        <v>1</v>
      </c>
      <c r="U93" t="b">
        <f t="shared" si="14"/>
        <v>1</v>
      </c>
    </row>
    <row r="94" spans="1:21" x14ac:dyDescent="0.35">
      <c r="A94" t="str">
        <f t="shared" si="8"/>
        <v>Votorantim Cimentos4274544571</v>
      </c>
      <c r="B94" s="43" t="s">
        <v>633</v>
      </c>
      <c r="C94" s="28">
        <v>42745</v>
      </c>
      <c r="D94" s="28">
        <v>44571</v>
      </c>
      <c r="E94" s="14">
        <f>NETWORKDAYS($C94,$D94,Feriados!$A$2:$A$1189)</f>
        <v>1254</v>
      </c>
      <c r="F94" s="14">
        <f t="shared" si="15"/>
        <v>1800</v>
      </c>
      <c r="G94" s="43" t="s">
        <v>41</v>
      </c>
      <c r="H94" s="47">
        <v>1.1990000000000001</v>
      </c>
      <c r="I94" s="48">
        <v>59058.82</v>
      </c>
      <c r="J94" s="49">
        <v>44562</v>
      </c>
      <c r="K94" s="18">
        <f>NETWORKDAYS($C94,$J94,Feriados!$A$2:$A$1189)</f>
        <v>1248</v>
      </c>
      <c r="L94" s="48">
        <v>55883.63</v>
      </c>
      <c r="M94" s="49">
        <v>44743</v>
      </c>
      <c r="N94" s="18">
        <f>NETWORKDAYS($C94,$M94,Feriados!$A$2:$A$1189)</f>
        <v>1373</v>
      </c>
      <c r="O94" s="17">
        <f t="shared" si="10"/>
        <v>58902.368440632803</v>
      </c>
      <c r="P94" s="25">
        <f t="shared" si="11"/>
        <v>0.11222695755650824</v>
      </c>
      <c r="Q94" s="9">
        <f t="shared" si="12"/>
        <v>2.233316455374515E-2</v>
      </c>
      <c r="T94" t="b">
        <f t="shared" si="13"/>
        <v>1</v>
      </c>
      <c r="U94" t="b">
        <f t="shared" si="14"/>
        <v>1</v>
      </c>
    </row>
    <row r="95" spans="1:21" x14ac:dyDescent="0.35">
      <c r="A95" t="str">
        <f t="shared" si="8"/>
        <v>Votorantim Cimentos4188343709</v>
      </c>
      <c r="B95" s="43" t="s">
        <v>633</v>
      </c>
      <c r="C95" s="28">
        <v>41883</v>
      </c>
      <c r="D95" s="28">
        <v>43709</v>
      </c>
      <c r="E95" s="14">
        <f>NETWORKDAYS($C95,$D95,Feriados!$A$2:$A$1189)</f>
        <v>1255</v>
      </c>
      <c r="F95" s="14">
        <f t="shared" si="15"/>
        <v>1800</v>
      </c>
      <c r="G95" s="43" t="s">
        <v>41</v>
      </c>
      <c r="H95" s="47">
        <v>1.0790999999999999</v>
      </c>
      <c r="I95" s="48">
        <v>60403.64</v>
      </c>
      <c r="J95" s="49">
        <v>43647</v>
      </c>
      <c r="K95" s="18">
        <f>NETWORKDAYS($C95,$J95,Feriados!$A$2:$A$1189)</f>
        <v>1211</v>
      </c>
      <c r="L95" s="48">
        <v>58821.61</v>
      </c>
      <c r="M95" s="49">
        <v>43739</v>
      </c>
      <c r="N95" s="18">
        <f>NETWORKDAYS($C95,$M95,Feriados!$A$2:$A$1189)</f>
        <v>1277</v>
      </c>
      <c r="O95" s="17">
        <f t="shared" si="10"/>
        <v>59344.295030833302</v>
      </c>
      <c r="P95" s="25">
        <f t="shared" si="11"/>
        <v>0.1104647561690919</v>
      </c>
      <c r="Q95" s="9">
        <f t="shared" si="12"/>
        <v>8.7377622129751632E-3</v>
      </c>
      <c r="T95" t="b">
        <f t="shared" si="13"/>
        <v>1</v>
      </c>
      <c r="U95" t="b">
        <f t="shared" si="14"/>
        <v>1</v>
      </c>
    </row>
    <row r="96" spans="1:21" x14ac:dyDescent="0.35">
      <c r="A96" t="str">
        <f t="shared" si="8"/>
        <v>Votorantim Cimentos4188343709</v>
      </c>
      <c r="B96" s="43" t="s">
        <v>633</v>
      </c>
      <c r="C96" s="28">
        <v>41883</v>
      </c>
      <c r="D96" s="28">
        <v>43709</v>
      </c>
      <c r="E96" s="14">
        <f>NETWORKDAYS($C96,$D96,Feriados!$A$2:$A$1189)</f>
        <v>1255</v>
      </c>
      <c r="F96" s="14">
        <f t="shared" si="15"/>
        <v>1800</v>
      </c>
      <c r="G96" s="43" t="s">
        <v>41</v>
      </c>
      <c r="H96" s="47">
        <v>1.0940000000000001</v>
      </c>
      <c r="I96" s="48">
        <v>60403.64</v>
      </c>
      <c r="J96" s="49">
        <v>43647</v>
      </c>
      <c r="K96" s="18">
        <f>NETWORKDAYS($C96,$J96,Feriados!$A$2:$A$1189)</f>
        <v>1211</v>
      </c>
      <c r="L96" s="48">
        <v>58821.61</v>
      </c>
      <c r="M96" s="49">
        <v>43739</v>
      </c>
      <c r="N96" s="18">
        <f>NETWORKDAYS($C96,$M96,Feriados!$A$2:$A$1189)</f>
        <v>1277</v>
      </c>
      <c r="O96" s="17">
        <f t="shared" si="10"/>
        <v>59344.295030833302</v>
      </c>
      <c r="P96" s="25">
        <f t="shared" si="11"/>
        <v>0.1104647561690919</v>
      </c>
      <c r="Q96" s="9">
        <f t="shared" si="12"/>
        <v>1.0383687079894649E-2</v>
      </c>
      <c r="T96" t="b">
        <f t="shared" si="13"/>
        <v>1</v>
      </c>
      <c r="U96" t="b">
        <f t="shared" si="14"/>
        <v>1</v>
      </c>
    </row>
    <row r="97" spans="1:21" x14ac:dyDescent="0.35">
      <c r="A97" t="str">
        <f t="shared" si="8"/>
        <v>Votorantim Cimentos4058844241</v>
      </c>
      <c r="B97" s="43" t="s">
        <v>633</v>
      </c>
      <c r="C97" s="28">
        <v>40588</v>
      </c>
      <c r="D97" s="28">
        <v>44241</v>
      </c>
      <c r="E97" s="14">
        <f>NETWORKDAYS($C97,$D97,Feriados!$A$2:$A$1189)</f>
        <v>2512</v>
      </c>
      <c r="F97" s="14">
        <f t="shared" si="15"/>
        <v>3600</v>
      </c>
      <c r="G97" s="43" t="s">
        <v>41</v>
      </c>
      <c r="H97" s="47">
        <v>1.139</v>
      </c>
      <c r="I97" s="48">
        <v>30910.720000000001</v>
      </c>
      <c r="J97" s="49">
        <v>44197</v>
      </c>
      <c r="K97" s="18">
        <f>NETWORKDAYS($C97,$J97,Feriados!$A$2:$A$1189)</f>
        <v>2482</v>
      </c>
      <c r="L97" s="48">
        <v>27450.15</v>
      </c>
      <c r="M97" s="49">
        <v>44562</v>
      </c>
      <c r="N97" s="18">
        <f>NETWORKDAYS($C97,$M97,Feriados!$A$2:$A$1189)</f>
        <v>2733</v>
      </c>
      <c r="O97" s="17">
        <f t="shared" si="10"/>
        <v>30475.163588285628</v>
      </c>
      <c r="P97" s="25">
        <f t="shared" si="11"/>
        <v>0.12659999205758243</v>
      </c>
      <c r="Q97" s="9">
        <f t="shared" si="12"/>
        <v>1.7597398896003959E-2</v>
      </c>
      <c r="T97" t="b">
        <f t="shared" si="13"/>
        <v>1</v>
      </c>
      <c r="U97" t="b">
        <f t="shared" si="14"/>
        <v>1</v>
      </c>
    </row>
    <row r="98" spans="1:21" x14ac:dyDescent="0.35">
      <c r="A98" t="str">
        <f t="shared" si="8"/>
        <v>Votorantim Cimentos4124845356</v>
      </c>
      <c r="B98" s="43" t="s">
        <v>633</v>
      </c>
      <c r="C98" s="28">
        <v>41248</v>
      </c>
      <c r="D98" s="28">
        <v>45356</v>
      </c>
      <c r="E98" s="14">
        <f>NETWORKDAYS($C98,$D98,Feriados!$A$2:$A$1189)</f>
        <v>2823</v>
      </c>
      <c r="F98" s="14">
        <f t="shared" si="15"/>
        <v>4050</v>
      </c>
      <c r="G98" s="43" t="s">
        <v>41</v>
      </c>
      <c r="H98" s="47">
        <v>1.1890000000000001</v>
      </c>
      <c r="I98" s="48">
        <v>37017.96</v>
      </c>
      <c r="J98" s="49">
        <v>45292</v>
      </c>
      <c r="K98" s="18">
        <f>NETWORKDAYS($C98,$J98,Feriados!$A$2:$A$1189)</f>
        <v>2779</v>
      </c>
      <c r="L98" s="48">
        <v>35412.36</v>
      </c>
      <c r="M98" s="49">
        <v>45474</v>
      </c>
      <c r="N98" s="18">
        <f>NETWORKDAYS($C98,$M98,Feriados!$A$2:$A$1189)</f>
        <v>2904</v>
      </c>
      <c r="O98" s="17">
        <f t="shared" si="10"/>
        <v>36444.651583080682</v>
      </c>
      <c r="P98" s="25">
        <f t="shared" si="11"/>
        <v>9.4287706488724865E-2</v>
      </c>
      <c r="Q98" s="9">
        <f t="shared" si="12"/>
        <v>1.7820376526369006E-2</v>
      </c>
      <c r="T98" t="b">
        <f t="shared" si="13"/>
        <v>1</v>
      </c>
      <c r="U98" t="b">
        <f t="shared" si="14"/>
        <v>1</v>
      </c>
    </row>
    <row r="99" spans="1:21" x14ac:dyDescent="0.35">
      <c r="A99" t="str">
        <f t="shared" si="8"/>
        <v>Votorantim Cimentos4161345721</v>
      </c>
      <c r="B99" s="43" t="s">
        <v>633</v>
      </c>
      <c r="C99" s="28">
        <v>41613</v>
      </c>
      <c r="D99" s="28">
        <v>45721</v>
      </c>
      <c r="E99" s="14">
        <f>NETWORKDAYS($C99,$D99,Feriados!$A$2:$A$1189)</f>
        <v>2823</v>
      </c>
      <c r="F99" s="14">
        <f t="shared" si="15"/>
        <v>4050</v>
      </c>
      <c r="G99" s="43" t="s">
        <v>41</v>
      </c>
      <c r="H99" s="47">
        <v>1.1200000000000001</v>
      </c>
      <c r="I99" s="48">
        <v>25741.73</v>
      </c>
      <c r="J99" s="49">
        <v>45658</v>
      </c>
      <c r="K99" s="18">
        <f>NETWORKDAYS($C99,$J99,Feriados!$A$2:$A$1189)</f>
        <v>2780</v>
      </c>
      <c r="L99" s="48">
        <v>22751.06</v>
      </c>
      <c r="M99" s="49">
        <v>46023</v>
      </c>
      <c r="N99" s="18">
        <f>NETWORKDAYS($C99,$M99,Feriados!$A$2:$A$1189)</f>
        <v>3033</v>
      </c>
      <c r="O99" s="17">
        <f t="shared" si="10"/>
        <v>25207.032110579996</v>
      </c>
      <c r="P99" s="25">
        <f t="shared" si="11"/>
        <v>0.13089999984081091</v>
      </c>
      <c r="Q99" s="9">
        <f t="shared" si="12"/>
        <v>1.5707999980897322E-2</v>
      </c>
      <c r="T99" t="b">
        <f t="shared" si="13"/>
        <v>1</v>
      </c>
      <c r="U99" t="b">
        <f t="shared" si="14"/>
        <v>1</v>
      </c>
    </row>
    <row r="100" spans="1:21" x14ac:dyDescent="0.35">
      <c r="A100" t="str">
        <f t="shared" si="8"/>
        <v>Votorantim Cimentos4092843251</v>
      </c>
      <c r="B100" s="43" t="s">
        <v>633</v>
      </c>
      <c r="C100" s="28">
        <v>40928</v>
      </c>
      <c r="D100" s="28">
        <v>43251</v>
      </c>
      <c r="E100" s="14">
        <f>NETWORKDAYS($C100,$D100,Feriados!$A$2:$A$1189)</f>
        <v>1596</v>
      </c>
      <c r="F100" s="14">
        <f t="shared" si="15"/>
        <v>2291</v>
      </c>
      <c r="G100" s="43" t="s">
        <v>41</v>
      </c>
      <c r="H100" s="47">
        <v>1.1100000000000001</v>
      </c>
      <c r="I100" s="48">
        <v>52048.69</v>
      </c>
      <c r="J100" s="49">
        <v>43191</v>
      </c>
      <c r="K100" s="18">
        <f>NETWORKDAYS($C100,$J100,Feriados!$A$2:$A$1189)</f>
        <v>1554</v>
      </c>
      <c r="L100" s="48">
        <v>50630.42</v>
      </c>
      <c r="M100" s="49">
        <v>43282</v>
      </c>
      <c r="N100" s="18">
        <f>NETWORKDAYS($C100,$M100,Feriados!$A$2:$A$1189)</f>
        <v>1617</v>
      </c>
      <c r="O100" s="17">
        <f t="shared" si="10"/>
        <v>51098.829786888309</v>
      </c>
      <c r="P100" s="25">
        <f t="shared" si="11"/>
        <v>0.11183508786574747</v>
      </c>
      <c r="Q100" s="9">
        <f t="shared" si="12"/>
        <v>1.2301859665232232E-2</v>
      </c>
      <c r="T100" t="b">
        <f t="shared" si="13"/>
        <v>1</v>
      </c>
      <c r="U100" t="b">
        <f t="shared" si="14"/>
        <v>1</v>
      </c>
    </row>
    <row r="101" spans="1:21" x14ac:dyDescent="0.35">
      <c r="A101" t="str">
        <f t="shared" si="8"/>
        <v>Votorantim Cimentos4172342819</v>
      </c>
      <c r="B101" s="43" t="s">
        <v>633</v>
      </c>
      <c r="C101" s="28">
        <v>41723</v>
      </c>
      <c r="D101" s="28">
        <v>42819</v>
      </c>
      <c r="E101" s="14">
        <f>NETWORKDAYS($C101,$D101,Feriados!$A$2:$A$1189)</f>
        <v>756</v>
      </c>
      <c r="F101" s="14">
        <f t="shared" si="15"/>
        <v>1080</v>
      </c>
      <c r="G101" s="43" t="s">
        <v>41</v>
      </c>
      <c r="H101" s="47">
        <v>1.07</v>
      </c>
      <c r="I101" s="48">
        <v>72127.649999999994</v>
      </c>
      <c r="J101" s="49">
        <v>42736</v>
      </c>
      <c r="K101" s="18">
        <f>NETWORKDAYS($C101,$J101,Feriados!$A$2:$A$1189)</f>
        <v>698</v>
      </c>
      <c r="L101" s="48">
        <v>69928.38</v>
      </c>
      <c r="M101" s="49">
        <v>42826</v>
      </c>
      <c r="N101" s="18">
        <f>NETWORKDAYS($C101,$M101,Feriados!$A$2:$A$1189)</f>
        <v>761</v>
      </c>
      <c r="O101" s="17">
        <f t="shared" si="10"/>
        <v>70100.448062449199</v>
      </c>
      <c r="P101" s="25">
        <f t="shared" si="11"/>
        <v>0.12570968371495117</v>
      </c>
      <c r="Q101" s="9">
        <f t="shared" si="12"/>
        <v>8.79967786004659E-3</v>
      </c>
      <c r="T101" t="b">
        <f t="shared" si="13"/>
        <v>1</v>
      </c>
      <c r="U101" t="b">
        <f t="shared" si="14"/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P65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68145-7A97-4E6B-B572-BE807218AD6C}">
  <dimension ref="A1:AJ77"/>
  <sheetViews>
    <sheetView zoomScale="85" zoomScaleNormal="85" workbookViewId="0">
      <selection activeCell="I3" sqref="I3"/>
    </sheetView>
  </sheetViews>
  <sheetFormatPr defaultRowHeight="14.5" x14ac:dyDescent="0.35"/>
  <cols>
    <col min="1" max="1" width="21.36328125" customWidth="1"/>
    <col min="2" max="2" width="64.81640625" bestFit="1" customWidth="1"/>
    <col min="3" max="3" width="14.6328125" bestFit="1" customWidth="1"/>
    <col min="4" max="4" width="18.26953125" bestFit="1" customWidth="1"/>
    <col min="5" max="5" width="6.81640625" bestFit="1" customWidth="1"/>
    <col min="6" max="6" width="6.81640625" customWidth="1"/>
    <col min="7" max="7" width="10.26953125" bestFit="1" customWidth="1"/>
    <col min="8" max="8" width="10.26953125" customWidth="1"/>
    <col min="9" max="9" width="16.81640625" bestFit="1" customWidth="1"/>
    <col min="10" max="11" width="16.81640625" customWidth="1"/>
    <col min="12" max="12" width="16.81640625" bestFit="1" customWidth="1"/>
    <col min="13" max="14" width="16.81640625" customWidth="1"/>
    <col min="15" max="22" width="13.453125" customWidth="1"/>
    <col min="23" max="23" width="14.1796875" bestFit="1" customWidth="1"/>
    <col min="24" max="24" width="14.1796875" customWidth="1"/>
    <col min="25" max="26" width="14.08984375" customWidth="1"/>
    <col min="27" max="27" width="14.54296875" bestFit="1" customWidth="1"/>
    <col min="31" max="34" width="12" bestFit="1" customWidth="1"/>
    <col min="35" max="35" width="29.453125" bestFit="1" customWidth="1"/>
    <col min="36" max="36" width="11" bestFit="1" customWidth="1"/>
  </cols>
  <sheetData>
    <row r="1" spans="1:36" x14ac:dyDescent="0.35">
      <c r="A1" t="s">
        <v>759</v>
      </c>
      <c r="B1" t="s">
        <v>732</v>
      </c>
      <c r="C1" t="s">
        <v>6</v>
      </c>
      <c r="D1" t="s">
        <v>7</v>
      </c>
      <c r="E1" t="s">
        <v>742</v>
      </c>
      <c r="F1" t="s">
        <v>748</v>
      </c>
      <c r="G1" t="s">
        <v>13</v>
      </c>
      <c r="H1" t="s">
        <v>744</v>
      </c>
      <c r="I1" s="15" t="s">
        <v>734</v>
      </c>
      <c r="J1" s="15" t="s">
        <v>739</v>
      </c>
      <c r="K1" s="15" t="s">
        <v>740</v>
      </c>
      <c r="L1" s="15" t="s">
        <v>735</v>
      </c>
      <c r="M1" s="15" t="s">
        <v>739</v>
      </c>
      <c r="N1" s="15" t="s">
        <v>741</v>
      </c>
      <c r="O1" s="15" t="s">
        <v>736</v>
      </c>
      <c r="P1" s="16" t="s">
        <v>737</v>
      </c>
      <c r="Q1" s="16" t="s">
        <v>739</v>
      </c>
      <c r="R1" s="16" t="s">
        <v>740</v>
      </c>
      <c r="S1" s="16" t="s">
        <v>738</v>
      </c>
      <c r="T1" s="16" t="s">
        <v>739</v>
      </c>
      <c r="U1" s="16" t="s">
        <v>741</v>
      </c>
      <c r="V1" s="16" t="s">
        <v>736</v>
      </c>
      <c r="W1" s="22" t="s">
        <v>733</v>
      </c>
      <c r="X1" s="22" t="s">
        <v>743</v>
      </c>
      <c r="Y1" s="5" t="s">
        <v>28</v>
      </c>
      <c r="Z1" s="5" t="s">
        <v>746</v>
      </c>
      <c r="AA1" s="41">
        <v>100000</v>
      </c>
      <c r="AB1" t="s">
        <v>696</v>
      </c>
      <c r="AC1" t="s">
        <v>697</v>
      </c>
      <c r="AE1" t="s">
        <v>761</v>
      </c>
      <c r="AF1" t="s">
        <v>761</v>
      </c>
      <c r="AG1" t="s">
        <v>761</v>
      </c>
      <c r="AH1" t="s">
        <v>761</v>
      </c>
    </row>
    <row r="2" spans="1:36" x14ac:dyDescent="0.35">
      <c r="A2" t="str">
        <f>B2&amp;C2&amp;D2</f>
        <v>Adecoagro4415046371</v>
      </c>
      <c r="B2" s="43" t="s">
        <v>24</v>
      </c>
      <c r="C2" s="28">
        <v>44150</v>
      </c>
      <c r="D2" s="28">
        <v>46371</v>
      </c>
      <c r="E2" s="14">
        <f>NETWORKDAYS($C2,$D2,Feriados!$A$2:$A$1189)</f>
        <v>1530</v>
      </c>
      <c r="F2" s="14">
        <f>DAYS360(C2,D2,0)</f>
        <v>2190</v>
      </c>
      <c r="G2" s="43" t="s">
        <v>28</v>
      </c>
      <c r="H2" s="29">
        <v>4.24E-2</v>
      </c>
      <c r="I2" s="30">
        <v>67306.95</v>
      </c>
      <c r="J2" s="31">
        <v>46204</v>
      </c>
      <c r="K2" s="18">
        <f>NETWORKDAYS($C2,$J2,Feriados!$A$2:$A$1189)</f>
        <v>1414</v>
      </c>
      <c r="L2" s="30">
        <v>64368.89</v>
      </c>
      <c r="M2" s="31">
        <v>46388</v>
      </c>
      <c r="N2" s="18">
        <f>NETWORKDAYS($C2,$M2,Feriados!$A$2:$A$1189)</f>
        <v>1541</v>
      </c>
      <c r="O2" s="17">
        <f>$I2*(($L2/$I2)^(($E2-$K2)/($N2-$K2)))</f>
        <v>64618.212436118556</v>
      </c>
      <c r="P2" s="39">
        <v>85013.14</v>
      </c>
      <c r="Q2" s="40">
        <v>46235</v>
      </c>
      <c r="R2" s="20">
        <f>NETWORKDAYS($C2,$Q2,Feriados!$A$2:$A$1189)</f>
        <v>1436</v>
      </c>
      <c r="S2" s="39">
        <v>77350.06</v>
      </c>
      <c r="T2" s="40">
        <v>46966</v>
      </c>
      <c r="U2" s="20">
        <f>NETWORKDAYS($C2,$T2,Feriados!$A$2:$A$1189)</f>
        <v>1938</v>
      </c>
      <c r="V2" s="19">
        <f>$P2*(($S2/$P2)^(($E2-$R2)/($U2-$R2)))</f>
        <v>83522.600908717592</v>
      </c>
      <c r="W2" s="25">
        <f>IFERROR(($AA$1/$O2)^(252/$E2)-1,"NA")</f>
        <v>7.4572338886723211E-2</v>
      </c>
      <c r="X2" s="25">
        <f>IFERROR(($AA$1/$V2)^(252/$E2)-1,"NA")</f>
        <v>3.0099887046806995E-2</v>
      </c>
      <c r="Y2" s="21">
        <f>IFERROR((((1+$W2)^($E2/252))/((1+$X2)^($E2/252)))^(252/$E2)-1,"NA")</f>
        <v>4.3172950894514006E-2</v>
      </c>
      <c r="Z2" s="21">
        <f t="shared" ref="Z2:Z27" si="0">IFERROR(((((1+$Y2)*(1+$H2))^($E2/252))/((1+$W2)^($E2/252)))^(252/$E2)-1,"NA")</f>
        <v>1.1940699254376463E-2</v>
      </c>
      <c r="AB2" t="s">
        <v>698</v>
      </c>
      <c r="AC2" t="s">
        <v>699</v>
      </c>
      <c r="AE2" t="b">
        <f>K2&lt;$E2</f>
        <v>1</v>
      </c>
      <c r="AF2" t="b">
        <f>N2&gt;$E2</f>
        <v>1</v>
      </c>
      <c r="AG2" t="b">
        <f>R2&lt;$E2</f>
        <v>1</v>
      </c>
      <c r="AH2" t="b">
        <f>U2&gt;$E2</f>
        <v>1</v>
      </c>
    </row>
    <row r="3" spans="1:36" x14ac:dyDescent="0.35">
      <c r="A3" t="str">
        <f t="shared" ref="A3:A64" si="1">B3&amp;C3&amp;D3</f>
        <v>Aegea4329645853</v>
      </c>
      <c r="B3" s="43" t="s">
        <v>39</v>
      </c>
      <c r="C3" s="28">
        <v>43296</v>
      </c>
      <c r="D3" s="28">
        <v>45853</v>
      </c>
      <c r="E3" s="14">
        <f>NETWORKDAYS($C3,$D3,Feriados!$A$2:$A$1189)</f>
        <v>1758</v>
      </c>
      <c r="F3" s="14">
        <f t="shared" ref="F3:F20" si="2">DAYS360(C3,D3,0)</f>
        <v>2520</v>
      </c>
      <c r="G3" s="43" t="s">
        <v>28</v>
      </c>
      <c r="H3" s="29">
        <v>7.0824999999999999E-2</v>
      </c>
      <c r="I3" s="30">
        <v>47188.01</v>
      </c>
      <c r="J3" s="31">
        <v>45839</v>
      </c>
      <c r="K3" s="18">
        <f>NETWORKDAYS($C3,$J3,Feriados!$A$2:$A$1189)</f>
        <v>1748</v>
      </c>
      <c r="L3" s="30">
        <v>44357.2</v>
      </c>
      <c r="M3" s="31">
        <v>46023</v>
      </c>
      <c r="N3" s="18">
        <f>NETWORKDAYS($C3,$M3,Feriados!$A$2:$A$1189)</f>
        <v>1878</v>
      </c>
      <c r="O3" s="17">
        <f t="shared" ref="O3:O21" si="3">$I3*(($L3/$I3)^(($E3-$K3)/($N3-$K3)))</f>
        <v>46963.983740895863</v>
      </c>
      <c r="P3" s="39">
        <v>71494.17</v>
      </c>
      <c r="Q3" s="40">
        <v>45505</v>
      </c>
      <c r="R3" s="20">
        <f>NETWORKDAYS($C3,$Q3,Feriados!$A$2:$A$1189)</f>
        <v>1519</v>
      </c>
      <c r="S3" s="39">
        <v>63116.88</v>
      </c>
      <c r="T3" s="40">
        <v>46235</v>
      </c>
      <c r="U3" s="20">
        <f>NETWORKDAYS($C3,$T3,Feriados!$A$2:$A$1189)</f>
        <v>2023</v>
      </c>
      <c r="V3" s="19">
        <f t="shared" ref="V3:V22" si="4">$P3*(($S3/$P3)^(($E3-$R3)/($U3-$R3)))</f>
        <v>67391.35052445624</v>
      </c>
      <c r="W3" s="25">
        <f t="shared" ref="W3:W27" si="5">IFERROR(($AA$1/$O3)^(252/$E3)-1,"NA")</f>
        <v>0.11442478171375892</v>
      </c>
      <c r="X3" s="25">
        <f t="shared" ref="X3:X27" si="6">IFERROR(($AA$1/$V3)^(252/$E3)-1,"NA")</f>
        <v>5.820226556078989E-2</v>
      </c>
      <c r="Y3" s="21">
        <f t="shared" ref="Y3:Y27" si="7">IFERROR((((1+$W3)^($E3/252))/((1+$X3)^($E3/252)))^(252/$E3)-1,"NA")</f>
        <v>5.3130217145371583E-2</v>
      </c>
      <c r="Z3" s="21">
        <f t="shared" si="0"/>
        <v>1.192847043520584E-2</v>
      </c>
      <c r="AB3" t="s">
        <v>700</v>
      </c>
      <c r="AC3" t="s">
        <v>701</v>
      </c>
      <c r="AE3" t="b">
        <f t="shared" ref="AE3:AE64" si="8">K3&lt;$E3</f>
        <v>1</v>
      </c>
      <c r="AF3" t="b">
        <f t="shared" ref="AF3:AF64" si="9">N3&gt;$E3</f>
        <v>1</v>
      </c>
      <c r="AG3" t="b">
        <f t="shared" ref="AG3:AG64" si="10">R3&lt;$E3</f>
        <v>1</v>
      </c>
      <c r="AH3" t="b">
        <f t="shared" ref="AH3:AH64" si="11">U3&gt;$E3</f>
        <v>1</v>
      </c>
    </row>
    <row r="4" spans="1:36" x14ac:dyDescent="0.35">
      <c r="A4" t="str">
        <f t="shared" si="1"/>
        <v>Americanas4415047832</v>
      </c>
      <c r="B4" s="43" t="s">
        <v>53</v>
      </c>
      <c r="C4" s="28">
        <v>44150</v>
      </c>
      <c r="D4" s="28">
        <v>47832</v>
      </c>
      <c r="E4" s="14">
        <f>NETWORKDAYS($C4,$D4,Feriados!$A$2:$A$1189)</f>
        <v>2533</v>
      </c>
      <c r="F4" s="14">
        <f t="shared" si="2"/>
        <v>3630</v>
      </c>
      <c r="G4" s="43" t="s">
        <v>28</v>
      </c>
      <c r="H4" s="29">
        <v>6.9569999999999993E-2</v>
      </c>
      <c r="I4" s="30">
        <v>49420.39</v>
      </c>
      <c r="J4" s="31">
        <v>47484</v>
      </c>
      <c r="K4" s="18">
        <f>NETWORKDAYS($C4,$J4,Feriados!$A$2:$A$1189)</f>
        <v>2291</v>
      </c>
      <c r="L4" s="30">
        <v>45172.37</v>
      </c>
      <c r="M4" s="31">
        <v>47849</v>
      </c>
      <c r="N4" s="18">
        <f>NETWORKDAYS($C4,$M4,Feriados!$A$2:$A$1189)</f>
        <v>2544</v>
      </c>
      <c r="O4" s="17">
        <f t="shared" si="3"/>
        <v>45349.236153712205</v>
      </c>
      <c r="P4" s="39">
        <v>70272.149999999994</v>
      </c>
      <c r="Q4" s="40">
        <v>47696</v>
      </c>
      <c r="R4" s="20">
        <f>NETWORKDAYS($C4,$Q4,Feriados!$A$2:$A$1189)</f>
        <v>2438</v>
      </c>
      <c r="S4" s="39">
        <v>55119.94</v>
      </c>
      <c r="T4" s="40">
        <v>49430</v>
      </c>
      <c r="U4" s="20">
        <f>NETWORKDAYS($C4,$T4,Feriados!$A$2:$A$1189)</f>
        <v>3631</v>
      </c>
      <c r="V4" s="19">
        <f t="shared" si="4"/>
        <v>68926.175520356846</v>
      </c>
      <c r="W4" s="25">
        <f t="shared" si="5"/>
        <v>8.1849242548868828E-2</v>
      </c>
      <c r="X4" s="25">
        <f t="shared" si="6"/>
        <v>3.7716295200882266E-2</v>
      </c>
      <c r="Y4" s="21">
        <f t="shared" si="7"/>
        <v>4.2528914263067596E-2</v>
      </c>
      <c r="Z4" s="21">
        <f t="shared" si="0"/>
        <v>3.0695966659125551E-2</v>
      </c>
      <c r="AB4" t="s">
        <v>702</v>
      </c>
      <c r="AC4" t="s">
        <v>703</v>
      </c>
      <c r="AE4" t="b">
        <f t="shared" si="8"/>
        <v>1</v>
      </c>
      <c r="AF4" t="b">
        <f t="shared" si="9"/>
        <v>1</v>
      </c>
      <c r="AG4" t="b">
        <f t="shared" si="10"/>
        <v>1</v>
      </c>
      <c r="AH4" t="b">
        <f t="shared" si="11"/>
        <v>1</v>
      </c>
    </row>
    <row r="5" spans="1:36" x14ac:dyDescent="0.35">
      <c r="A5" t="str">
        <f t="shared" si="1"/>
        <v>Americanas4147044392</v>
      </c>
      <c r="B5" s="43" t="s">
        <v>53</v>
      </c>
      <c r="C5" s="28">
        <v>41470</v>
      </c>
      <c r="D5" s="28">
        <v>44392</v>
      </c>
      <c r="E5" s="14">
        <f>NETWORKDAYS($C5,$D5,Feriados!$A$2:$A$1189)</f>
        <v>2011</v>
      </c>
      <c r="F5" s="14">
        <f t="shared" si="2"/>
        <v>2880</v>
      </c>
      <c r="G5" s="43" t="s">
        <v>28</v>
      </c>
      <c r="H5" s="29">
        <v>6.3899999999999998E-2</v>
      </c>
      <c r="I5" s="30">
        <v>43584.43</v>
      </c>
      <c r="J5" s="31">
        <v>44378</v>
      </c>
      <c r="K5" s="18">
        <f>NETWORKDAYS($C5,$J5,Feriados!$A$2:$A$1189)</f>
        <v>2001</v>
      </c>
      <c r="L5" s="30">
        <v>42376.87</v>
      </c>
      <c r="M5" s="31">
        <v>44470</v>
      </c>
      <c r="N5" s="18">
        <f>NETWORKDAYS($C5,$M5,Feriados!$A$2:$A$1189)</f>
        <v>2066</v>
      </c>
      <c r="O5" s="17">
        <f t="shared" si="3"/>
        <v>43396.435991403756</v>
      </c>
      <c r="P5" s="39">
        <v>70440.5</v>
      </c>
      <c r="Q5" s="40">
        <v>44044</v>
      </c>
      <c r="R5" s="20">
        <f>NETWORKDAYS($C5,$Q5,Feriados!$A$2:$A$1189)</f>
        <v>1772</v>
      </c>
      <c r="S5" s="39">
        <v>63393.42</v>
      </c>
      <c r="T5" s="40">
        <v>44774</v>
      </c>
      <c r="U5" s="20">
        <f>NETWORKDAYS($C5,$T5,Feriados!$A$2:$A$1189)</f>
        <v>2274</v>
      </c>
      <c r="V5" s="19">
        <f t="shared" si="4"/>
        <v>66992.719331583037</v>
      </c>
      <c r="W5" s="25">
        <f t="shared" si="5"/>
        <v>0.11027591260776548</v>
      </c>
      <c r="X5" s="25">
        <f t="shared" si="6"/>
        <v>5.1479035609066415E-2</v>
      </c>
      <c r="Y5" s="21">
        <f t="shared" si="7"/>
        <v>5.591825895476954E-2</v>
      </c>
      <c r="Z5" s="21">
        <f t="shared" si="0"/>
        <v>1.1812850252158391E-2</v>
      </c>
      <c r="AB5" t="s">
        <v>704</v>
      </c>
      <c r="AC5" t="s">
        <v>705</v>
      </c>
      <c r="AE5" t="b">
        <f t="shared" si="8"/>
        <v>1</v>
      </c>
      <c r="AF5" t="b">
        <f t="shared" si="9"/>
        <v>1</v>
      </c>
      <c r="AG5" t="b">
        <f t="shared" si="10"/>
        <v>1</v>
      </c>
      <c r="AH5" t="b">
        <f t="shared" si="11"/>
        <v>1</v>
      </c>
    </row>
    <row r="6" spans="1:36" x14ac:dyDescent="0.35">
      <c r="A6" t="str">
        <f t="shared" si="1"/>
        <v>Americanas4408947771</v>
      </c>
      <c r="B6" s="43" t="s">
        <v>53</v>
      </c>
      <c r="C6" s="28">
        <v>44089</v>
      </c>
      <c r="D6" s="28">
        <v>47771</v>
      </c>
      <c r="E6" s="14">
        <f>NETWORKDAYS($C6,$D6,Feriados!$A$2:$A$1189)</f>
        <v>2533</v>
      </c>
      <c r="F6" s="14">
        <f t="shared" si="2"/>
        <v>3630</v>
      </c>
      <c r="G6" s="43" t="s">
        <v>28</v>
      </c>
      <c r="H6" s="29">
        <v>7.400000000000001E-2</v>
      </c>
      <c r="I6" s="30">
        <v>50100.91</v>
      </c>
      <c r="J6" s="31">
        <v>47484</v>
      </c>
      <c r="K6" s="18">
        <f>NETWORKDAYS($C6,$J6,Feriados!$A$2:$A$1189)</f>
        <v>2333</v>
      </c>
      <c r="L6" s="30">
        <v>45828.65</v>
      </c>
      <c r="M6" s="31">
        <v>47849</v>
      </c>
      <c r="N6" s="18">
        <f>NETWORKDAYS($C6,$M6,Feriados!$A$2:$A$1189)</f>
        <v>2586</v>
      </c>
      <c r="O6" s="17">
        <f t="shared" si="3"/>
        <v>46692.375548335272</v>
      </c>
      <c r="P6" s="39">
        <v>71192.53</v>
      </c>
      <c r="Q6" s="40">
        <v>47696</v>
      </c>
      <c r="R6" s="20">
        <f>NETWORKDAYS($C6,$Q6,Feriados!$A$2:$A$1189)</f>
        <v>2480</v>
      </c>
      <c r="S6" s="39">
        <v>57258.39</v>
      </c>
      <c r="T6" s="40">
        <v>49430</v>
      </c>
      <c r="U6" s="20">
        <f>NETWORKDAYS($C6,$T6,Feriados!$A$2:$A$1189)</f>
        <v>3673</v>
      </c>
      <c r="V6" s="19">
        <f t="shared" si="4"/>
        <v>70506.954114154505</v>
      </c>
      <c r="W6" s="25">
        <f t="shared" si="5"/>
        <v>7.8712351749536502E-2</v>
      </c>
      <c r="X6" s="25">
        <f t="shared" si="6"/>
        <v>3.5377953942967721E-2</v>
      </c>
      <c r="Y6" s="21">
        <f t="shared" si="7"/>
        <v>4.1853699551493317E-2</v>
      </c>
      <c r="Z6" s="21">
        <f t="shared" si="0"/>
        <v>3.7302364716141012E-2</v>
      </c>
      <c r="AB6" t="s">
        <v>706</v>
      </c>
      <c r="AC6" t="s">
        <v>707</v>
      </c>
      <c r="AE6" t="b">
        <f t="shared" si="8"/>
        <v>1</v>
      </c>
      <c r="AF6" t="b">
        <f t="shared" si="9"/>
        <v>1</v>
      </c>
      <c r="AG6" t="b">
        <f t="shared" si="10"/>
        <v>1</v>
      </c>
      <c r="AH6" t="b">
        <f t="shared" si="11"/>
        <v>1</v>
      </c>
      <c r="AJ6" s="7"/>
    </row>
    <row r="7" spans="1:36" x14ac:dyDescent="0.35">
      <c r="A7" t="str">
        <f t="shared" si="1"/>
        <v>Americanas4284045397</v>
      </c>
      <c r="B7" s="43" t="s">
        <v>53</v>
      </c>
      <c r="C7" s="28">
        <v>42840</v>
      </c>
      <c r="D7" s="28">
        <v>45397</v>
      </c>
      <c r="E7" s="14">
        <f>NETWORKDAYS($C7,$D7,Feriados!$A$2:$A$1189)</f>
        <v>1754</v>
      </c>
      <c r="F7" s="14">
        <f t="shared" si="2"/>
        <v>2520</v>
      </c>
      <c r="G7" s="43" t="s">
        <v>28</v>
      </c>
      <c r="H7" s="29">
        <v>7.0971999999999993E-2</v>
      </c>
      <c r="I7" s="30">
        <v>52167.81</v>
      </c>
      <c r="J7" s="31">
        <v>45292</v>
      </c>
      <c r="K7" s="18">
        <f>NETWORKDAYS($C7,$J7,Feriados!$A$2:$A$1189)</f>
        <v>1682</v>
      </c>
      <c r="L7" s="30">
        <v>49659.74</v>
      </c>
      <c r="M7" s="31">
        <v>45474</v>
      </c>
      <c r="N7" s="18">
        <f>NETWORKDAYS($C7,$M7,Feriados!$A$2:$A$1189)</f>
        <v>1807</v>
      </c>
      <c r="O7" s="17">
        <f t="shared" si="3"/>
        <v>50708.091226256722</v>
      </c>
      <c r="P7" s="39">
        <v>73273.899999999994</v>
      </c>
      <c r="Q7" s="40">
        <v>45047</v>
      </c>
      <c r="R7" s="20">
        <f>NETWORKDAYS($C7,$Q7,Feriados!$A$2:$A$1189)</f>
        <v>1514</v>
      </c>
      <c r="S7" s="39">
        <v>68886.27</v>
      </c>
      <c r="T7" s="40">
        <v>45505</v>
      </c>
      <c r="U7" s="20">
        <f>NETWORKDAYS($C7,$T7,Feriados!$A$2:$A$1189)</f>
        <v>1830</v>
      </c>
      <c r="V7" s="19">
        <f t="shared" si="4"/>
        <v>69916.912322168908</v>
      </c>
      <c r="W7" s="25">
        <f t="shared" si="5"/>
        <v>0.10248331048573611</v>
      </c>
      <c r="X7" s="25">
        <f t="shared" si="6"/>
        <v>5.2759379309911925E-2</v>
      </c>
      <c r="Y7" s="21">
        <f t="shared" si="7"/>
        <v>4.723200016362572E-2</v>
      </c>
      <c r="Z7" s="21">
        <f t="shared" si="0"/>
        <v>1.7299889270069091E-2</v>
      </c>
      <c r="AB7" t="s">
        <v>32</v>
      </c>
      <c r="AC7" t="s">
        <v>708</v>
      </c>
      <c r="AE7" t="b">
        <f t="shared" si="8"/>
        <v>1</v>
      </c>
      <c r="AF7" t="b">
        <f t="shared" si="9"/>
        <v>1</v>
      </c>
      <c r="AG7" t="b">
        <f t="shared" si="10"/>
        <v>1</v>
      </c>
      <c r="AH7" t="b">
        <f t="shared" si="11"/>
        <v>1</v>
      </c>
    </row>
    <row r="8" spans="1:36" x14ac:dyDescent="0.35">
      <c r="A8" t="str">
        <f t="shared" si="1"/>
        <v>Andrade Gutierrez4107544727</v>
      </c>
      <c r="B8" s="43" t="s">
        <v>78</v>
      </c>
      <c r="C8" s="28">
        <v>41075</v>
      </c>
      <c r="D8" s="28">
        <v>44727</v>
      </c>
      <c r="E8" s="14">
        <f>NETWORKDAYS($C8,$D8,Feriados!$A$2:$A$1189)</f>
        <v>2512</v>
      </c>
      <c r="F8" s="14">
        <f t="shared" si="2"/>
        <v>3600</v>
      </c>
      <c r="G8" s="43" t="s">
        <v>28</v>
      </c>
      <c r="H8" s="29">
        <v>9.8000000000000004E-2</v>
      </c>
      <c r="I8" s="30">
        <v>38636.35</v>
      </c>
      <c r="J8" s="31">
        <v>44562</v>
      </c>
      <c r="K8" s="18">
        <f>NETWORKDAYS($C8,$J8,Feriados!$A$2:$A$1189)</f>
        <v>2398</v>
      </c>
      <c r="L8" s="30">
        <v>34677.699999999997</v>
      </c>
      <c r="M8" s="31">
        <v>44927</v>
      </c>
      <c r="N8" s="18">
        <f>NETWORKDAYS($C8,$M8,Feriados!$A$2:$A$1189)</f>
        <v>2649</v>
      </c>
      <c r="O8" s="17">
        <f t="shared" si="3"/>
        <v>36785.282180213915</v>
      </c>
      <c r="P8" s="39">
        <v>69768.92</v>
      </c>
      <c r="Q8" s="40">
        <v>44044</v>
      </c>
      <c r="R8" s="20">
        <f>NETWORKDAYS($C8,$Q8,Feriados!$A$2:$A$1189)</f>
        <v>2042</v>
      </c>
      <c r="S8" s="39">
        <v>58382.79</v>
      </c>
      <c r="T8" s="40">
        <v>45413</v>
      </c>
      <c r="U8" s="20">
        <f>NETWORKDAYS($C8,$T8,Feriados!$A$2:$A$1189)</f>
        <v>2981</v>
      </c>
      <c r="V8" s="19">
        <f t="shared" si="4"/>
        <v>63816.388196308297</v>
      </c>
      <c r="W8" s="25">
        <f t="shared" si="5"/>
        <v>0.10553096463065614</v>
      </c>
      <c r="X8" s="25">
        <f t="shared" si="6"/>
        <v>4.6089640840629054E-2</v>
      </c>
      <c r="Y8" s="21">
        <f t="shared" si="7"/>
        <v>5.6822399791915057E-2</v>
      </c>
      <c r="Z8" s="21">
        <f t="shared" si="0"/>
        <v>4.9623241768894877E-2</v>
      </c>
      <c r="AB8" t="s">
        <v>709</v>
      </c>
      <c r="AC8" t="s">
        <v>710</v>
      </c>
      <c r="AE8" t="b">
        <f t="shared" si="8"/>
        <v>1</v>
      </c>
      <c r="AF8" t="b">
        <f t="shared" si="9"/>
        <v>1</v>
      </c>
      <c r="AG8" t="b">
        <f t="shared" si="10"/>
        <v>1</v>
      </c>
      <c r="AH8" t="b">
        <f t="shared" si="11"/>
        <v>1</v>
      </c>
    </row>
    <row r="9" spans="1:36" x14ac:dyDescent="0.35">
      <c r="A9" t="str">
        <f t="shared" si="1"/>
        <v>BRF4358546142</v>
      </c>
      <c r="B9" s="43" t="s">
        <v>124</v>
      </c>
      <c r="C9" s="28">
        <v>43585</v>
      </c>
      <c r="D9" s="28">
        <v>46142</v>
      </c>
      <c r="E9" s="14">
        <f>NETWORKDAYS($C9,$D9,Feriados!$A$2:$A$1189)</f>
        <v>1762</v>
      </c>
      <c r="F9" s="14">
        <f t="shared" si="2"/>
        <v>2520</v>
      </c>
      <c r="G9" s="43" t="s">
        <v>28</v>
      </c>
      <c r="H9" s="29">
        <v>5.5E-2</v>
      </c>
      <c r="I9" s="30">
        <v>66130.28</v>
      </c>
      <c r="J9" s="31">
        <v>46023</v>
      </c>
      <c r="K9" s="18">
        <f>NETWORKDAYS($C9,$J9,Feriados!$A$2:$A$1189)</f>
        <v>1681</v>
      </c>
      <c r="L9" s="30">
        <v>64015.94</v>
      </c>
      <c r="M9" s="31">
        <v>46204</v>
      </c>
      <c r="N9" s="18">
        <f>NETWORKDAYS($C9,$M9,Feriados!$A$2:$A$1189)</f>
        <v>1804</v>
      </c>
      <c r="O9" s="17">
        <f t="shared" si="3"/>
        <v>64730.198495212564</v>
      </c>
      <c r="P9" s="39">
        <v>88153.38</v>
      </c>
      <c r="Q9" s="40">
        <v>45505</v>
      </c>
      <c r="R9" s="20">
        <f>NETWORKDAYS($C9,$Q9,Feriados!$A$2:$A$1189)</f>
        <v>1322</v>
      </c>
      <c r="S9" s="39">
        <v>81752.5</v>
      </c>
      <c r="T9" s="40">
        <v>46235</v>
      </c>
      <c r="U9" s="20">
        <f>NETWORKDAYS($C9,$T9,Feriados!$A$2:$A$1189)</f>
        <v>1826</v>
      </c>
      <c r="V9" s="19">
        <f t="shared" si="4"/>
        <v>82538.81687162054</v>
      </c>
      <c r="W9" s="25">
        <f t="shared" si="5"/>
        <v>6.4180637257502893E-2</v>
      </c>
      <c r="X9" s="25">
        <f t="shared" si="6"/>
        <v>2.7825717212530909E-2</v>
      </c>
      <c r="Y9" s="21">
        <f t="shared" si="7"/>
        <v>3.5370704815177012E-2</v>
      </c>
      <c r="Z9" s="21">
        <f t="shared" si="0"/>
        <v>2.6438609515595513E-2</v>
      </c>
      <c r="AB9" t="s">
        <v>711</v>
      </c>
      <c r="AC9" t="s">
        <v>712</v>
      </c>
      <c r="AE9" t="b">
        <f t="shared" si="8"/>
        <v>1</v>
      </c>
      <c r="AF9" t="b">
        <f t="shared" si="9"/>
        <v>1</v>
      </c>
      <c r="AG9" t="b">
        <f t="shared" si="10"/>
        <v>1</v>
      </c>
      <c r="AH9" t="b">
        <f t="shared" si="11"/>
        <v>1</v>
      </c>
      <c r="AI9" s="8"/>
    </row>
    <row r="10" spans="1:36" x14ac:dyDescent="0.35">
      <c r="A10" t="str">
        <f t="shared" si="1"/>
        <v>Cemig4132044242</v>
      </c>
      <c r="B10" s="43" t="s">
        <v>137</v>
      </c>
      <c r="C10" s="28">
        <v>41320</v>
      </c>
      <c r="D10" s="28">
        <v>44242</v>
      </c>
      <c r="E10" s="14">
        <f>NETWORKDAYS($C10,$D10,Feriados!$A$2:$A$1189)</f>
        <v>2010</v>
      </c>
      <c r="F10" s="14">
        <f t="shared" si="2"/>
        <v>2880</v>
      </c>
      <c r="G10" s="43" t="s">
        <v>28</v>
      </c>
      <c r="H10" s="29">
        <v>4.7E-2</v>
      </c>
      <c r="I10" s="30">
        <v>48628.57</v>
      </c>
      <c r="J10" s="31">
        <v>44197</v>
      </c>
      <c r="K10" s="18">
        <f>NETWORKDAYS($C10,$J10,Feriados!$A$2:$A$1189)</f>
        <v>1980</v>
      </c>
      <c r="L10" s="30">
        <v>47465.59</v>
      </c>
      <c r="M10" s="31">
        <v>44378</v>
      </c>
      <c r="N10" s="18">
        <f>NETWORKDAYS($C10,$M10,Feriados!$A$2:$A$1189)</f>
        <v>2104</v>
      </c>
      <c r="O10" s="17">
        <f t="shared" si="3"/>
        <v>48344.617005063781</v>
      </c>
      <c r="P10" s="39">
        <v>75710.17</v>
      </c>
      <c r="Q10" s="40">
        <v>44044</v>
      </c>
      <c r="R10" s="20">
        <f>NETWORKDAYS($C10,$Q10,Feriados!$A$2:$A$1189)</f>
        <v>1875</v>
      </c>
      <c r="S10" s="39">
        <v>69421.289999999994</v>
      </c>
      <c r="T10" s="40">
        <v>44774</v>
      </c>
      <c r="U10" s="20">
        <f>NETWORKDAYS($C10,$T10,Feriados!$A$2:$A$1189)</f>
        <v>2377</v>
      </c>
      <c r="V10" s="19">
        <f t="shared" si="4"/>
        <v>73964.975457527078</v>
      </c>
      <c r="W10" s="25">
        <f t="shared" si="5"/>
        <v>9.5403855155903106E-2</v>
      </c>
      <c r="X10" s="25">
        <f t="shared" si="6"/>
        <v>3.8533729618014378E-2</v>
      </c>
      <c r="Y10" s="21">
        <f t="shared" si="7"/>
        <v>5.4760017817434115E-2</v>
      </c>
      <c r="Z10" s="21">
        <f t="shared" si="0"/>
        <v>8.1521380967564117E-3</v>
      </c>
      <c r="AB10" t="s">
        <v>713</v>
      </c>
      <c r="AC10" t="s">
        <v>714</v>
      </c>
      <c r="AE10" t="b">
        <f t="shared" si="8"/>
        <v>1</v>
      </c>
      <c r="AF10" t="b">
        <f t="shared" si="9"/>
        <v>1</v>
      </c>
      <c r="AG10" t="b">
        <f t="shared" si="10"/>
        <v>1</v>
      </c>
      <c r="AH10" t="b">
        <f t="shared" si="11"/>
        <v>1</v>
      </c>
    </row>
    <row r="11" spans="1:36" x14ac:dyDescent="0.35">
      <c r="A11" t="str">
        <f t="shared" si="1"/>
        <v>Cemig4132045703</v>
      </c>
      <c r="B11" s="43" t="s">
        <v>137</v>
      </c>
      <c r="C11" s="28">
        <v>41320</v>
      </c>
      <c r="D11" s="28">
        <v>45703</v>
      </c>
      <c r="E11" s="14">
        <f>NETWORKDAYS($C11,$D11,Feriados!$A$2:$A$1189)</f>
        <v>3017</v>
      </c>
      <c r="F11" s="14">
        <f t="shared" si="2"/>
        <v>4320</v>
      </c>
      <c r="G11" s="43" t="s">
        <v>28</v>
      </c>
      <c r="H11" s="29">
        <v>5.0999999999999997E-2</v>
      </c>
      <c r="I11" s="30" t="s">
        <v>29</v>
      </c>
      <c r="J11" s="31" t="s">
        <v>29</v>
      </c>
      <c r="K11" s="18" t="s">
        <v>29</v>
      </c>
      <c r="L11" s="30">
        <v>33112.559999999998</v>
      </c>
      <c r="M11" s="31">
        <v>45658</v>
      </c>
      <c r="N11" s="18">
        <f>NETWORKDAYS($C11,$M11,Feriados!$A$2:$A$1189)</f>
        <v>2985</v>
      </c>
      <c r="O11" s="17" t="s">
        <v>29</v>
      </c>
      <c r="P11" s="39" t="s">
        <v>29</v>
      </c>
      <c r="Q11" s="40" t="s">
        <v>29</v>
      </c>
      <c r="R11" s="20" t="s">
        <v>29</v>
      </c>
      <c r="S11" s="39">
        <v>64098.46</v>
      </c>
      <c r="T11" s="40">
        <v>45505</v>
      </c>
      <c r="U11" s="20">
        <f>NETWORKDAYS($C11,$T11,Feriados!$A$2:$A$1189)</f>
        <v>2879</v>
      </c>
      <c r="V11" s="19" t="s">
        <v>29</v>
      </c>
      <c r="W11" s="37">
        <f>($AA$1/$L11)^(252/N11)-1</f>
        <v>9.7799994903257526E-2</v>
      </c>
      <c r="X11" s="37">
        <f>($AA$1/$S11)^(252/$U11)-1</f>
        <v>3.9696796373693832E-2</v>
      </c>
      <c r="Y11" s="21">
        <f t="shared" si="7"/>
        <v>5.58847528743176E-2</v>
      </c>
      <c r="Z11" s="21">
        <f t="shared" si="0"/>
        <v>1.087163456281659E-2</v>
      </c>
      <c r="AB11" t="s">
        <v>715</v>
      </c>
      <c r="AC11" t="s">
        <v>716</v>
      </c>
      <c r="AE11" t="b">
        <f t="shared" si="8"/>
        <v>0</v>
      </c>
      <c r="AF11" t="b">
        <f t="shared" si="9"/>
        <v>0</v>
      </c>
      <c r="AG11" t="b">
        <f t="shared" si="10"/>
        <v>0</v>
      </c>
      <c r="AH11" t="b">
        <f t="shared" si="11"/>
        <v>0</v>
      </c>
    </row>
    <row r="12" spans="1:36" x14ac:dyDescent="0.35">
      <c r="A12" t="str">
        <f t="shared" si="1"/>
        <v>Cemig4363146188</v>
      </c>
      <c r="B12" s="43" t="s">
        <v>137</v>
      </c>
      <c r="C12" s="28">
        <v>43631</v>
      </c>
      <c r="D12" s="28">
        <v>46188</v>
      </c>
      <c r="E12" s="14">
        <f>NETWORKDAYS($C12,$D12,Feriados!$A$2:$A$1189)</f>
        <v>1759</v>
      </c>
      <c r="F12" s="14">
        <f t="shared" si="2"/>
        <v>2520</v>
      </c>
      <c r="G12" s="43" t="s">
        <v>28</v>
      </c>
      <c r="H12" s="29">
        <v>4.0999999999999995E-2</v>
      </c>
      <c r="I12" s="30">
        <v>61320.53</v>
      </c>
      <c r="J12" s="31">
        <v>46023</v>
      </c>
      <c r="K12" s="18">
        <f>NETWORKDAYS($C12,$J12,Feriados!$A$2:$A$1189)</f>
        <v>1648</v>
      </c>
      <c r="L12" s="30">
        <v>58917.09</v>
      </c>
      <c r="M12" s="31">
        <v>46204</v>
      </c>
      <c r="N12" s="18">
        <f>NETWORKDAYS($C12,$M12,Feriados!$A$2:$A$1189)</f>
        <v>1771</v>
      </c>
      <c r="O12" s="17">
        <f t="shared" si="3"/>
        <v>59147.36432316553</v>
      </c>
      <c r="P12" s="39">
        <v>83886.84</v>
      </c>
      <c r="Q12" s="40">
        <v>45505</v>
      </c>
      <c r="R12" s="20">
        <f>NETWORKDAYS($C12,$Q12,Feriados!$A$2:$A$1189)</f>
        <v>1289</v>
      </c>
      <c r="S12" s="39">
        <v>77322.44</v>
      </c>
      <c r="T12" s="40">
        <v>46235</v>
      </c>
      <c r="U12" s="20">
        <f>NETWORKDAYS($C12,$T12,Feriados!$A$2:$A$1189)</f>
        <v>1793</v>
      </c>
      <c r="V12" s="19">
        <f t="shared" si="4"/>
        <v>77748.649701526941</v>
      </c>
      <c r="W12" s="25">
        <f t="shared" si="5"/>
        <v>7.8135307693105727E-2</v>
      </c>
      <c r="X12" s="25">
        <f t="shared" si="6"/>
        <v>3.6715742394819451E-2</v>
      </c>
      <c r="Y12" s="21">
        <f t="shared" si="7"/>
        <v>3.9952673239635361E-2</v>
      </c>
      <c r="Z12" s="21">
        <f t="shared" si="0"/>
        <v>4.1325287443632064E-3</v>
      </c>
      <c r="AE12" t="b">
        <f t="shared" si="8"/>
        <v>1</v>
      </c>
      <c r="AF12" t="b">
        <f t="shared" si="9"/>
        <v>1</v>
      </c>
      <c r="AG12" t="b">
        <f t="shared" si="10"/>
        <v>1</v>
      </c>
      <c r="AH12" t="b">
        <f t="shared" si="11"/>
        <v>1</v>
      </c>
    </row>
    <row r="13" spans="1:36" x14ac:dyDescent="0.35">
      <c r="A13" t="str">
        <f t="shared" si="1"/>
        <v>Cemig4095443511</v>
      </c>
      <c r="B13" s="43" t="s">
        <v>137</v>
      </c>
      <c r="C13" s="28">
        <v>40954</v>
      </c>
      <c r="D13" s="28">
        <v>43511</v>
      </c>
      <c r="E13" s="14">
        <f>NETWORKDAYS($C13,$D13,Feriados!$A$2:$A$1189)</f>
        <v>1758</v>
      </c>
      <c r="F13" s="14">
        <f t="shared" si="2"/>
        <v>2520</v>
      </c>
      <c r="G13" s="43" t="s">
        <v>28</v>
      </c>
      <c r="H13" s="29">
        <v>0.06</v>
      </c>
      <c r="I13" s="30">
        <v>49259.1</v>
      </c>
      <c r="J13" s="31">
        <v>43466</v>
      </c>
      <c r="K13" s="18">
        <f>NETWORKDAYS($C13,$J13,Feriados!$A$2:$A$1189)</f>
        <v>1725</v>
      </c>
      <c r="L13" s="30">
        <v>44143.31</v>
      </c>
      <c r="M13" s="31">
        <v>43831</v>
      </c>
      <c r="N13" s="18">
        <f>NETWORKDAYS($C13,$M13,Feriados!$A$2:$A$1189)</f>
        <v>1978</v>
      </c>
      <c r="O13" s="17">
        <f t="shared" si="3"/>
        <v>48559.584554636953</v>
      </c>
      <c r="P13" s="39">
        <v>78322.27</v>
      </c>
      <c r="Q13" s="40">
        <v>42856</v>
      </c>
      <c r="R13" s="20">
        <f>NETWORKDAYS($C13,$Q13,Feriados!$A$2:$A$1189)</f>
        <v>1307</v>
      </c>
      <c r="S13" s="39">
        <v>65255.040000000001</v>
      </c>
      <c r="T13" s="40">
        <v>44044</v>
      </c>
      <c r="U13" s="20">
        <f>NETWORKDAYS($C13,$T13,Feriados!$A$2:$A$1189)</f>
        <v>2124</v>
      </c>
      <c r="V13" s="19">
        <f t="shared" si="4"/>
        <v>70815.122050650985</v>
      </c>
      <c r="W13" s="25">
        <f t="shared" si="5"/>
        <v>0.10910030438898866</v>
      </c>
      <c r="X13" s="25">
        <f t="shared" si="6"/>
        <v>5.071188294340101E-2</v>
      </c>
      <c r="Y13" s="21">
        <f t="shared" si="7"/>
        <v>5.5570344633413482E-2</v>
      </c>
      <c r="Z13" s="21">
        <f t="shared" si="0"/>
        <v>8.8398325053484772E-3</v>
      </c>
      <c r="AE13" t="b">
        <f t="shared" si="8"/>
        <v>1</v>
      </c>
      <c r="AF13" t="b">
        <f t="shared" si="9"/>
        <v>1</v>
      </c>
      <c r="AG13" t="b">
        <f t="shared" si="10"/>
        <v>1</v>
      </c>
      <c r="AH13" t="b">
        <f t="shared" si="11"/>
        <v>1</v>
      </c>
    </row>
    <row r="14" spans="1:36" x14ac:dyDescent="0.35">
      <c r="A14" t="str">
        <f t="shared" si="1"/>
        <v>Cemig4220044027</v>
      </c>
      <c r="B14" s="43" t="s">
        <v>137</v>
      </c>
      <c r="C14" s="28">
        <v>42200</v>
      </c>
      <c r="D14" s="28">
        <v>44027</v>
      </c>
      <c r="E14" s="14">
        <f>NETWORKDAYS($C14,$D14,Feriados!$A$2:$A$1189)</f>
        <v>1255</v>
      </c>
      <c r="F14" s="14">
        <f t="shared" si="2"/>
        <v>1800</v>
      </c>
      <c r="G14" s="43" t="s">
        <v>28</v>
      </c>
      <c r="H14" s="29">
        <v>8.0670000000000006E-2</v>
      </c>
      <c r="I14" s="30">
        <v>55725.81</v>
      </c>
      <c r="J14" s="31">
        <v>44013</v>
      </c>
      <c r="K14" s="18">
        <f>NETWORKDAYS($C14,$J14,Feriados!$A$2:$A$1189)</f>
        <v>1245</v>
      </c>
      <c r="L14" s="30">
        <v>54068.95</v>
      </c>
      <c r="M14" s="31">
        <v>44105</v>
      </c>
      <c r="N14" s="18">
        <f>NETWORKDAYS($C14,$M14,Feriados!$A$2:$A$1189)</f>
        <v>1310</v>
      </c>
      <c r="O14" s="17">
        <f t="shared" si="3"/>
        <v>55467.642097872602</v>
      </c>
      <c r="P14" s="39">
        <v>78577.63</v>
      </c>
      <c r="Q14" s="40">
        <v>43586</v>
      </c>
      <c r="R14" s="20">
        <f>NETWORKDAYS($C14,$Q14,Feriados!$A$2:$A$1189)</f>
        <v>950</v>
      </c>
      <c r="S14" s="39">
        <v>72782.5</v>
      </c>
      <c r="T14" s="40">
        <v>44044</v>
      </c>
      <c r="U14" s="20">
        <f>NETWORKDAYS($C14,$T14,Feriados!$A$2:$A$1189)</f>
        <v>1267</v>
      </c>
      <c r="V14" s="19">
        <f t="shared" si="4"/>
        <v>72993.884378691713</v>
      </c>
      <c r="W14" s="25">
        <f t="shared" si="5"/>
        <v>0.12563091289436978</v>
      </c>
      <c r="X14" s="25">
        <f t="shared" si="6"/>
        <v>6.5250238284551898E-2</v>
      </c>
      <c r="Y14" s="21">
        <f t="shared" si="7"/>
        <v>5.6682150765864359E-2</v>
      </c>
      <c r="Z14" s="21">
        <f t="shared" si="0"/>
        <v>1.4475248313748024E-2</v>
      </c>
      <c r="AE14" t="b">
        <f t="shared" si="8"/>
        <v>1</v>
      </c>
      <c r="AF14" t="b">
        <f t="shared" si="9"/>
        <v>1</v>
      </c>
      <c r="AG14" t="b">
        <f t="shared" si="10"/>
        <v>1</v>
      </c>
      <c r="AH14" t="b">
        <f t="shared" si="11"/>
        <v>1</v>
      </c>
    </row>
    <row r="15" spans="1:36" x14ac:dyDescent="0.35">
      <c r="A15" t="str">
        <f t="shared" si="1"/>
        <v>Cemig4095444607</v>
      </c>
      <c r="B15" s="43" t="s">
        <v>137</v>
      </c>
      <c r="C15" s="28">
        <v>40954</v>
      </c>
      <c r="D15" s="28">
        <v>44607</v>
      </c>
      <c r="E15" s="14">
        <f>NETWORKDAYS($C15,$D15,Feriados!$A$2:$A$1189)</f>
        <v>2512</v>
      </c>
      <c r="F15" s="14">
        <f t="shared" si="2"/>
        <v>3600</v>
      </c>
      <c r="G15" s="43" t="s">
        <v>28</v>
      </c>
      <c r="H15" s="29">
        <v>6.2E-2</v>
      </c>
      <c r="I15" s="30">
        <v>35522.239999999998</v>
      </c>
      <c r="J15" s="31">
        <v>44562</v>
      </c>
      <c r="K15" s="18">
        <f>NETWORKDAYS($C15,$J15,Feriados!$A$2:$A$1189)</f>
        <v>2480</v>
      </c>
      <c r="L15" s="30">
        <v>31648.16</v>
      </c>
      <c r="M15" s="31">
        <v>44927</v>
      </c>
      <c r="N15" s="18">
        <f>NETWORKDAYS($C15,$M15,Feriados!$A$2:$A$1189)</f>
        <v>2731</v>
      </c>
      <c r="O15" s="17">
        <f t="shared" si="3"/>
        <v>35003.097618090826</v>
      </c>
      <c r="P15" s="39" t="s">
        <v>29</v>
      </c>
      <c r="Q15" s="40" t="s">
        <v>29</v>
      </c>
      <c r="R15" s="20" t="s">
        <v>29</v>
      </c>
      <c r="S15" s="39">
        <v>65255.040000000001</v>
      </c>
      <c r="T15" s="40">
        <v>44044</v>
      </c>
      <c r="U15" s="20">
        <f>NETWORKDAYS($C15,$T15,Feriados!$A$2:$A$1189)</f>
        <v>2124</v>
      </c>
      <c r="V15" s="19" t="s">
        <v>29</v>
      </c>
      <c r="W15" s="25">
        <f t="shared" si="5"/>
        <v>0.11105239812677614</v>
      </c>
      <c r="X15" s="37">
        <f>($AA$1/$S15)^(252/$U15)-1</f>
        <v>5.1949622265468509E-2</v>
      </c>
      <c r="Y15" s="21">
        <f t="shared" si="7"/>
        <v>5.6184036393325032E-2</v>
      </c>
      <c r="Z15" s="21">
        <f t="shared" si="0"/>
        <v>9.5540485226726091E-3</v>
      </c>
      <c r="AE15" t="b">
        <f t="shared" si="8"/>
        <v>1</v>
      </c>
      <c r="AF15" t="b">
        <f t="shared" si="9"/>
        <v>1</v>
      </c>
      <c r="AG15" t="b">
        <f t="shared" si="10"/>
        <v>0</v>
      </c>
      <c r="AH15" t="b">
        <f t="shared" si="11"/>
        <v>0</v>
      </c>
    </row>
    <row r="16" spans="1:36" x14ac:dyDescent="0.35">
      <c r="A16" t="str">
        <f t="shared" ref="A16:A17" si="12">B16&amp;C16&amp;D16</f>
        <v>Cemig4472747284</v>
      </c>
      <c r="B16" s="43" t="s">
        <v>137</v>
      </c>
      <c r="C16" s="28">
        <v>44727</v>
      </c>
      <c r="D16" s="28">
        <v>47284</v>
      </c>
      <c r="E16" s="14">
        <f>NETWORKDAYS($C16,$D16,Feriados!$A$2:$A$1189)</f>
        <v>1758</v>
      </c>
      <c r="F16" s="14">
        <f t="shared" ref="F16:F17" si="13">DAYS360(C16,D16,0)</f>
        <v>2520</v>
      </c>
      <c r="G16" s="43" t="s">
        <v>28</v>
      </c>
      <c r="H16" s="29">
        <v>6.1052000000000002E-2</v>
      </c>
      <c r="I16" s="30">
        <v>44819.18</v>
      </c>
      <c r="J16" s="31">
        <v>47119</v>
      </c>
      <c r="K16" s="18">
        <f>NETWORKDAYS($C16,$J16,Feriados!$A$2:$A$1189)</f>
        <v>1644</v>
      </c>
      <c r="L16" s="30">
        <v>39643.769999999997</v>
      </c>
      <c r="M16" s="31">
        <v>47484</v>
      </c>
      <c r="N16" s="18">
        <f>NETWORKDAYS($C16,$M16,Feriados!$A$2:$A$1189)</f>
        <v>1894</v>
      </c>
      <c r="O16" s="17">
        <f t="shared" si="3"/>
        <v>42380.311194564827</v>
      </c>
      <c r="P16" s="39">
        <v>72365.899999999994</v>
      </c>
      <c r="Q16" s="40">
        <v>46966</v>
      </c>
      <c r="R16" s="20">
        <f>NETWORKDAYS($C16,$Q16,Feriados!$A$2:$A$1189)</f>
        <v>1541</v>
      </c>
      <c r="S16" s="39">
        <v>65144.83</v>
      </c>
      <c r="T16" s="40">
        <v>47696</v>
      </c>
      <c r="U16" s="20">
        <f>NETWORKDAYS($C16,$T16,Feriados!$A$2:$A$1189)</f>
        <v>2041</v>
      </c>
      <c r="V16" s="19">
        <f t="shared" si="4"/>
        <v>69138.527572786523</v>
      </c>
      <c r="W16" s="25">
        <f t="shared" si="5"/>
        <v>0.13095167463322688</v>
      </c>
      <c r="X16" s="25">
        <f t="shared" si="6"/>
        <v>5.4326863094808608E-2</v>
      </c>
      <c r="Y16" s="21">
        <f t="shared" si="7"/>
        <v>7.2676523970468088E-2</v>
      </c>
      <c r="Z16" s="21">
        <f t="shared" si="0"/>
        <v>6.378607185869134E-3</v>
      </c>
    </row>
    <row r="17" spans="1:35" x14ac:dyDescent="0.35">
      <c r="A17" t="str">
        <f t="shared" si="12"/>
        <v>Cemig4491047467</v>
      </c>
      <c r="B17" s="43" t="s">
        <v>137</v>
      </c>
      <c r="C17" s="28">
        <v>44910</v>
      </c>
      <c r="D17" s="28">
        <v>47467</v>
      </c>
      <c r="E17" s="14">
        <f>NETWORKDAYS($C17,$D17,Feriados!$A$2:$A$1189)</f>
        <v>1758</v>
      </c>
      <c r="F17" s="14">
        <f t="shared" si="13"/>
        <v>2520</v>
      </c>
      <c r="G17" s="43" t="s">
        <v>28</v>
      </c>
      <c r="H17" s="29">
        <v>7.6244999999999993E-2</v>
      </c>
      <c r="I17" s="30">
        <v>46452.75</v>
      </c>
      <c r="J17" s="31">
        <v>47119</v>
      </c>
      <c r="K17" s="18">
        <f>NETWORKDAYS($C17,$J17,Feriados!$A$2:$A$1189)</f>
        <v>1518</v>
      </c>
      <c r="L17" s="30">
        <v>41061.339999999997</v>
      </c>
      <c r="M17" s="31">
        <v>47484</v>
      </c>
      <c r="N17" s="18">
        <f>NETWORKDAYS($C17,$M17,Feriados!$A$2:$A$1189)</f>
        <v>1768</v>
      </c>
      <c r="O17" s="17">
        <f t="shared" si="3"/>
        <v>41264.468015490573</v>
      </c>
      <c r="P17" s="39">
        <v>70998.990000000005</v>
      </c>
      <c r="Q17" s="40">
        <v>46966</v>
      </c>
      <c r="R17" s="20">
        <f>NETWORKDAYS($C17,$Q17,Feriados!$A$2:$A$1189)</f>
        <v>1415</v>
      </c>
      <c r="S17" s="39">
        <v>63224.62</v>
      </c>
      <c r="T17" s="40">
        <v>47696</v>
      </c>
      <c r="U17" s="20">
        <f>NETWORKDAYS($C17,$T17,Feriados!$A$2:$A$1189)</f>
        <v>1915</v>
      </c>
      <c r="V17" s="19">
        <f t="shared" si="4"/>
        <v>65569.388559425061</v>
      </c>
      <c r="W17" s="25">
        <f t="shared" si="5"/>
        <v>0.13528555180299806</v>
      </c>
      <c r="X17" s="25">
        <f t="shared" si="6"/>
        <v>6.2367858426786826E-2</v>
      </c>
      <c r="Y17" s="21">
        <f t="shared" si="7"/>
        <v>6.8636953572928983E-2</v>
      </c>
      <c r="Z17" s="21">
        <f t="shared" si="0"/>
        <v>1.3062463687261161E-2</v>
      </c>
    </row>
    <row r="18" spans="1:35" x14ac:dyDescent="0.35">
      <c r="A18" t="str">
        <f t="shared" si="1"/>
        <v>Cosan4439248075</v>
      </c>
      <c r="B18" s="43" t="s">
        <v>174</v>
      </c>
      <c r="C18" s="28">
        <v>44392</v>
      </c>
      <c r="D18" s="28">
        <v>48075</v>
      </c>
      <c r="E18" s="14">
        <f>NETWORKDAYS($C18,$D18,Feriados!$A$2:$A$1189)</f>
        <v>2534</v>
      </c>
      <c r="F18" s="14">
        <f t="shared" si="2"/>
        <v>3630</v>
      </c>
      <c r="G18" s="43" t="s">
        <v>28</v>
      </c>
      <c r="H18" s="29">
        <v>5.7530999999999999E-2</v>
      </c>
      <c r="I18" s="30">
        <v>43733.4</v>
      </c>
      <c r="J18" s="31">
        <v>47849</v>
      </c>
      <c r="K18" s="18">
        <f>NETWORKDAYS($C18,$J18,Feriados!$A$2:$A$1189)</f>
        <v>2378</v>
      </c>
      <c r="L18" s="30">
        <v>36041.550000000003</v>
      </c>
      <c r="M18" s="31">
        <v>48580</v>
      </c>
      <c r="N18" s="18">
        <f>NETWORKDAYS($C18,$M18,Feriados!$A$2:$A$1189)</f>
        <v>2883</v>
      </c>
      <c r="O18" s="17">
        <f t="shared" si="3"/>
        <v>41196.631387842746</v>
      </c>
      <c r="P18" s="39">
        <v>71473.61</v>
      </c>
      <c r="Q18" s="40">
        <v>47696</v>
      </c>
      <c r="R18" s="20">
        <f>NETWORKDAYS($C18,$Q18,Feriados!$A$2:$A$1189)</f>
        <v>2272</v>
      </c>
      <c r="S18" s="39">
        <v>59169.16</v>
      </c>
      <c r="T18" s="40">
        <v>49430</v>
      </c>
      <c r="U18" s="20">
        <f>NETWORKDAYS($C18,$T18,Feriados!$A$2:$A$1189)</f>
        <v>3465</v>
      </c>
      <c r="V18" s="19">
        <f t="shared" si="4"/>
        <v>68568.758478775824</v>
      </c>
      <c r="W18" s="25">
        <f t="shared" si="5"/>
        <v>9.2197167368571309E-2</v>
      </c>
      <c r="X18" s="25">
        <f t="shared" si="6"/>
        <v>3.8237792516498947E-2</v>
      </c>
      <c r="Y18" s="21">
        <f t="shared" si="7"/>
        <v>5.197207734201692E-2</v>
      </c>
      <c r="Z18" s="21">
        <f t="shared" si="0"/>
        <v>1.8582648043217409E-2</v>
      </c>
      <c r="AE18" t="b">
        <f t="shared" si="8"/>
        <v>1</v>
      </c>
      <c r="AF18" t="b">
        <f t="shared" si="9"/>
        <v>1</v>
      </c>
      <c r="AG18" t="b">
        <f t="shared" si="10"/>
        <v>1</v>
      </c>
      <c r="AH18" t="b">
        <f t="shared" si="11"/>
        <v>1</v>
      </c>
      <c r="AI18" t="s">
        <v>717</v>
      </c>
    </row>
    <row r="19" spans="1:35" x14ac:dyDescent="0.35">
      <c r="A19" t="str">
        <f t="shared" si="1"/>
        <v>CSN4439248044</v>
      </c>
      <c r="B19" s="43" t="s">
        <v>190</v>
      </c>
      <c r="C19" s="28">
        <v>44392</v>
      </c>
      <c r="D19" s="28">
        <v>48044</v>
      </c>
      <c r="E19" s="14">
        <f>NETWORKDAYS($C19,$D19,Feriados!$A$2:$A$1189)</f>
        <v>2511</v>
      </c>
      <c r="F19" s="14">
        <f t="shared" si="2"/>
        <v>3600</v>
      </c>
      <c r="G19" s="43" t="s">
        <v>28</v>
      </c>
      <c r="H19" s="29">
        <v>4.8789999999999993E-2</v>
      </c>
      <c r="I19" s="30">
        <v>43733.4</v>
      </c>
      <c r="J19" s="31">
        <v>47849</v>
      </c>
      <c r="K19" s="18">
        <f>NETWORKDAYS($C19,$J19,Feriados!$A$2:$A$1189)</f>
        <v>2378</v>
      </c>
      <c r="L19" s="30">
        <v>36041.550000000003</v>
      </c>
      <c r="M19" s="31">
        <v>48580</v>
      </c>
      <c r="N19" s="18">
        <f>NETWORKDAYS($C19,$M19,Feriados!$A$2:$A$1189)</f>
        <v>2883</v>
      </c>
      <c r="O19" s="17">
        <f t="shared" si="3"/>
        <v>41561.182318000261</v>
      </c>
      <c r="P19" s="39">
        <v>71473.61</v>
      </c>
      <c r="Q19" s="40">
        <v>47696</v>
      </c>
      <c r="R19" s="20">
        <f>NETWORKDAYS($C19,$Q19,Feriados!$A$2:$A$1189)</f>
        <v>2272</v>
      </c>
      <c r="S19" s="39">
        <v>59169.16</v>
      </c>
      <c r="T19" s="40">
        <v>49430</v>
      </c>
      <c r="U19" s="20">
        <f>NETWORKDAYS($C19,$T19,Feriados!$A$2:$A$1189)</f>
        <v>3465</v>
      </c>
      <c r="V19" s="19">
        <f t="shared" si="4"/>
        <v>68818.966244716794</v>
      </c>
      <c r="W19" s="25">
        <f t="shared" si="5"/>
        <v>9.2113766629001503E-2</v>
      </c>
      <c r="X19" s="25">
        <f t="shared" si="6"/>
        <v>3.821513253359754E-2</v>
      </c>
      <c r="Y19" s="21">
        <f t="shared" si="7"/>
        <v>5.1914706698478641E-2</v>
      </c>
      <c r="Z19" s="21">
        <f t="shared" si="0"/>
        <v>1.0185622550690443E-2</v>
      </c>
      <c r="AE19" t="b">
        <f t="shared" si="8"/>
        <v>1</v>
      </c>
      <c r="AF19" t="b">
        <f t="shared" si="9"/>
        <v>1</v>
      </c>
      <c r="AG19" t="b">
        <f t="shared" si="10"/>
        <v>1</v>
      </c>
      <c r="AH19" t="b">
        <f t="shared" si="11"/>
        <v>1</v>
      </c>
      <c r="AI19" t="s">
        <v>718</v>
      </c>
    </row>
    <row r="20" spans="1:35" x14ac:dyDescent="0.35">
      <c r="A20" t="str">
        <f t="shared" si="1"/>
        <v>CSN4439249871</v>
      </c>
      <c r="B20" s="43" t="s">
        <v>190</v>
      </c>
      <c r="C20" s="28">
        <v>44392</v>
      </c>
      <c r="D20" s="28">
        <v>49871</v>
      </c>
      <c r="E20" s="14">
        <f>NETWORKDAYS($C20,$D20,Feriados!$A$2:$A$1189)</f>
        <v>3767</v>
      </c>
      <c r="F20" s="14">
        <f t="shared" si="2"/>
        <v>5400</v>
      </c>
      <c r="G20" s="43" t="s">
        <v>28</v>
      </c>
      <c r="H20" s="29">
        <v>5.0209999999999998E-2</v>
      </c>
      <c r="I20" s="30" t="s">
        <v>29</v>
      </c>
      <c r="J20" s="31" t="s">
        <v>29</v>
      </c>
      <c r="K20" s="18" t="s">
        <v>29</v>
      </c>
      <c r="L20" s="30">
        <v>26954.81</v>
      </c>
      <c r="M20" s="31">
        <v>49675</v>
      </c>
      <c r="N20" s="18">
        <f>NETWORKDAYS($C20,$M20,Feriados!$A$2:$A$1189)</f>
        <v>3633</v>
      </c>
      <c r="O20" s="17" t="s">
        <v>29</v>
      </c>
      <c r="P20" s="39">
        <v>59169.16</v>
      </c>
      <c r="Q20" s="40">
        <v>49430</v>
      </c>
      <c r="R20" s="20">
        <f>NETWORKDAYS($C20,$Q20,Feriados!$A$2:$A$1189)</f>
        <v>3465</v>
      </c>
      <c r="S20" s="39">
        <v>46802</v>
      </c>
      <c r="T20" s="40">
        <v>51349</v>
      </c>
      <c r="U20" s="20">
        <f>NETWORKDAYS($C20,$T20,Feriados!$A$2:$A$1189)</f>
        <v>4787</v>
      </c>
      <c r="V20" s="19">
        <f t="shared" si="4"/>
        <v>56083.221660077863</v>
      </c>
      <c r="W20" s="37">
        <f>($AA$1/$L20)^(252/N20)-1</f>
        <v>9.5200006185652386E-2</v>
      </c>
      <c r="X20" s="25">
        <f t="shared" si="6"/>
        <v>3.9446773019506054E-2</v>
      </c>
      <c r="Y20" s="21">
        <f t="shared" si="7"/>
        <v>5.3637410412259889E-2</v>
      </c>
      <c r="Z20" s="21">
        <f t="shared" si="0"/>
        <v>1.0354764919061399E-2</v>
      </c>
      <c r="AE20" t="b">
        <f t="shared" si="8"/>
        <v>0</v>
      </c>
      <c r="AF20" t="b">
        <f t="shared" si="9"/>
        <v>0</v>
      </c>
      <c r="AG20" t="b">
        <f t="shared" si="10"/>
        <v>1</v>
      </c>
      <c r="AH20" t="b">
        <f t="shared" si="11"/>
        <v>1</v>
      </c>
    </row>
    <row r="21" spans="1:35" x14ac:dyDescent="0.35">
      <c r="A21" t="str">
        <f t="shared" ref="A21:A22" si="14">B21&amp;C21&amp;D21</f>
        <v>CSN4475448410</v>
      </c>
      <c r="B21" s="43" t="s">
        <v>190</v>
      </c>
      <c r="C21" s="28">
        <v>44754</v>
      </c>
      <c r="D21" s="28">
        <v>48410</v>
      </c>
      <c r="E21" s="14">
        <f>NETWORKDAYS($C21,$D21,Feriados!$A$2:$A$1189)</f>
        <v>2517</v>
      </c>
      <c r="F21" s="14">
        <f t="shared" ref="F21:F22" si="15">DAYS360(C21,D21,0)</f>
        <v>3603</v>
      </c>
      <c r="G21" s="43" t="s">
        <v>28</v>
      </c>
      <c r="H21" s="29">
        <v>6.8797999999999998E-2</v>
      </c>
      <c r="I21" s="30">
        <v>30833.82</v>
      </c>
      <c r="J21" s="31">
        <v>48214</v>
      </c>
      <c r="K21" s="18">
        <f>NETWORKDAYS($C21,$J21,Feriados!$A$2:$A$1189)</f>
        <v>2382</v>
      </c>
      <c r="L21" s="30">
        <v>27212.57</v>
      </c>
      <c r="M21" s="31">
        <v>48580</v>
      </c>
      <c r="N21" s="18">
        <f>NETWORKDAYS($C21,$M21,Feriados!$A$2:$A$1189)</f>
        <v>2634</v>
      </c>
      <c r="O21" s="17">
        <f t="shared" si="3"/>
        <v>28837.703242468855</v>
      </c>
      <c r="P21" s="39">
        <v>63079.67</v>
      </c>
      <c r="Q21" s="40">
        <v>47696</v>
      </c>
      <c r="R21" s="20">
        <f>NETWORKDAYS($C21,$Q21,Feriados!$A$2:$A$1189)</f>
        <v>2023</v>
      </c>
      <c r="S21" s="39">
        <v>55710.09</v>
      </c>
      <c r="T21" s="40">
        <v>48427</v>
      </c>
      <c r="U21" s="20">
        <f>NETWORKDAYS($C21,$T21,Feriados!$A$2:$A$1189)</f>
        <v>2528</v>
      </c>
      <c r="V21" s="19">
        <f t="shared" si="4"/>
        <v>55861.054477372869</v>
      </c>
      <c r="W21" s="25">
        <f t="shared" ref="W21" si="16">($AA$1/$L21)^(252/N21)-1</f>
        <v>0.13260041502515274</v>
      </c>
      <c r="X21" s="25">
        <f t="shared" si="6"/>
        <v>6.0032617874613114E-2</v>
      </c>
      <c r="Y21" s="21">
        <f t="shared" si="7"/>
        <v>6.8458079427819341E-2</v>
      </c>
      <c r="Z21" s="21">
        <f t="shared" si="0"/>
        <v>8.2689739707835219E-3</v>
      </c>
    </row>
    <row r="22" spans="1:35" x14ac:dyDescent="0.35">
      <c r="A22" t="str">
        <f t="shared" si="14"/>
        <v>CSN4475450236</v>
      </c>
      <c r="B22" s="43" t="s">
        <v>190</v>
      </c>
      <c r="C22" s="28">
        <v>44754</v>
      </c>
      <c r="D22" s="28">
        <v>50236</v>
      </c>
      <c r="E22" s="14">
        <f>NETWORKDAYS($C22,$D22,Feriados!$A$2:$A$1189)</f>
        <v>3771</v>
      </c>
      <c r="F22" s="14">
        <f t="shared" si="15"/>
        <v>5403</v>
      </c>
      <c r="G22" s="43" t="s">
        <v>28</v>
      </c>
      <c r="H22" s="29">
        <v>7.0673E-2</v>
      </c>
      <c r="I22" s="30" t="s">
        <v>29</v>
      </c>
      <c r="J22" s="31" t="s">
        <v>29</v>
      </c>
      <c r="K22" s="18" t="s">
        <v>29</v>
      </c>
      <c r="L22" s="30">
        <v>16485.689999999999</v>
      </c>
      <c r="M22" s="31">
        <v>50041</v>
      </c>
      <c r="N22" s="18">
        <f>NETWORKDAYS($C22,$M22,Feriados!$A$2:$A$1189)</f>
        <v>3638</v>
      </c>
      <c r="O22" s="17" t="s">
        <v>29</v>
      </c>
      <c r="P22" s="39">
        <v>47551.99</v>
      </c>
      <c r="Q22" s="40">
        <v>49430</v>
      </c>
      <c r="R22" s="20">
        <f>NETWORKDAYS($C22,$Q22,Feriados!$A$2:$A$1189)</f>
        <v>3216</v>
      </c>
      <c r="S22" s="39">
        <v>35422.720000000001</v>
      </c>
      <c r="T22" s="40">
        <v>51349</v>
      </c>
      <c r="U22" s="20">
        <f>NETWORKDAYS($C22,$T22,Feriados!$A$2:$A$1189)</f>
        <v>4538</v>
      </c>
      <c r="V22" s="19">
        <f t="shared" si="4"/>
        <v>42022.265419882169</v>
      </c>
      <c r="W22" s="37">
        <f>($AA$1/$L22)^(252/N22)-1</f>
        <v>0.13300042409717538</v>
      </c>
      <c r="X22" s="25">
        <f>IFERROR(($AA$1/$V22)^(252/$E22)-1,"NA")</f>
        <v>5.9647156434142756E-2</v>
      </c>
      <c r="Y22" s="21">
        <f t="shared" si="7"/>
        <v>6.9224238670045901E-2</v>
      </c>
      <c r="Z22" s="21">
        <f t="shared" si="0"/>
        <v>1.0405202806338387E-2</v>
      </c>
    </row>
    <row r="23" spans="1:35" x14ac:dyDescent="0.35">
      <c r="A23" t="str">
        <f t="shared" si="1"/>
        <v>Eldorado4124446722</v>
      </c>
      <c r="B23" s="43" t="s">
        <v>202</v>
      </c>
      <c r="C23" s="28">
        <v>41244</v>
      </c>
      <c r="D23" s="28">
        <v>46722</v>
      </c>
      <c r="E23" s="14">
        <f>NETWORKDAYS($C23,$D23,Feriados!$A$2:$A$1189)</f>
        <v>3767</v>
      </c>
      <c r="F23" s="14">
        <f t="shared" ref="F23:F39" si="17">DAYS360(C23,D23,0)</f>
        <v>5400</v>
      </c>
      <c r="G23" s="43" t="s">
        <v>28</v>
      </c>
      <c r="H23" s="29">
        <v>7.4099999999999999E-2</v>
      </c>
      <c r="I23" s="30" t="s">
        <v>29</v>
      </c>
      <c r="J23" s="31" t="s">
        <v>29</v>
      </c>
      <c r="K23" s="18" t="s">
        <v>29</v>
      </c>
      <c r="L23" s="30">
        <v>33336.68</v>
      </c>
      <c r="M23" s="31">
        <v>45658</v>
      </c>
      <c r="N23" s="18">
        <f>NETWORKDAYS($C23,$M23,Feriados!$A$2:$A$1189)</f>
        <v>3035</v>
      </c>
      <c r="O23" s="17" t="s">
        <v>29</v>
      </c>
      <c r="P23" s="39" t="s">
        <v>29</v>
      </c>
      <c r="Q23" s="40" t="s">
        <v>29</v>
      </c>
      <c r="R23" s="20" t="s">
        <v>29</v>
      </c>
      <c r="S23" s="39">
        <v>66086.03</v>
      </c>
      <c r="T23" s="40">
        <v>45413</v>
      </c>
      <c r="U23" s="20">
        <f>NETWORKDAYS($C23,$T23,Feriados!$A$2:$A$1189)</f>
        <v>2864</v>
      </c>
      <c r="V23" s="19" t="s">
        <v>29</v>
      </c>
      <c r="W23" s="37">
        <f>($AA$1/$L23)^(252/N23)-1</f>
        <v>9.5499991428157571E-2</v>
      </c>
      <c r="X23" s="37">
        <f>($AA$1/$S23)^(252/$U23)-1</f>
        <v>3.7118400813165087E-2</v>
      </c>
      <c r="Y23" s="21">
        <f t="shared" si="7"/>
        <v>5.6292117244489903E-2</v>
      </c>
      <c r="Z23" s="21">
        <f t="shared" si="0"/>
        <v>3.5658030132180718E-2</v>
      </c>
      <c r="AE23" t="b">
        <f t="shared" si="8"/>
        <v>0</v>
      </c>
      <c r="AF23" t="b">
        <f t="shared" si="9"/>
        <v>0</v>
      </c>
      <c r="AG23" t="b">
        <f t="shared" si="10"/>
        <v>0</v>
      </c>
      <c r="AH23" t="b">
        <f t="shared" si="11"/>
        <v>0</v>
      </c>
    </row>
    <row r="24" spans="1:35" x14ac:dyDescent="0.35">
      <c r="A24" t="str">
        <f t="shared" si="1"/>
        <v>Eletrobras4430147953</v>
      </c>
      <c r="B24" s="43" t="s">
        <v>208</v>
      </c>
      <c r="C24" s="28">
        <v>44301</v>
      </c>
      <c r="D24" s="28">
        <v>47953</v>
      </c>
      <c r="E24" s="14">
        <f>NETWORKDAYS($C24,$D24,Feriados!$A$2:$A$1189)</f>
        <v>2512</v>
      </c>
      <c r="F24" s="14">
        <f t="shared" si="17"/>
        <v>3600</v>
      </c>
      <c r="G24" s="43" t="s">
        <v>28</v>
      </c>
      <c r="H24" s="29">
        <v>4.9126000000000003E-2</v>
      </c>
      <c r="I24" s="30">
        <v>41884.99</v>
      </c>
      <c r="J24" s="31">
        <v>47849</v>
      </c>
      <c r="K24" s="18">
        <f>NETWORKDAYS($C24,$J24,Feriados!$A$2:$A$1189)</f>
        <v>2441</v>
      </c>
      <c r="L24" s="30">
        <v>34274.120000000003</v>
      </c>
      <c r="M24" s="31">
        <v>48580</v>
      </c>
      <c r="N24" s="18">
        <f>NETWORKDAYS($C24,$M24,Feriados!$A$2:$A$1189)</f>
        <v>2946</v>
      </c>
      <c r="O24" s="17">
        <f t="shared" ref="O24:O39" si="18">$I24*(($L24/$I24)^(($E24-$K24)/($N24-$K24)))</f>
        <v>40720.563925262373</v>
      </c>
      <c r="P24" s="39">
        <v>70623.58</v>
      </c>
      <c r="Q24" s="40">
        <v>47696</v>
      </c>
      <c r="R24" s="20">
        <f>NETWORKDAYS($C24,$Q24,Feriados!$A$2:$A$1189)</f>
        <v>2335</v>
      </c>
      <c r="S24" s="39">
        <v>57124.639999999999</v>
      </c>
      <c r="T24" s="40">
        <v>49430</v>
      </c>
      <c r="U24" s="20">
        <f>NETWORKDAYS($C24,$T24,Feriados!$A$2:$A$1189)</f>
        <v>3528</v>
      </c>
      <c r="V24" s="19">
        <f t="shared" ref="V24:V39" si="19">$P24*(($S24/$P24)^(($E24-$R24)/($U24-$R24)))</f>
        <v>68435.488935662434</v>
      </c>
      <c r="W24" s="25">
        <f t="shared" si="5"/>
        <v>9.431634182771842E-2</v>
      </c>
      <c r="X24" s="25">
        <f t="shared" si="6"/>
        <v>3.8781773121127072E-2</v>
      </c>
      <c r="Y24" s="21">
        <f t="shared" si="7"/>
        <v>5.3461246763824244E-2</v>
      </c>
      <c r="Z24" s="21">
        <f t="shared" si="0"/>
        <v>9.9580365641116497E-3</v>
      </c>
      <c r="AE24" t="b">
        <f t="shared" si="8"/>
        <v>1</v>
      </c>
      <c r="AF24" t="b">
        <f t="shared" si="9"/>
        <v>1</v>
      </c>
      <c r="AG24" t="b">
        <f t="shared" si="10"/>
        <v>1</v>
      </c>
      <c r="AH24" t="b">
        <f t="shared" si="11"/>
        <v>1</v>
      </c>
    </row>
    <row r="25" spans="1:35" x14ac:dyDescent="0.35">
      <c r="A25" t="str">
        <f t="shared" si="1"/>
        <v>Eletrobras4358047253</v>
      </c>
      <c r="B25" s="43" t="s">
        <v>208</v>
      </c>
      <c r="C25" s="28">
        <v>43580</v>
      </c>
      <c r="D25" s="28">
        <v>47253</v>
      </c>
      <c r="E25" s="14">
        <f>NETWORKDAYS($C25,$D25,Feriados!$A$2:$A$1189)</f>
        <v>2526</v>
      </c>
      <c r="F25" s="14">
        <f t="shared" si="17"/>
        <v>3620</v>
      </c>
      <c r="G25" s="43" t="s">
        <v>28</v>
      </c>
      <c r="H25" s="29">
        <v>5.1813999999999999E-2</v>
      </c>
      <c r="I25" s="30">
        <v>42549.81</v>
      </c>
      <c r="J25" s="31">
        <v>47119</v>
      </c>
      <c r="K25" s="18">
        <f>NETWORKDAYS($C25,$J25,Feriados!$A$2:$A$1189)</f>
        <v>2434</v>
      </c>
      <c r="L25" s="30">
        <v>38785.07</v>
      </c>
      <c r="M25" s="31">
        <v>47484</v>
      </c>
      <c r="N25" s="18">
        <f>NETWORKDAYS($C25,$M25,Feriados!$A$2:$A$1189)</f>
        <v>2684</v>
      </c>
      <c r="O25" s="17">
        <f t="shared" si="18"/>
        <v>41123.669898091815</v>
      </c>
      <c r="P25" s="39">
        <v>73137.16</v>
      </c>
      <c r="Q25" s="40">
        <v>46966</v>
      </c>
      <c r="R25" s="20">
        <f>NETWORKDAYS($C25,$Q25,Feriados!$A$2:$A$1189)</f>
        <v>2331</v>
      </c>
      <c r="S25" s="39">
        <v>60695.65</v>
      </c>
      <c r="T25" s="40">
        <v>47696</v>
      </c>
      <c r="U25" s="20">
        <f>NETWORKDAYS($C25,$T25,Feriados!$A$2:$A$1189)</f>
        <v>2831</v>
      </c>
      <c r="V25" s="19">
        <f t="shared" si="19"/>
        <v>68007.324154706424</v>
      </c>
      <c r="W25" s="25">
        <f t="shared" si="5"/>
        <v>9.2695485851530535E-2</v>
      </c>
      <c r="X25" s="25">
        <f t="shared" si="6"/>
        <v>3.9213209109627778E-2</v>
      </c>
      <c r="Y25" s="21">
        <f t="shared" si="7"/>
        <v>5.1464200294110141E-2</v>
      </c>
      <c r="Z25" s="21">
        <f t="shared" si="0"/>
        <v>1.2125318250302497E-2</v>
      </c>
      <c r="AE25" t="b">
        <f t="shared" si="8"/>
        <v>1</v>
      </c>
      <c r="AF25" t="b">
        <f t="shared" si="9"/>
        <v>1</v>
      </c>
      <c r="AG25" t="b">
        <f t="shared" si="10"/>
        <v>1</v>
      </c>
      <c r="AH25" t="b">
        <f t="shared" si="11"/>
        <v>1</v>
      </c>
    </row>
    <row r="26" spans="1:35" x14ac:dyDescent="0.35">
      <c r="A26" t="str">
        <f t="shared" si="1"/>
        <v>Equatorial4271944545</v>
      </c>
      <c r="B26" s="43" t="s">
        <v>221</v>
      </c>
      <c r="C26" s="28">
        <v>42719</v>
      </c>
      <c r="D26" s="28">
        <v>44545</v>
      </c>
      <c r="E26" s="14">
        <f>NETWORKDAYS($C26,$D26,Feriados!$A$2:$A$1189)</f>
        <v>1254</v>
      </c>
      <c r="F26" s="14">
        <f t="shared" si="17"/>
        <v>1800</v>
      </c>
      <c r="G26" s="43" t="s">
        <v>28</v>
      </c>
      <c r="H26" s="29">
        <v>6.6971000000000003E-2</v>
      </c>
      <c r="I26" s="30">
        <v>58074.79</v>
      </c>
      <c r="J26" s="31">
        <v>44470</v>
      </c>
      <c r="K26" s="18">
        <f>NETWORKDAYS($C26,$J26,Feriados!$A$2:$A$1189)</f>
        <v>1204</v>
      </c>
      <c r="L26" s="30">
        <v>56387.15</v>
      </c>
      <c r="M26" s="31">
        <v>44562</v>
      </c>
      <c r="N26" s="18">
        <f>NETWORKDAYS($C26,$M26,Feriados!$A$2:$A$1189)</f>
        <v>1266</v>
      </c>
      <c r="O26" s="17">
        <f t="shared" si="18"/>
        <v>56709.917577852582</v>
      </c>
      <c r="P26" s="39">
        <v>76764.94</v>
      </c>
      <c r="Q26" s="40">
        <v>44317</v>
      </c>
      <c r="R26" s="20">
        <f>NETWORKDAYS($C26,$Q26,Feriados!$A$2:$A$1189)</f>
        <v>1096</v>
      </c>
      <c r="S26" s="39">
        <v>71120.539999999994</v>
      </c>
      <c r="T26" s="40">
        <v>44774</v>
      </c>
      <c r="U26" s="20">
        <f>NETWORKDAYS($C26,$T26,Feriados!$A$2:$A$1189)</f>
        <v>1412</v>
      </c>
      <c r="V26" s="19">
        <f t="shared" si="19"/>
        <v>73888.862393919684</v>
      </c>
      <c r="W26" s="25">
        <f t="shared" si="5"/>
        <v>0.12073756726193197</v>
      </c>
      <c r="X26" s="25">
        <f t="shared" si="6"/>
        <v>6.269825075913027E-2</v>
      </c>
      <c r="Y26" s="21">
        <f t="shared" si="7"/>
        <v>5.4615048496919671E-2</v>
      </c>
      <c r="Z26" s="21">
        <f t="shared" si="0"/>
        <v>4.0206608393469345E-3</v>
      </c>
      <c r="AE26" t="b">
        <f t="shared" si="8"/>
        <v>1</v>
      </c>
      <c r="AF26" t="b">
        <f t="shared" si="9"/>
        <v>1</v>
      </c>
      <c r="AG26" t="b">
        <f t="shared" si="10"/>
        <v>1</v>
      </c>
      <c r="AH26" t="b">
        <f t="shared" si="11"/>
        <v>1</v>
      </c>
    </row>
    <row r="27" spans="1:35" x14ac:dyDescent="0.35">
      <c r="A27" t="str">
        <f t="shared" si="1"/>
        <v>Equatorial4271945275</v>
      </c>
      <c r="B27" s="43" t="s">
        <v>221</v>
      </c>
      <c r="C27" s="28">
        <v>42719</v>
      </c>
      <c r="D27" s="28">
        <v>45275</v>
      </c>
      <c r="E27" s="14">
        <f>NETWORKDAYS($C27,$D27,Feriados!$A$2:$A$1189)</f>
        <v>1757</v>
      </c>
      <c r="F27" s="14">
        <f t="shared" si="17"/>
        <v>2520</v>
      </c>
      <c r="G27" s="43" t="s">
        <v>28</v>
      </c>
      <c r="H27" s="29">
        <v>6.8701999999999999E-2</v>
      </c>
      <c r="I27" s="30">
        <v>47143.09</v>
      </c>
      <c r="J27" s="31">
        <v>45108</v>
      </c>
      <c r="K27" s="18">
        <f>NETWORKDAYS($C27,$J27,Feriados!$A$2:$A$1189)</f>
        <v>1641</v>
      </c>
      <c r="L27" s="30">
        <v>44465.8</v>
      </c>
      <c r="M27" s="31">
        <v>45292</v>
      </c>
      <c r="N27" s="18">
        <f>NETWORKDAYS($C27,$M27,Feriados!$A$2:$A$1189)</f>
        <v>1766</v>
      </c>
      <c r="O27" s="17">
        <f t="shared" si="18"/>
        <v>44653.379130745649</v>
      </c>
      <c r="P27" s="39">
        <v>68099.45</v>
      </c>
      <c r="Q27" s="40">
        <v>45047</v>
      </c>
      <c r="R27" s="20">
        <f>NETWORKDAYS($C27,$Q27,Feriados!$A$2:$A$1189)</f>
        <v>1598</v>
      </c>
      <c r="S27" s="39">
        <v>63417</v>
      </c>
      <c r="T27" s="40">
        <v>45505</v>
      </c>
      <c r="U27" s="20">
        <f>NETWORKDAYS($C27,$T27,Feriados!$A$2:$A$1189)</f>
        <v>1914</v>
      </c>
      <c r="V27" s="19">
        <f t="shared" si="19"/>
        <v>65701.720768111467</v>
      </c>
      <c r="W27" s="25">
        <f t="shared" si="5"/>
        <v>0.12258722629316088</v>
      </c>
      <c r="X27" s="25">
        <f t="shared" si="6"/>
        <v>6.2097267896985109E-2</v>
      </c>
      <c r="Y27" s="21">
        <f t="shared" si="7"/>
        <v>5.6953313245922788E-2</v>
      </c>
      <c r="Z27" s="21">
        <f t="shared" si="0"/>
        <v>6.2185755510817398E-3</v>
      </c>
      <c r="AE27" t="b">
        <f t="shared" si="8"/>
        <v>1</v>
      </c>
      <c r="AF27" t="b">
        <f t="shared" si="9"/>
        <v>1</v>
      </c>
      <c r="AG27" t="b">
        <f t="shared" si="10"/>
        <v>1</v>
      </c>
      <c r="AH27" t="b">
        <f t="shared" si="11"/>
        <v>1</v>
      </c>
    </row>
    <row r="28" spans="1:35" x14ac:dyDescent="0.35">
      <c r="A28" t="str">
        <f t="shared" si="1"/>
        <v>Hidrovias do Brasil4448447041</v>
      </c>
      <c r="B28" s="43" t="s">
        <v>256</v>
      </c>
      <c r="C28" s="28">
        <v>44484</v>
      </c>
      <c r="D28" s="28">
        <v>47041</v>
      </c>
      <c r="E28" s="14">
        <f>NETWORKDAYS($C28,$D28,Feriados!$A$2:$A$1189)</f>
        <v>1759</v>
      </c>
      <c r="F28" s="14">
        <f t="shared" si="17"/>
        <v>2520</v>
      </c>
      <c r="G28" s="43" t="s">
        <v>28</v>
      </c>
      <c r="H28" s="29">
        <v>6.0029000000000006E-2</v>
      </c>
      <c r="I28" s="30">
        <v>53194.720000000001</v>
      </c>
      <c r="J28" s="31">
        <v>46753</v>
      </c>
      <c r="K28" s="18">
        <f>NETWORKDAYS($C28,$J28,Feriados!$A$2:$A$1189)</f>
        <v>1562</v>
      </c>
      <c r="L28" s="30">
        <v>47729.64</v>
      </c>
      <c r="M28" s="31">
        <v>47119</v>
      </c>
      <c r="N28" s="18">
        <f>NETWORKDAYS($C28,$M28,Feriados!$A$2:$A$1189)</f>
        <v>1811</v>
      </c>
      <c r="O28" s="17">
        <f t="shared" si="18"/>
        <v>48822.521298991931</v>
      </c>
      <c r="P28" s="39">
        <v>73415.820000000007</v>
      </c>
      <c r="Q28" s="40">
        <v>46966</v>
      </c>
      <c r="R28" s="20">
        <f>NETWORKDAYS($C28,$Q28,Feriados!$A$2:$A$1189)</f>
        <v>1708</v>
      </c>
      <c r="S28" s="39">
        <v>66703.990000000005</v>
      </c>
      <c r="T28" s="40">
        <v>47696</v>
      </c>
      <c r="U28" s="20">
        <f>NETWORKDAYS($C28,$T28,Feriados!$A$2:$A$1189)</f>
        <v>2208</v>
      </c>
      <c r="V28" s="19">
        <f t="shared" si="19"/>
        <v>72701.369869679882</v>
      </c>
      <c r="W28" s="25">
        <f t="shared" ref="W28:W63" si="20">IFERROR(($AA$1/$O28)^(252/$E28)-1,"NA")</f>
        <v>0.10817735559673491</v>
      </c>
      <c r="X28" s="25">
        <f t="shared" ref="X28:X63" si="21">IFERROR(($AA$1/$V28)^(252/$E28)-1,"NA")</f>
        <v>4.6732848759423407E-2</v>
      </c>
      <c r="Y28" s="21">
        <f t="shared" ref="Y28:Y63" si="22">IFERROR((((1+$W28)^($E28/252))/((1+$X28)^($E28/252)))^(252/$E28)-1,"NA")</f>
        <v>5.8701231083112315E-2</v>
      </c>
      <c r="Z28" s="21">
        <f t="shared" ref="Z28:Z63" si="23">IFERROR(((((1+$Y28)*(1+$H28))^($E28/252))/((1+$W28)^($E28/252)))^(252/$E28)-1,"NA")</f>
        <v>1.270252601352384E-2</v>
      </c>
      <c r="AE28" t="b">
        <f t="shared" si="8"/>
        <v>1</v>
      </c>
      <c r="AF28" t="b">
        <f t="shared" si="9"/>
        <v>1</v>
      </c>
      <c r="AG28" t="b">
        <f t="shared" si="10"/>
        <v>1</v>
      </c>
      <c r="AH28" t="b">
        <f t="shared" si="11"/>
        <v>1</v>
      </c>
    </row>
    <row r="29" spans="1:35" x14ac:dyDescent="0.35">
      <c r="A29" t="str">
        <f t="shared" si="1"/>
        <v>Hidrovias do Brasil4448448136</v>
      </c>
      <c r="B29" s="43" t="s">
        <v>256</v>
      </c>
      <c r="C29" s="28">
        <v>44484</v>
      </c>
      <c r="D29" s="28">
        <v>48136</v>
      </c>
      <c r="E29" s="14">
        <f>NETWORKDAYS($C29,$D29,Feriados!$A$2:$A$1189)</f>
        <v>2513</v>
      </c>
      <c r="F29" s="14">
        <f t="shared" si="17"/>
        <v>3600</v>
      </c>
      <c r="G29" s="43" t="s">
        <v>28</v>
      </c>
      <c r="H29" s="29">
        <v>6.0444000000000005E-2</v>
      </c>
      <c r="I29" s="30">
        <v>38386.559999999998</v>
      </c>
      <c r="J29" s="31">
        <v>47849</v>
      </c>
      <c r="K29" s="18">
        <f>NETWORKDAYS($C29,$J29,Feriados!$A$2:$A$1189)</f>
        <v>2314</v>
      </c>
      <c r="L29" s="30">
        <v>30960.38</v>
      </c>
      <c r="M29" s="31">
        <v>48580</v>
      </c>
      <c r="N29" s="18">
        <f>NETWORKDAYS($C29,$M29,Feriados!$A$2:$A$1189)</f>
        <v>2819</v>
      </c>
      <c r="O29" s="17">
        <f t="shared" si="18"/>
        <v>35268.315756678727</v>
      </c>
      <c r="P29" s="39">
        <v>66703.990000000005</v>
      </c>
      <c r="Q29" s="40">
        <v>47696</v>
      </c>
      <c r="R29" s="20">
        <f>NETWORKDAYS($C29,$Q29,Feriados!$A$2:$A$1189)</f>
        <v>2208</v>
      </c>
      <c r="S29" s="39">
        <v>53506.05</v>
      </c>
      <c r="T29" s="40">
        <v>49430</v>
      </c>
      <c r="U29" s="20">
        <f>NETWORKDAYS($C29,$T29,Feriados!$A$2:$A$1189)</f>
        <v>3401</v>
      </c>
      <c r="V29" s="19">
        <f t="shared" si="19"/>
        <v>63048.220648065697</v>
      </c>
      <c r="W29" s="25">
        <f t="shared" si="20"/>
        <v>0.11016518754135385</v>
      </c>
      <c r="X29" s="25">
        <f t="shared" si="21"/>
        <v>4.7341995781399637E-2</v>
      </c>
      <c r="Y29" s="21">
        <f t="shared" si="22"/>
        <v>5.9983455273445063E-2</v>
      </c>
      <c r="Z29" s="21">
        <f t="shared" si="23"/>
        <v>1.2509766887391249E-2</v>
      </c>
      <c r="AE29" t="b">
        <f t="shared" si="8"/>
        <v>1</v>
      </c>
      <c r="AF29" t="b">
        <f t="shared" si="9"/>
        <v>1</v>
      </c>
      <c r="AG29" t="b">
        <f t="shared" si="10"/>
        <v>1</v>
      </c>
      <c r="AH29" t="b">
        <f t="shared" si="11"/>
        <v>1</v>
      </c>
    </row>
    <row r="30" spans="1:35" x14ac:dyDescent="0.35">
      <c r="A30" t="str">
        <f t="shared" si="1"/>
        <v>Light Energia4439246949</v>
      </c>
      <c r="B30" s="43" t="s">
        <v>332</v>
      </c>
      <c r="C30" s="28">
        <v>44392</v>
      </c>
      <c r="D30" s="28">
        <v>46949</v>
      </c>
      <c r="E30" s="14">
        <f>NETWORKDAYS($C30,$D30,Feriados!$A$2:$A$1189)</f>
        <v>1760</v>
      </c>
      <c r="F30" s="14">
        <f t="shared" si="17"/>
        <v>2520</v>
      </c>
      <c r="G30" s="43" t="s">
        <v>28</v>
      </c>
      <c r="H30" s="29">
        <v>4.8499999999999995E-2</v>
      </c>
      <c r="I30" s="30">
        <v>57944.55</v>
      </c>
      <c r="J30" s="31">
        <v>46753</v>
      </c>
      <c r="K30" s="18">
        <f>NETWORKDAYS($C30,$J30,Feriados!$A$2:$A$1189)</f>
        <v>1626</v>
      </c>
      <c r="L30" s="30">
        <v>52918.18</v>
      </c>
      <c r="M30" s="31">
        <v>47119</v>
      </c>
      <c r="N30" s="18">
        <f>NETWORKDAYS($C30,$M30,Feriados!$A$2:$A$1189)</f>
        <v>1875</v>
      </c>
      <c r="O30" s="17">
        <f t="shared" si="18"/>
        <v>55182.991533908506</v>
      </c>
      <c r="P30" s="39">
        <v>84174.09</v>
      </c>
      <c r="Q30" s="40">
        <v>46235</v>
      </c>
      <c r="R30" s="20">
        <f>NETWORKDAYS($C30,$Q30,Feriados!$A$2:$A$1189)</f>
        <v>1270</v>
      </c>
      <c r="S30" s="39">
        <v>77618.37</v>
      </c>
      <c r="T30" s="40">
        <v>46966</v>
      </c>
      <c r="U30" s="20">
        <f>NETWORKDAYS($C30,$T30,Feriados!$A$2:$A$1189)</f>
        <v>1772</v>
      </c>
      <c r="V30" s="19">
        <f t="shared" si="19"/>
        <v>77768.958899123434</v>
      </c>
      <c r="W30" s="25">
        <f t="shared" si="20"/>
        <v>8.8851854472894232E-2</v>
      </c>
      <c r="X30" s="25">
        <f t="shared" si="21"/>
        <v>3.665573499956154E-2</v>
      </c>
      <c r="Y30" s="21">
        <f t="shared" si="22"/>
        <v>5.0350485422583136E-2</v>
      </c>
      <c r="Z30" s="21">
        <f t="shared" si="23"/>
        <v>1.142545649491189E-2</v>
      </c>
      <c r="AE30" t="b">
        <f t="shared" si="8"/>
        <v>1</v>
      </c>
      <c r="AF30" t="b">
        <f t="shared" si="9"/>
        <v>1</v>
      </c>
      <c r="AG30" t="b">
        <f t="shared" si="10"/>
        <v>1</v>
      </c>
      <c r="AH30" t="b">
        <f t="shared" si="11"/>
        <v>1</v>
      </c>
    </row>
    <row r="31" spans="1:35" x14ac:dyDescent="0.35">
      <c r="A31" t="str">
        <f t="shared" si="1"/>
        <v>Light Energia4439246949</v>
      </c>
      <c r="B31" s="43" t="s">
        <v>332</v>
      </c>
      <c r="C31" s="28">
        <v>44392</v>
      </c>
      <c r="D31" s="28">
        <v>46949</v>
      </c>
      <c r="E31" s="14">
        <f>NETWORKDAYS($C31,$D31,Feriados!$A$2:$A$1189)</f>
        <v>1760</v>
      </c>
      <c r="F31" s="14">
        <f t="shared" si="17"/>
        <v>2520</v>
      </c>
      <c r="G31" s="43" t="s">
        <v>28</v>
      </c>
      <c r="H31" s="29">
        <v>4.8499999999999995E-2</v>
      </c>
      <c r="I31" s="30">
        <v>57944.55</v>
      </c>
      <c r="J31" s="31">
        <v>46753</v>
      </c>
      <c r="K31" s="18">
        <f>NETWORKDAYS($C31,$J31,Feriados!$A$2:$A$1189)</f>
        <v>1626</v>
      </c>
      <c r="L31" s="30">
        <v>52918.18</v>
      </c>
      <c r="M31" s="31">
        <v>47119</v>
      </c>
      <c r="N31" s="18">
        <f>NETWORKDAYS($C31,$M31,Feriados!$A$2:$A$1189)</f>
        <v>1875</v>
      </c>
      <c r="O31" s="17">
        <f t="shared" si="18"/>
        <v>55182.991533908506</v>
      </c>
      <c r="P31" s="39">
        <v>84174.09</v>
      </c>
      <c r="Q31" s="40">
        <v>46235</v>
      </c>
      <c r="R31" s="20">
        <f>NETWORKDAYS($C31,$Q31,Feriados!$A$2:$A$1189)</f>
        <v>1270</v>
      </c>
      <c r="S31" s="39">
        <v>77618.37</v>
      </c>
      <c r="T31" s="40">
        <v>46966</v>
      </c>
      <c r="U31" s="20">
        <f>NETWORKDAYS($C31,$T31,Feriados!$A$2:$A$1189)</f>
        <v>1772</v>
      </c>
      <c r="V31" s="19">
        <f t="shared" si="19"/>
        <v>77768.958899123434</v>
      </c>
      <c r="W31" s="25">
        <f t="shared" si="20"/>
        <v>8.8851854472894232E-2</v>
      </c>
      <c r="X31" s="25">
        <f t="shared" si="21"/>
        <v>3.665573499956154E-2</v>
      </c>
      <c r="Y31" s="21">
        <f t="shared" si="22"/>
        <v>5.0350485422583136E-2</v>
      </c>
      <c r="Z31" s="21">
        <f t="shared" si="23"/>
        <v>1.142545649491189E-2</v>
      </c>
      <c r="AE31" t="b">
        <f t="shared" si="8"/>
        <v>1</v>
      </c>
      <c r="AF31" t="b">
        <f t="shared" si="9"/>
        <v>1</v>
      </c>
      <c r="AG31" t="b">
        <f t="shared" si="10"/>
        <v>1</v>
      </c>
      <c r="AH31" t="b">
        <f t="shared" si="11"/>
        <v>1</v>
      </c>
    </row>
    <row r="32" spans="1:35" x14ac:dyDescent="0.35">
      <c r="A32" t="str">
        <f t="shared" si="1"/>
        <v>Light Energia4302344849</v>
      </c>
      <c r="B32" s="43" t="s">
        <v>332</v>
      </c>
      <c r="C32" s="28">
        <v>43023</v>
      </c>
      <c r="D32" s="28">
        <v>44849</v>
      </c>
      <c r="E32" s="14">
        <f>NETWORKDAYS($C32,$D32,Feriados!$A$2:$A$1189)</f>
        <v>1255</v>
      </c>
      <c r="F32" s="14">
        <f t="shared" si="17"/>
        <v>1800</v>
      </c>
      <c r="G32" s="43" t="s">
        <v>28</v>
      </c>
      <c r="H32" s="29">
        <v>7.4366000000000002E-2</v>
      </c>
      <c r="I32" s="30">
        <v>63401.74</v>
      </c>
      <c r="J32" s="31">
        <v>44835</v>
      </c>
      <c r="K32" s="18">
        <f>NETWORKDAYS($C32,$J32,Feriados!$A$2:$A$1189)</f>
        <v>1246</v>
      </c>
      <c r="L32" s="30">
        <v>61816.3</v>
      </c>
      <c r="M32" s="31">
        <v>44927</v>
      </c>
      <c r="N32" s="18">
        <f>NETWORKDAYS($C32,$M32,Feriados!$A$2:$A$1189)</f>
        <v>1308</v>
      </c>
      <c r="O32" s="17">
        <f t="shared" si="18"/>
        <v>63169.096940148644</v>
      </c>
      <c r="P32" s="39">
        <v>81181.929999999993</v>
      </c>
      <c r="Q32" s="40">
        <v>44774</v>
      </c>
      <c r="R32" s="20">
        <f>NETWORKDAYS($C32,$Q32,Feriados!$A$2:$A$1189)</f>
        <v>1203</v>
      </c>
      <c r="S32" s="39">
        <v>78084.92</v>
      </c>
      <c r="T32" s="40">
        <v>45047</v>
      </c>
      <c r="U32" s="20">
        <f>NETWORKDAYS($C32,$T32,Feriados!$A$2:$A$1189)</f>
        <v>1389</v>
      </c>
      <c r="V32" s="19">
        <f t="shared" si="19"/>
        <v>80303.933880924684</v>
      </c>
      <c r="W32" s="25">
        <f t="shared" si="20"/>
        <v>9.6624708092667211E-2</v>
      </c>
      <c r="X32" s="25">
        <f t="shared" si="21"/>
        <v>4.5029481958952289E-2</v>
      </c>
      <c r="Y32" s="21">
        <f t="shared" si="22"/>
        <v>4.9372029234043602E-2</v>
      </c>
      <c r="Z32" s="21">
        <f t="shared" si="23"/>
        <v>2.8072431015108812E-2</v>
      </c>
      <c r="AE32" t="b">
        <f t="shared" si="8"/>
        <v>1</v>
      </c>
      <c r="AF32" t="b">
        <f t="shared" si="9"/>
        <v>1</v>
      </c>
      <c r="AG32" t="b">
        <f t="shared" si="10"/>
        <v>1</v>
      </c>
      <c r="AH32" t="b">
        <f t="shared" si="11"/>
        <v>1</v>
      </c>
    </row>
    <row r="33" spans="1:34" x14ac:dyDescent="0.35">
      <c r="A33" t="str">
        <f t="shared" si="1"/>
        <v>Light Energia4338845945</v>
      </c>
      <c r="B33" s="43" t="s">
        <v>332</v>
      </c>
      <c r="C33" s="28">
        <v>43388</v>
      </c>
      <c r="D33" s="28">
        <v>45945</v>
      </c>
      <c r="E33" s="14">
        <f>NETWORKDAYS($C33,$D33,Feriados!$A$2:$A$1189)</f>
        <v>1761</v>
      </c>
      <c r="F33" s="14">
        <f t="shared" si="17"/>
        <v>2520</v>
      </c>
      <c r="G33" s="43" t="s">
        <v>28</v>
      </c>
      <c r="H33" s="29">
        <v>6.8278999999999992E-2</v>
      </c>
      <c r="I33" s="30">
        <v>51192.43</v>
      </c>
      <c r="J33" s="31">
        <v>45839</v>
      </c>
      <c r="K33" s="18">
        <f>NETWORKDAYS($C33,$J33,Feriados!$A$2:$A$1189)</f>
        <v>1685</v>
      </c>
      <c r="L33" s="30">
        <v>48370</v>
      </c>
      <c r="M33" s="31">
        <v>46023</v>
      </c>
      <c r="N33" s="18">
        <f>NETWORKDAYS($C33,$M33,Feriados!$A$2:$A$1189)</f>
        <v>1815</v>
      </c>
      <c r="O33" s="17">
        <f t="shared" si="18"/>
        <v>49522.991199786476</v>
      </c>
      <c r="P33" s="39">
        <v>75095.55</v>
      </c>
      <c r="Q33" s="40">
        <v>45505</v>
      </c>
      <c r="R33" s="20">
        <f>NETWORKDAYS($C33,$Q33,Feriados!$A$2:$A$1189)</f>
        <v>1456</v>
      </c>
      <c r="S33" s="39">
        <v>67031.600000000006</v>
      </c>
      <c r="T33" s="40">
        <v>46235</v>
      </c>
      <c r="U33" s="20">
        <f>NETWORKDAYS($C33,$T33,Feriados!$A$2:$A$1189)</f>
        <v>1960</v>
      </c>
      <c r="V33" s="19">
        <f t="shared" si="19"/>
        <v>70106.603729142778</v>
      </c>
      <c r="W33" s="25">
        <f t="shared" si="20"/>
        <v>0.10579161672699722</v>
      </c>
      <c r="X33" s="25">
        <f t="shared" si="21"/>
        <v>5.2136231211553197E-2</v>
      </c>
      <c r="Y33" s="21">
        <f t="shared" si="22"/>
        <v>5.0996614244201988E-2</v>
      </c>
      <c r="Z33" s="21">
        <f t="shared" si="23"/>
        <v>1.5342850392917606E-2</v>
      </c>
      <c r="AE33" t="b">
        <f t="shared" si="8"/>
        <v>1</v>
      </c>
      <c r="AF33" t="b">
        <f t="shared" si="9"/>
        <v>1</v>
      </c>
      <c r="AG33" t="b">
        <f t="shared" si="10"/>
        <v>1</v>
      </c>
      <c r="AH33" t="b">
        <f t="shared" si="11"/>
        <v>1</v>
      </c>
    </row>
    <row r="34" spans="1:34" x14ac:dyDescent="0.35">
      <c r="A34" t="str">
        <f t="shared" si="1"/>
        <v>Light Energia4404045853</v>
      </c>
      <c r="B34" s="43" t="s">
        <v>332</v>
      </c>
      <c r="C34" s="28">
        <v>44040</v>
      </c>
      <c r="D34" s="28">
        <v>45853</v>
      </c>
      <c r="E34" s="14">
        <f>NETWORKDAYS($C34,$D34,Feriados!$A$2:$A$1189)</f>
        <v>1247</v>
      </c>
      <c r="F34" s="14">
        <f t="shared" si="17"/>
        <v>1787</v>
      </c>
      <c r="G34" s="43" t="s">
        <v>28</v>
      </c>
      <c r="H34" s="29">
        <v>5.7999999999999996E-2</v>
      </c>
      <c r="I34" s="30">
        <v>76562.27</v>
      </c>
      <c r="J34" s="31">
        <v>45839</v>
      </c>
      <c r="K34" s="18">
        <f>NETWORKDAYS($C34,$J34,Feriados!$A$2:$A$1189)</f>
        <v>1237</v>
      </c>
      <c r="L34" s="30">
        <v>73443.03</v>
      </c>
      <c r="M34" s="31">
        <v>46023</v>
      </c>
      <c r="N34" s="18">
        <f>NETWORKDAYS($C34,$M34,Feriados!$A$2:$A$1189)</f>
        <v>1367</v>
      </c>
      <c r="O34" s="17">
        <f t="shared" si="18"/>
        <v>76317.695233298393</v>
      </c>
      <c r="P34" s="39">
        <v>92175.2</v>
      </c>
      <c r="Q34" s="40">
        <v>45778</v>
      </c>
      <c r="R34" s="20">
        <f>NETWORKDAYS($C34,$Q34,Feriados!$A$2:$A$1189)</f>
        <v>1195</v>
      </c>
      <c r="S34" s="39">
        <v>87787.55</v>
      </c>
      <c r="T34" s="40">
        <v>46235</v>
      </c>
      <c r="U34" s="20">
        <f>NETWORKDAYS($C34,$T34,Feriados!$A$2:$A$1189)</f>
        <v>1512</v>
      </c>
      <c r="V34" s="19">
        <f t="shared" si="19"/>
        <v>91440.707275675435</v>
      </c>
      <c r="W34" s="25">
        <f t="shared" si="20"/>
        <v>5.6135589258838214E-2</v>
      </c>
      <c r="X34" s="25">
        <f t="shared" si="21"/>
        <v>1.8246928719828803E-2</v>
      </c>
      <c r="Y34" s="21">
        <f t="shared" si="22"/>
        <v>3.7209697834929001E-2</v>
      </c>
      <c r="Z34" s="21">
        <f t="shared" si="23"/>
        <v>3.9040698438589816E-2</v>
      </c>
      <c r="AE34" t="b">
        <f t="shared" si="8"/>
        <v>1</v>
      </c>
      <c r="AF34" t="b">
        <f t="shared" si="9"/>
        <v>1</v>
      </c>
      <c r="AG34" t="b">
        <f t="shared" si="10"/>
        <v>1</v>
      </c>
      <c r="AH34" t="b">
        <f t="shared" si="11"/>
        <v>1</v>
      </c>
    </row>
    <row r="35" spans="1:34" x14ac:dyDescent="0.35">
      <c r="A35" t="str">
        <f t="shared" si="1"/>
        <v>Light Energia4405845884</v>
      </c>
      <c r="B35" s="43" t="s">
        <v>332</v>
      </c>
      <c r="C35" s="28">
        <v>44058</v>
      </c>
      <c r="D35" s="28">
        <v>45884</v>
      </c>
      <c r="E35" s="14">
        <f>NETWORKDAYS($C35,$D35,Feriados!$A$2:$A$1189)</f>
        <v>1256</v>
      </c>
      <c r="F35" s="14">
        <f t="shared" si="17"/>
        <v>1800</v>
      </c>
      <c r="G35" s="43" t="s">
        <v>28</v>
      </c>
      <c r="H35" s="29">
        <v>5.0867000000000002E-2</v>
      </c>
      <c r="I35" s="30">
        <v>74719.820000000007</v>
      </c>
      <c r="J35" s="31">
        <v>45839</v>
      </c>
      <c r="K35" s="18">
        <f>NETWORKDAYS($C35,$J35,Feriados!$A$2:$A$1189)</f>
        <v>1223</v>
      </c>
      <c r="L35" s="30">
        <v>71239.490000000005</v>
      </c>
      <c r="M35" s="31">
        <v>46023</v>
      </c>
      <c r="N35" s="18">
        <f>NETWORKDAYS($C35,$M35,Feriados!$A$2:$A$1189)</f>
        <v>1353</v>
      </c>
      <c r="O35" s="17">
        <f t="shared" si="18"/>
        <v>73820.569286576676</v>
      </c>
      <c r="P35" s="39">
        <v>91157.05</v>
      </c>
      <c r="Q35" s="40">
        <v>45778</v>
      </c>
      <c r="R35" s="20">
        <f>NETWORKDAYS($C35,$Q35,Feriados!$A$2:$A$1189)</f>
        <v>1181</v>
      </c>
      <c r="S35" s="39">
        <v>86364.28</v>
      </c>
      <c r="T35" s="40">
        <v>46235</v>
      </c>
      <c r="U35" s="20">
        <f>NETWORKDAYS($C35,$T35,Feriados!$A$2:$A$1189)</f>
        <v>1498</v>
      </c>
      <c r="V35" s="19">
        <f t="shared" si="19"/>
        <v>89999.627191328123</v>
      </c>
      <c r="W35" s="25">
        <f t="shared" si="20"/>
        <v>6.2792510893881603E-2</v>
      </c>
      <c r="X35" s="25">
        <f t="shared" si="21"/>
        <v>2.1365076492688706E-2</v>
      </c>
      <c r="Y35" s="21">
        <f t="shared" si="22"/>
        <v>4.0560848764726209E-2</v>
      </c>
      <c r="Z35" s="21">
        <f t="shared" si="23"/>
        <v>2.8884797597171996E-2</v>
      </c>
      <c r="AE35" t="b">
        <f t="shared" si="8"/>
        <v>1</v>
      </c>
      <c r="AF35" t="b">
        <f t="shared" si="9"/>
        <v>1</v>
      </c>
      <c r="AG35" t="b">
        <f t="shared" si="10"/>
        <v>1</v>
      </c>
      <c r="AH35" t="b">
        <f t="shared" si="11"/>
        <v>1</v>
      </c>
    </row>
    <row r="36" spans="1:34" x14ac:dyDescent="0.35">
      <c r="A36" t="str">
        <f t="shared" si="1"/>
        <v>Light Energia4292344027</v>
      </c>
      <c r="B36" s="43" t="s">
        <v>332</v>
      </c>
      <c r="C36" s="28">
        <v>42923</v>
      </c>
      <c r="D36" s="28">
        <v>44027</v>
      </c>
      <c r="E36" s="14">
        <f>NETWORKDAYS($C36,$D36,Feriados!$A$2:$A$1189)</f>
        <v>758</v>
      </c>
      <c r="F36" s="14">
        <f t="shared" si="17"/>
        <v>1088</v>
      </c>
      <c r="G36" s="43" t="s">
        <v>28</v>
      </c>
      <c r="H36" s="29">
        <v>9.0920000000000001E-2</v>
      </c>
      <c r="I36" s="30">
        <v>75897.84</v>
      </c>
      <c r="J36" s="31">
        <v>44013</v>
      </c>
      <c r="K36" s="18">
        <f>NETWORKDAYS($C36,$J36,Feriados!$A$2:$A$1189)</f>
        <v>748</v>
      </c>
      <c r="L36" s="30">
        <v>73729.570000000007</v>
      </c>
      <c r="M36" s="31">
        <v>44105</v>
      </c>
      <c r="N36" s="18">
        <f>NETWORKDAYS($C36,$M36,Feriados!$A$2:$A$1189)</f>
        <v>813</v>
      </c>
      <c r="O36" s="17">
        <f t="shared" si="18"/>
        <v>75560.155805117087</v>
      </c>
      <c r="P36" s="39">
        <v>92037.24</v>
      </c>
      <c r="Q36" s="40">
        <v>43586</v>
      </c>
      <c r="R36" s="20">
        <f>NETWORKDAYS($C36,$Q36,Feriados!$A$2:$A$1189)</f>
        <v>453</v>
      </c>
      <c r="S36" s="39">
        <v>85402.93</v>
      </c>
      <c r="T36" s="40">
        <v>44044</v>
      </c>
      <c r="U36" s="20">
        <f>NETWORKDAYS($C36,$T36,Feriados!$A$2:$A$1189)</f>
        <v>770</v>
      </c>
      <c r="V36" s="19">
        <f t="shared" si="19"/>
        <v>85645.13671208013</v>
      </c>
      <c r="W36" s="25">
        <f t="shared" si="20"/>
        <v>9.7645267788603274E-2</v>
      </c>
      <c r="X36" s="25">
        <f t="shared" si="21"/>
        <v>5.2866342361131524E-2</v>
      </c>
      <c r="Y36" s="21">
        <f t="shared" si="22"/>
        <v>4.2530493782384271E-2</v>
      </c>
      <c r="Z36" s="21">
        <f t="shared" si="23"/>
        <v>3.6142913974750446E-2</v>
      </c>
      <c r="AE36" t="b">
        <f t="shared" si="8"/>
        <v>1</v>
      </c>
      <c r="AF36" t="b">
        <f t="shared" si="9"/>
        <v>1</v>
      </c>
      <c r="AG36" t="b">
        <f t="shared" si="10"/>
        <v>1</v>
      </c>
      <c r="AH36" t="b">
        <f t="shared" si="11"/>
        <v>1</v>
      </c>
    </row>
    <row r="37" spans="1:34" x14ac:dyDescent="0.35">
      <c r="A37" t="str">
        <f t="shared" si="1"/>
        <v>Light Energia4430147953</v>
      </c>
      <c r="B37" s="43" t="s">
        <v>332</v>
      </c>
      <c r="C37" s="28">
        <v>44301</v>
      </c>
      <c r="D37" s="28">
        <v>47953</v>
      </c>
      <c r="E37" s="14">
        <f>NETWORKDAYS($C37,$D37,Feriados!$A$2:$A$1189)</f>
        <v>2512</v>
      </c>
      <c r="F37" s="14">
        <f t="shared" si="17"/>
        <v>3600</v>
      </c>
      <c r="G37" s="43" t="s">
        <v>28</v>
      </c>
      <c r="H37" s="29">
        <v>4.7542999999999995E-2</v>
      </c>
      <c r="I37" s="30">
        <v>41884.99</v>
      </c>
      <c r="J37" s="31">
        <v>47849</v>
      </c>
      <c r="K37" s="18">
        <f>NETWORKDAYS($C37,$J37,Feriados!$A$2:$A$1189)</f>
        <v>2441</v>
      </c>
      <c r="L37" s="30">
        <v>34274.120000000003</v>
      </c>
      <c r="M37" s="31">
        <v>48580</v>
      </c>
      <c r="N37" s="18">
        <f>NETWORKDAYS($C37,$M37,Feriados!$A$2:$A$1189)</f>
        <v>2946</v>
      </c>
      <c r="O37" s="17">
        <f t="shared" si="18"/>
        <v>40720.563925262373</v>
      </c>
      <c r="P37" s="39">
        <v>70623.58</v>
      </c>
      <c r="Q37" s="40">
        <v>47696</v>
      </c>
      <c r="R37" s="20">
        <f>NETWORKDAYS($C37,$Q37,Feriados!$A$2:$A$1189)</f>
        <v>2335</v>
      </c>
      <c r="S37" s="39">
        <v>57124.639999999999</v>
      </c>
      <c r="T37" s="40">
        <v>49430</v>
      </c>
      <c r="U37" s="20">
        <f>NETWORKDAYS($C37,$T37,Feriados!$A$2:$A$1189)</f>
        <v>3528</v>
      </c>
      <c r="V37" s="19">
        <f t="shared" si="19"/>
        <v>68435.488935662434</v>
      </c>
      <c r="W37" s="25">
        <f t="shared" si="20"/>
        <v>9.431634182771842E-2</v>
      </c>
      <c r="X37" s="25">
        <f t="shared" si="21"/>
        <v>3.8781773121127072E-2</v>
      </c>
      <c r="Y37" s="21">
        <f t="shared" si="22"/>
        <v>5.3461246763824244E-2</v>
      </c>
      <c r="Z37" s="21">
        <f t="shared" si="23"/>
        <v>8.4341361251929481E-3</v>
      </c>
      <c r="AE37" t="b">
        <f t="shared" si="8"/>
        <v>1</v>
      </c>
      <c r="AF37" t="b">
        <f t="shared" si="9"/>
        <v>1</v>
      </c>
      <c r="AG37" t="b">
        <f t="shared" si="10"/>
        <v>1</v>
      </c>
      <c r="AH37" t="b">
        <f t="shared" si="11"/>
        <v>1</v>
      </c>
    </row>
    <row r="38" spans="1:34" x14ac:dyDescent="0.35">
      <c r="A38" t="str">
        <f t="shared" si="1"/>
        <v>Light Energia4375346310</v>
      </c>
      <c r="B38" s="43" t="s">
        <v>332</v>
      </c>
      <c r="C38" s="28">
        <v>43753</v>
      </c>
      <c r="D38" s="28">
        <v>46310</v>
      </c>
      <c r="E38" s="14">
        <f>NETWORKDAYS($C38,$D38,Feriados!$A$2:$A$1189)</f>
        <v>1760</v>
      </c>
      <c r="F38" s="14">
        <f t="shared" si="17"/>
        <v>2520</v>
      </c>
      <c r="G38" s="43" t="s">
        <v>28</v>
      </c>
      <c r="H38" s="29">
        <v>5.2499999999999998E-2</v>
      </c>
      <c r="I38" s="30">
        <v>65235.34</v>
      </c>
      <c r="J38" s="31">
        <v>46204</v>
      </c>
      <c r="K38" s="18">
        <f>NETWORKDAYS($C38,$J38,Feriados!$A$2:$A$1189)</f>
        <v>1686</v>
      </c>
      <c r="L38" s="30">
        <v>62757.48</v>
      </c>
      <c r="M38" s="31">
        <v>46388</v>
      </c>
      <c r="N38" s="18">
        <f>NETWORKDAYS($C38,$M38,Feriados!$A$2:$A$1189)</f>
        <v>1813</v>
      </c>
      <c r="O38" s="17">
        <f t="shared" si="18"/>
        <v>63779.894353052783</v>
      </c>
      <c r="P38" s="39">
        <v>82949.45</v>
      </c>
      <c r="Q38" s="40">
        <v>46235</v>
      </c>
      <c r="R38" s="20">
        <f>NETWORKDAYS($C38,$Q38,Feriados!$A$2:$A$1189)</f>
        <v>1708</v>
      </c>
      <c r="S38" s="39">
        <v>76623.679999999993</v>
      </c>
      <c r="T38" s="40">
        <v>46966</v>
      </c>
      <c r="U38" s="20">
        <f>NETWORKDAYS($C38,$T38,Feriados!$A$2:$A$1189)</f>
        <v>2210</v>
      </c>
      <c r="V38" s="19">
        <f t="shared" si="19"/>
        <v>82270.650758440941</v>
      </c>
      <c r="W38" s="25">
        <f t="shared" si="20"/>
        <v>6.6511958110379688E-2</v>
      </c>
      <c r="X38" s="25">
        <f t="shared" si="21"/>
        <v>2.8336816419832322E-2</v>
      </c>
      <c r="Y38" s="21">
        <f t="shared" si="22"/>
        <v>3.7123188707231858E-2</v>
      </c>
      <c r="Z38" s="21">
        <f t="shared" si="23"/>
        <v>2.349734366634082E-2</v>
      </c>
      <c r="AE38" t="b">
        <f t="shared" si="8"/>
        <v>1</v>
      </c>
      <c r="AF38" t="b">
        <f t="shared" si="9"/>
        <v>1</v>
      </c>
      <c r="AG38" t="b">
        <f t="shared" si="10"/>
        <v>1</v>
      </c>
      <c r="AH38" t="b">
        <f t="shared" si="11"/>
        <v>1</v>
      </c>
    </row>
    <row r="39" spans="1:34" x14ac:dyDescent="0.35">
      <c r="A39" t="str">
        <f t="shared" si="1"/>
        <v>Light Energia4144045061</v>
      </c>
      <c r="B39" s="43" t="s">
        <v>332</v>
      </c>
      <c r="C39" s="28">
        <v>41440</v>
      </c>
      <c r="D39" s="28">
        <v>45061</v>
      </c>
      <c r="E39" s="14">
        <f>NETWORKDAYS($C39,$D39,Feriados!$A$2:$A$1189)</f>
        <v>2490</v>
      </c>
      <c r="F39" s="14">
        <f t="shared" si="17"/>
        <v>3570</v>
      </c>
      <c r="G39" s="43" t="s">
        <v>28</v>
      </c>
      <c r="H39" s="29">
        <v>5.74E-2</v>
      </c>
      <c r="I39" s="30">
        <v>36743.589999999997</v>
      </c>
      <c r="J39" s="31">
        <v>44927</v>
      </c>
      <c r="K39" s="18">
        <f>NETWORKDAYS($C39,$J39,Feriados!$A$2:$A$1189)</f>
        <v>2399</v>
      </c>
      <c r="L39" s="30">
        <v>34890.449999999997</v>
      </c>
      <c r="M39" s="31">
        <v>45108</v>
      </c>
      <c r="N39" s="18">
        <f>NETWORKDAYS($C39,$M39,Feriados!$A$2:$A$1189)</f>
        <v>2523</v>
      </c>
      <c r="O39" s="17">
        <f t="shared" si="18"/>
        <v>35374.29758246553</v>
      </c>
      <c r="P39" s="39">
        <v>62323.62</v>
      </c>
      <c r="Q39" s="40">
        <v>44682</v>
      </c>
      <c r="R39" s="20">
        <f>NETWORKDAYS($C39,$Q39,Feriados!$A$2:$A$1189)</f>
        <v>2229</v>
      </c>
      <c r="S39" s="39">
        <v>57022.5</v>
      </c>
      <c r="T39" s="40">
        <v>45413</v>
      </c>
      <c r="U39" s="20">
        <f>NETWORKDAYS($C39,$T39,Feriados!$A$2:$A$1189)</f>
        <v>2731</v>
      </c>
      <c r="V39" s="19">
        <f t="shared" si="19"/>
        <v>59508.692778736673</v>
      </c>
      <c r="W39" s="25">
        <f t="shared" si="20"/>
        <v>0.11090000087991991</v>
      </c>
      <c r="X39" s="25">
        <f t="shared" si="21"/>
        <v>5.3934324522543209E-2</v>
      </c>
      <c r="Y39" s="21">
        <f t="shared" si="22"/>
        <v>5.4050499193280865E-2</v>
      </c>
      <c r="Z39" s="21">
        <f t="shared" si="23"/>
        <v>3.2883220489348108E-3</v>
      </c>
      <c r="AE39" t="b">
        <f t="shared" si="8"/>
        <v>1</v>
      </c>
      <c r="AF39" t="b">
        <f t="shared" si="9"/>
        <v>1</v>
      </c>
      <c r="AG39" t="b">
        <f t="shared" si="10"/>
        <v>1</v>
      </c>
      <c r="AH39" t="b">
        <f t="shared" si="11"/>
        <v>1</v>
      </c>
    </row>
    <row r="40" spans="1:34" x14ac:dyDescent="0.35">
      <c r="A40" t="str">
        <f t="shared" si="1"/>
        <v>Marfrig4056142022</v>
      </c>
      <c r="B40" s="43" t="s">
        <v>370</v>
      </c>
      <c r="C40" s="28">
        <v>40561</v>
      </c>
      <c r="D40" s="28">
        <v>42022</v>
      </c>
      <c r="E40" s="14">
        <f>NETWORKDAYS($C40,$D40,Feriados!$A$2:$A$1189)</f>
        <v>1008</v>
      </c>
      <c r="F40" s="14">
        <f t="shared" ref="F40:F53" si="24">DAYS360(C40,D40,0)</f>
        <v>1440</v>
      </c>
      <c r="G40" s="43" t="s">
        <v>28</v>
      </c>
      <c r="H40" s="29">
        <v>9.5000000000000001E-2</v>
      </c>
      <c r="I40" s="30">
        <v>62619.07</v>
      </c>
      <c r="J40" s="31">
        <v>42005</v>
      </c>
      <c r="K40" s="18">
        <f>NETWORKDAYS($C40,$J40,Feriados!$A$2:$A$1189)</f>
        <v>997</v>
      </c>
      <c r="L40" s="30">
        <v>60873.8</v>
      </c>
      <c r="M40" s="31">
        <v>42095</v>
      </c>
      <c r="N40" s="18">
        <f>NETWORKDAYS($C40,$M40,Feriados!$A$2:$A$1189)</f>
        <v>1059</v>
      </c>
      <c r="O40" s="17">
        <f t="shared" ref="O40:O53" si="25">$I40*(($L40/$I40)^(($E40-$K40)/($N40-$K40)))</f>
        <v>62305.814504997739</v>
      </c>
      <c r="P40" s="39">
        <v>79593.429999999993</v>
      </c>
      <c r="Q40" s="40">
        <v>41913</v>
      </c>
      <c r="R40" s="20">
        <f>NETWORKDAYS($C40,$Q40,Feriados!$A$2:$A$1189)</f>
        <v>933</v>
      </c>
      <c r="S40" s="39">
        <v>77020.56</v>
      </c>
      <c r="T40" s="40">
        <v>42125</v>
      </c>
      <c r="U40" s="20">
        <f>NETWORKDAYS($C40,$T40,Feriados!$A$2:$A$1189)</f>
        <v>1078</v>
      </c>
      <c r="V40" s="19">
        <f t="shared" ref="V40:V53" si="26">$P40*(($S40/$P40)^(($E40-$R40)/($U40-$R40)))</f>
        <v>78252.082177567732</v>
      </c>
      <c r="W40" s="25">
        <f t="shared" si="20"/>
        <v>0.12555793895402068</v>
      </c>
      <c r="X40" s="25">
        <f t="shared" si="21"/>
        <v>6.3227067810126769E-2</v>
      </c>
      <c r="Y40" s="21">
        <f t="shared" si="22"/>
        <v>5.8624232801252507E-2</v>
      </c>
      <c r="Z40" s="21">
        <f t="shared" si="23"/>
        <v>2.9883486935029069E-2</v>
      </c>
      <c r="AE40" t="b">
        <f t="shared" si="8"/>
        <v>1</v>
      </c>
      <c r="AF40" t="b">
        <f t="shared" si="9"/>
        <v>1</v>
      </c>
      <c r="AG40" t="b">
        <f t="shared" si="10"/>
        <v>1</v>
      </c>
      <c r="AH40" t="b">
        <f t="shared" si="11"/>
        <v>1</v>
      </c>
    </row>
    <row r="41" spans="1:34" x14ac:dyDescent="0.35">
      <c r="A41" t="str">
        <f t="shared" si="1"/>
        <v>Movida4430146919</v>
      </c>
      <c r="B41" s="43" t="s">
        <v>398</v>
      </c>
      <c r="C41" s="28">
        <v>44301</v>
      </c>
      <c r="D41" s="28">
        <v>46919</v>
      </c>
      <c r="E41" s="14">
        <f>NETWORKDAYS($C41,$D41,Feriados!$A$2:$A$1189)</f>
        <v>1802</v>
      </c>
      <c r="F41" s="14">
        <f t="shared" si="24"/>
        <v>2580</v>
      </c>
      <c r="G41" s="43" t="s">
        <v>28</v>
      </c>
      <c r="H41" s="29">
        <v>7.1702000000000002E-2</v>
      </c>
      <c r="I41" s="30">
        <v>56003.97</v>
      </c>
      <c r="J41" s="31">
        <v>46753</v>
      </c>
      <c r="K41" s="18">
        <f>NETWORKDAYS($C41,$J41,Feriados!$A$2:$A$1189)</f>
        <v>1689</v>
      </c>
      <c r="L41" s="30">
        <v>50821.760000000002</v>
      </c>
      <c r="M41" s="31">
        <v>47119</v>
      </c>
      <c r="N41" s="18">
        <f>NETWORKDAYS($C41,$M41,Feriados!$A$2:$A$1189)</f>
        <v>1938</v>
      </c>
      <c r="O41" s="17">
        <f t="shared" si="25"/>
        <v>53589.761855948222</v>
      </c>
      <c r="P41" s="39">
        <v>83463.350000000006</v>
      </c>
      <c r="Q41" s="40">
        <v>46235</v>
      </c>
      <c r="R41" s="20">
        <f>NETWORKDAYS($C41,$Q41,Feriados!$A$2:$A$1189)</f>
        <v>1333</v>
      </c>
      <c r="S41" s="39">
        <v>76600.77</v>
      </c>
      <c r="T41" s="40">
        <v>46966</v>
      </c>
      <c r="U41" s="20">
        <f>NETWORKDAYS($C41,$T41,Feriados!$A$2:$A$1189)</f>
        <v>1835</v>
      </c>
      <c r="V41" s="19">
        <f t="shared" si="26"/>
        <v>77034.039824065359</v>
      </c>
      <c r="W41" s="25">
        <f t="shared" si="20"/>
        <v>9.1155002710258115E-2</v>
      </c>
      <c r="X41" s="25">
        <f t="shared" si="21"/>
        <v>3.716252917383156E-2</v>
      </c>
      <c r="Y41" s="21">
        <f t="shared" si="22"/>
        <v>5.2057871372807041E-2</v>
      </c>
      <c r="Z41" s="21">
        <f t="shared" si="23"/>
        <v>3.3301888425993686E-2</v>
      </c>
      <c r="AE41" t="b">
        <f t="shared" si="8"/>
        <v>1</v>
      </c>
      <c r="AF41" t="b">
        <f t="shared" si="9"/>
        <v>1</v>
      </c>
      <c r="AG41" t="b">
        <f t="shared" si="10"/>
        <v>1</v>
      </c>
      <c r="AH41" t="b">
        <f t="shared" si="11"/>
        <v>1</v>
      </c>
    </row>
    <row r="42" spans="1:34" x14ac:dyDescent="0.35">
      <c r="A42" t="str">
        <f t="shared" si="1"/>
        <v>Movida4430146006</v>
      </c>
      <c r="B42" s="43" t="s">
        <v>398</v>
      </c>
      <c r="C42" s="28">
        <v>44301</v>
      </c>
      <c r="D42" s="28">
        <v>46006</v>
      </c>
      <c r="E42" s="14">
        <f>NETWORKDAYS($C42,$D42,Feriados!$A$2:$A$1189)</f>
        <v>1177</v>
      </c>
      <c r="F42" s="14">
        <f t="shared" si="24"/>
        <v>1680</v>
      </c>
      <c r="G42" s="43" t="s">
        <v>28</v>
      </c>
      <c r="H42" s="29">
        <v>7.2413000000000005E-2</v>
      </c>
      <c r="I42" s="30">
        <v>69503.34</v>
      </c>
      <c r="J42" s="31">
        <v>45931</v>
      </c>
      <c r="K42" s="18">
        <f>NETWORKDAYS($C42,$J42,Feriados!$A$2:$A$1189)</f>
        <v>1124</v>
      </c>
      <c r="L42" s="30">
        <v>67984.210000000006</v>
      </c>
      <c r="M42" s="31">
        <v>46023</v>
      </c>
      <c r="N42" s="18">
        <f>NETWORKDAYS($C42,$M42,Feriados!$A$2:$A$1189)</f>
        <v>1188</v>
      </c>
      <c r="O42" s="17">
        <f t="shared" si="25"/>
        <v>68242.927055940949</v>
      </c>
      <c r="P42" s="39">
        <v>88044.2</v>
      </c>
      <c r="Q42" s="40">
        <v>45778</v>
      </c>
      <c r="R42" s="20">
        <f>NETWORKDAYS($C42,$Q42,Feriados!$A$2:$A$1189)</f>
        <v>1016</v>
      </c>
      <c r="S42" s="39">
        <v>83463.350000000006</v>
      </c>
      <c r="T42" s="40">
        <v>46235</v>
      </c>
      <c r="U42" s="20">
        <f>NETWORKDAYS($C42,$T42,Feriados!$A$2:$A$1189)</f>
        <v>1333</v>
      </c>
      <c r="V42" s="19">
        <f t="shared" si="26"/>
        <v>85687.067025271608</v>
      </c>
      <c r="W42" s="25">
        <f t="shared" si="20"/>
        <v>8.5247675258800948E-2</v>
      </c>
      <c r="X42" s="25">
        <f t="shared" si="21"/>
        <v>3.3625188496255287E-2</v>
      </c>
      <c r="Y42" s="21">
        <f t="shared" si="22"/>
        <v>4.9943139289830407E-2</v>
      </c>
      <c r="Z42" s="21">
        <f t="shared" si="23"/>
        <v>3.752599291835601E-2</v>
      </c>
      <c r="AE42" t="b">
        <f t="shared" si="8"/>
        <v>1</v>
      </c>
      <c r="AF42" t="b">
        <f t="shared" si="9"/>
        <v>1</v>
      </c>
      <c r="AG42" t="b">
        <f t="shared" si="10"/>
        <v>1</v>
      </c>
      <c r="AH42" t="b">
        <f t="shared" si="11"/>
        <v>1</v>
      </c>
    </row>
    <row r="43" spans="1:34" x14ac:dyDescent="0.35">
      <c r="A43" t="str">
        <f t="shared" si="1"/>
        <v>Movida4445448106</v>
      </c>
      <c r="B43" s="43" t="s">
        <v>398</v>
      </c>
      <c r="C43" s="28">
        <v>44454</v>
      </c>
      <c r="D43" s="28">
        <v>48106</v>
      </c>
      <c r="E43" s="14">
        <f>NETWORKDAYS($C43,$D43,Feriados!$A$2:$A$1189)</f>
        <v>2512</v>
      </c>
      <c r="F43" s="14">
        <f t="shared" si="24"/>
        <v>3600</v>
      </c>
      <c r="G43" s="43" t="s">
        <v>28</v>
      </c>
      <c r="H43" s="29">
        <v>7.6365999999999989E-2</v>
      </c>
      <c r="I43" s="30">
        <v>38022.71</v>
      </c>
      <c r="J43" s="31">
        <v>47849</v>
      </c>
      <c r="K43" s="18">
        <f>NETWORKDAYS($C43,$J43,Feriados!$A$2:$A$1189)</f>
        <v>2335</v>
      </c>
      <c r="L43" s="30">
        <v>30535.84</v>
      </c>
      <c r="M43" s="31">
        <v>48580</v>
      </c>
      <c r="N43" s="18">
        <f>NETWORKDAYS($C43,$M43,Feriados!$A$2:$A$1189)</f>
        <v>2840</v>
      </c>
      <c r="O43" s="17">
        <f t="shared" si="25"/>
        <v>35209.860425633124</v>
      </c>
      <c r="P43" s="39">
        <v>68454.149999999994</v>
      </c>
      <c r="Q43" s="40">
        <v>47696</v>
      </c>
      <c r="R43" s="20">
        <f>NETWORKDAYS($C43,$Q43,Feriados!$A$2:$A$1189)</f>
        <v>2229</v>
      </c>
      <c r="S43" s="39">
        <v>55713.14</v>
      </c>
      <c r="T43" s="40">
        <v>49430</v>
      </c>
      <c r="U43" s="20">
        <f>NETWORKDAYS($C43,$T43,Feriados!$A$2:$A$1189)</f>
        <v>3422</v>
      </c>
      <c r="V43" s="19">
        <f t="shared" si="26"/>
        <v>65190.239362458226</v>
      </c>
      <c r="W43" s="25">
        <f t="shared" si="20"/>
        <v>0.1103961417200876</v>
      </c>
      <c r="X43" s="25">
        <f t="shared" si="21"/>
        <v>4.3856788633959809E-2</v>
      </c>
      <c r="Y43" s="21">
        <f t="shared" si="22"/>
        <v>6.3743756625086689E-2</v>
      </c>
      <c r="Z43" s="21">
        <f t="shared" si="23"/>
        <v>3.1143363457532436E-2</v>
      </c>
      <c r="AE43" t="b">
        <f t="shared" si="8"/>
        <v>1</v>
      </c>
      <c r="AF43" t="b">
        <f t="shared" si="9"/>
        <v>1</v>
      </c>
      <c r="AG43" t="b">
        <f t="shared" si="10"/>
        <v>1</v>
      </c>
      <c r="AH43" t="b">
        <f t="shared" si="11"/>
        <v>1</v>
      </c>
    </row>
    <row r="44" spans="1:34" x14ac:dyDescent="0.35">
      <c r="A44" t="str">
        <f t="shared" ref="A44:A45" si="27">B44&amp;C44&amp;D44</f>
        <v>Movida4472747284</v>
      </c>
      <c r="B44" s="43" t="s">
        <v>398</v>
      </c>
      <c r="C44" s="28">
        <v>44727</v>
      </c>
      <c r="D44" s="28">
        <v>47284</v>
      </c>
      <c r="E44" s="14">
        <f>NETWORKDAYS($C44,$D44,Feriados!$A$2:$A$1189)</f>
        <v>1758</v>
      </c>
      <c r="F44" s="14">
        <f t="shared" ref="F44:F45" si="28">DAYS360(C44,D44,0)</f>
        <v>2520</v>
      </c>
      <c r="G44" s="43" t="s">
        <v>28</v>
      </c>
      <c r="H44" s="29">
        <v>8.0524999999999999E-2</v>
      </c>
      <c r="I44" s="30">
        <v>44819.18</v>
      </c>
      <c r="J44" s="31">
        <v>47119</v>
      </c>
      <c r="K44" s="18">
        <f>NETWORKDAYS($C44,$J44,Feriados!$A$2:$A$1189)</f>
        <v>1644</v>
      </c>
      <c r="L44" s="30">
        <v>39643.769999999997</v>
      </c>
      <c r="M44" s="31">
        <v>47484</v>
      </c>
      <c r="N44" s="18">
        <f>NETWORKDAYS($C44,$M44,Feriados!$A$2:$A$1189)</f>
        <v>1894</v>
      </c>
      <c r="O44" s="17">
        <f t="shared" si="25"/>
        <v>42380.311194564827</v>
      </c>
      <c r="P44" s="39">
        <v>72365.899999999994</v>
      </c>
      <c r="Q44" s="40">
        <v>46966</v>
      </c>
      <c r="R44" s="20">
        <f>NETWORKDAYS($C44,$Q44,Feriados!$A$2:$A$1189)</f>
        <v>1541</v>
      </c>
      <c r="S44" s="39">
        <v>65144.83</v>
      </c>
      <c r="T44" s="40">
        <v>47696</v>
      </c>
      <c r="U44" s="20">
        <f>NETWORKDAYS($C44,$T44,Feriados!$A$2:$A$1189)</f>
        <v>2041</v>
      </c>
      <c r="V44" s="19">
        <f t="shared" si="26"/>
        <v>69138.527572786523</v>
      </c>
      <c r="W44" s="25">
        <f t="shared" si="20"/>
        <v>0.13095167463322688</v>
      </c>
      <c r="X44" s="25">
        <f t="shared" si="21"/>
        <v>5.4326863094808608E-2</v>
      </c>
      <c r="Y44" s="21">
        <f t="shared" si="22"/>
        <v>7.2676523970468088E-2</v>
      </c>
      <c r="Z44" s="21">
        <f t="shared" si="23"/>
        <v>2.4848211519804098E-2</v>
      </c>
    </row>
    <row r="45" spans="1:34" x14ac:dyDescent="0.35">
      <c r="A45" t="str">
        <f t="shared" si="27"/>
        <v>Movida4472748380</v>
      </c>
      <c r="B45" s="43" t="s">
        <v>398</v>
      </c>
      <c r="C45" s="28">
        <v>44727</v>
      </c>
      <c r="D45" s="28">
        <v>48380</v>
      </c>
      <c r="E45" s="14">
        <f>NETWORKDAYS($C45,$D45,Feriados!$A$2:$A$1189)</f>
        <v>2513</v>
      </c>
      <c r="F45" s="14">
        <f t="shared" si="28"/>
        <v>3600</v>
      </c>
      <c r="G45" s="43" t="s">
        <v>28</v>
      </c>
      <c r="H45" s="29">
        <v>8.3367999999999998E-2</v>
      </c>
      <c r="I45" s="30">
        <v>30870.61</v>
      </c>
      <c r="J45" s="31">
        <v>48214</v>
      </c>
      <c r="K45" s="18">
        <f>NETWORKDAYS($C45,$J45,Feriados!$A$2:$A$1189)</f>
        <v>2400</v>
      </c>
      <c r="L45" s="30">
        <v>27273.83</v>
      </c>
      <c r="M45" s="31">
        <v>48580</v>
      </c>
      <c r="N45" s="18">
        <f>NETWORKDAYS($C45,$M45,Feriados!$A$2:$A$1189)</f>
        <v>2652</v>
      </c>
      <c r="O45" s="17">
        <f t="shared" si="25"/>
        <v>29202.566370190933</v>
      </c>
      <c r="P45" s="39">
        <v>65144.83</v>
      </c>
      <c r="Q45" s="40">
        <v>47696</v>
      </c>
      <c r="R45" s="20">
        <f>NETWORKDAYS($C45,$Q45,Feriados!$A$2:$A$1189)</f>
        <v>2041</v>
      </c>
      <c r="S45" s="39">
        <v>58323.68</v>
      </c>
      <c r="T45" s="40">
        <v>48427</v>
      </c>
      <c r="U45" s="20">
        <f>NETWORKDAYS($C45,$T45,Feriados!$A$2:$A$1189)</f>
        <v>2546</v>
      </c>
      <c r="V45" s="19">
        <f t="shared" si="26"/>
        <v>58746.74948504239</v>
      </c>
      <c r="W45" s="25">
        <f t="shared" si="20"/>
        <v>0.13137559376839225</v>
      </c>
      <c r="X45" s="25">
        <f t="shared" si="21"/>
        <v>5.4789907590517606E-2</v>
      </c>
      <c r="Y45" s="21">
        <f t="shared" si="22"/>
        <v>7.2607526510014786E-2</v>
      </c>
      <c r="Z45" s="21">
        <f t="shared" si="23"/>
        <v>2.7093634669641542E-2</v>
      </c>
    </row>
    <row r="46" spans="1:34" x14ac:dyDescent="0.35">
      <c r="A46" t="str">
        <f t="shared" si="1"/>
        <v>Oi4098343905</v>
      </c>
      <c r="B46" s="43" t="s">
        <v>452</v>
      </c>
      <c r="C46" s="28">
        <v>40983</v>
      </c>
      <c r="D46" s="28">
        <v>43905</v>
      </c>
      <c r="E46" s="14">
        <f>NETWORKDAYS($C46,$D46,Feriados!$A$2:$A$1189)</f>
        <v>2009</v>
      </c>
      <c r="F46" s="14">
        <f t="shared" si="24"/>
        <v>2880</v>
      </c>
      <c r="G46" s="43" t="s">
        <v>28</v>
      </c>
      <c r="H46" s="29">
        <v>6.2E-2</v>
      </c>
      <c r="I46" s="30">
        <v>43925.2</v>
      </c>
      <c r="J46" s="31">
        <v>43831</v>
      </c>
      <c r="K46" s="18">
        <f>NETWORKDAYS($C46,$J46,Feriados!$A$2:$A$1189)</f>
        <v>1959</v>
      </c>
      <c r="L46" s="30">
        <v>41553.03</v>
      </c>
      <c r="M46" s="31">
        <v>43922</v>
      </c>
      <c r="N46" s="18">
        <f>NETWORKDAYS($C46,$M46,Feriados!$A$2:$A$1189)</f>
        <v>2022</v>
      </c>
      <c r="O46" s="17">
        <f t="shared" si="25"/>
        <v>42031.800449028335</v>
      </c>
      <c r="P46" s="39">
        <v>79336.639999999999</v>
      </c>
      <c r="Q46" s="40">
        <v>42856</v>
      </c>
      <c r="R46" s="20">
        <f>NETWORKDAYS($C46,$Q46,Feriados!$A$2:$A$1189)</f>
        <v>1288</v>
      </c>
      <c r="S46" s="39">
        <v>66932.08</v>
      </c>
      <c r="T46" s="40">
        <v>44044</v>
      </c>
      <c r="U46" s="20">
        <f>NETWORKDAYS($C46,$T46,Feriados!$A$2:$A$1189)</f>
        <v>2105</v>
      </c>
      <c r="V46" s="19">
        <f t="shared" si="26"/>
        <v>68282.700178825107</v>
      </c>
      <c r="W46" s="25">
        <f t="shared" si="20"/>
        <v>0.11485066609978634</v>
      </c>
      <c r="X46" s="25">
        <f t="shared" si="21"/>
        <v>4.9018937772106863E-2</v>
      </c>
      <c r="Y46" s="21">
        <f t="shared" si="22"/>
        <v>6.2755519426076267E-2</v>
      </c>
      <c r="Z46" s="21">
        <f t="shared" si="23"/>
        <v>1.2374478439314052E-2</v>
      </c>
      <c r="AE46" t="b">
        <f t="shared" si="8"/>
        <v>1</v>
      </c>
      <c r="AF46" t="b">
        <f t="shared" si="9"/>
        <v>1</v>
      </c>
      <c r="AG46" t="b">
        <f t="shared" si="10"/>
        <v>1</v>
      </c>
      <c r="AH46" t="b">
        <f t="shared" si="11"/>
        <v>1</v>
      </c>
    </row>
    <row r="47" spans="1:34" x14ac:dyDescent="0.35">
      <c r="A47" t="str">
        <f t="shared" si="1"/>
        <v>Petrobras4296244788</v>
      </c>
      <c r="B47" s="43" t="s">
        <v>463</v>
      </c>
      <c r="C47" s="28">
        <v>42962</v>
      </c>
      <c r="D47" s="28">
        <v>44788</v>
      </c>
      <c r="E47" s="14">
        <f>NETWORKDAYS($C47,$D47,Feriados!$A$2:$A$1189)</f>
        <v>1255</v>
      </c>
      <c r="F47" s="14">
        <f t="shared" si="24"/>
        <v>1800</v>
      </c>
      <c r="G47" s="43" t="s">
        <v>28</v>
      </c>
      <c r="H47" s="29">
        <v>4.7176000000000003E-2</v>
      </c>
      <c r="I47" s="30">
        <v>63329.56</v>
      </c>
      <c r="J47" s="31">
        <v>44743</v>
      </c>
      <c r="K47" s="18">
        <f>NETWORKDAYS($C47,$J47,Feriados!$A$2:$A$1189)</f>
        <v>1224</v>
      </c>
      <c r="L47" s="30">
        <v>60101.88</v>
      </c>
      <c r="M47" s="31">
        <v>44927</v>
      </c>
      <c r="N47" s="18">
        <f>NETWORKDAYS($C47,$M47,Feriados!$A$2:$A$1189)</f>
        <v>1350</v>
      </c>
      <c r="O47" s="17">
        <f t="shared" si="25"/>
        <v>62519.719332072651</v>
      </c>
      <c r="P47" s="39">
        <v>79229.08</v>
      </c>
      <c r="Q47" s="40">
        <v>44774</v>
      </c>
      <c r="R47" s="20">
        <f>NETWORKDAYS($C47,$Q47,Feriados!$A$2:$A$1189)</f>
        <v>1245</v>
      </c>
      <c r="S47" s="39">
        <v>75999.34</v>
      </c>
      <c r="T47" s="40">
        <v>45047</v>
      </c>
      <c r="U47" s="20">
        <f>NETWORKDAYS($C47,$T47,Feriados!$A$2:$A$1189)</f>
        <v>1431</v>
      </c>
      <c r="V47" s="19">
        <f t="shared" si="26"/>
        <v>79051.997811799956</v>
      </c>
      <c r="W47" s="25">
        <f t="shared" si="20"/>
        <v>9.8902426362847962E-2</v>
      </c>
      <c r="X47" s="25">
        <f t="shared" si="21"/>
        <v>4.8331835019312486E-2</v>
      </c>
      <c r="Y47" s="21">
        <f t="shared" si="22"/>
        <v>4.8239106792558495E-2</v>
      </c>
      <c r="Z47" s="21">
        <f t="shared" si="23"/>
        <v>-1.1025469042358349E-3</v>
      </c>
      <c r="AE47" t="b">
        <f t="shared" si="8"/>
        <v>1</v>
      </c>
      <c r="AF47" t="b">
        <f t="shared" si="9"/>
        <v>1</v>
      </c>
      <c r="AG47" t="b">
        <f t="shared" si="10"/>
        <v>1</v>
      </c>
      <c r="AH47" t="b">
        <f t="shared" si="11"/>
        <v>1</v>
      </c>
    </row>
    <row r="48" spans="1:34" x14ac:dyDescent="0.35">
      <c r="A48" t="str">
        <f t="shared" si="1"/>
        <v>Petrobras4348046037</v>
      </c>
      <c r="B48" s="43" t="s">
        <v>463</v>
      </c>
      <c r="C48" s="28">
        <v>43480</v>
      </c>
      <c r="D48" s="28">
        <v>46037</v>
      </c>
      <c r="E48" s="14">
        <f>NETWORKDAYS($C48,$D48,Feriados!$A$2:$A$1189)</f>
        <v>1763</v>
      </c>
      <c r="F48" s="14">
        <f t="shared" si="24"/>
        <v>2520</v>
      </c>
      <c r="G48" s="43" t="s">
        <v>28</v>
      </c>
      <c r="H48" s="29">
        <v>4.0460000000000003E-2</v>
      </c>
      <c r="I48" s="30">
        <v>54248.36</v>
      </c>
      <c r="J48" s="31">
        <v>46023</v>
      </c>
      <c r="K48" s="18">
        <f>NETWORKDAYS($C48,$J48,Feriados!$A$2:$A$1189)</f>
        <v>1753</v>
      </c>
      <c r="L48" s="30">
        <v>51687.65</v>
      </c>
      <c r="M48" s="31">
        <v>46204</v>
      </c>
      <c r="N48" s="18">
        <f>NETWORKDAYS($C48,$M48,Feriados!$A$2:$A$1189)</f>
        <v>1876</v>
      </c>
      <c r="O48" s="17">
        <f t="shared" si="25"/>
        <v>54035.516927858647</v>
      </c>
      <c r="P48" s="39">
        <v>79189.3</v>
      </c>
      <c r="Q48" s="40">
        <v>45505</v>
      </c>
      <c r="R48" s="20">
        <f>NETWORKDAYS($C48,$Q48,Feriados!$A$2:$A$1189)</f>
        <v>1394</v>
      </c>
      <c r="S48" s="39">
        <v>72074.33</v>
      </c>
      <c r="T48" s="40">
        <v>46235</v>
      </c>
      <c r="U48" s="20">
        <f>NETWORKDAYS($C48,$T48,Feriados!$A$2:$A$1189)</f>
        <v>1898</v>
      </c>
      <c r="V48" s="19">
        <f t="shared" si="26"/>
        <v>73914.933685661439</v>
      </c>
      <c r="W48" s="25">
        <f t="shared" si="20"/>
        <v>9.1969054802865546E-2</v>
      </c>
      <c r="X48" s="25">
        <f t="shared" si="21"/>
        <v>4.4150692336229591E-2</v>
      </c>
      <c r="Y48" s="21">
        <f t="shared" si="22"/>
        <v>4.5796418867132038E-2</v>
      </c>
      <c r="Z48" s="21">
        <f t="shared" si="23"/>
        <v>-3.5346357219493418E-3</v>
      </c>
      <c r="AE48" t="b">
        <f t="shared" si="8"/>
        <v>1</v>
      </c>
      <c r="AF48" t="b">
        <f t="shared" si="9"/>
        <v>1</v>
      </c>
      <c r="AG48" t="b">
        <f t="shared" si="10"/>
        <v>1</v>
      </c>
      <c r="AH48" t="b">
        <f t="shared" si="11"/>
        <v>1</v>
      </c>
    </row>
    <row r="49" spans="1:34" x14ac:dyDescent="0.35">
      <c r="A49" t="str">
        <f t="shared" si="1"/>
        <v>Petrobras4369247376</v>
      </c>
      <c r="B49" s="43" t="s">
        <v>463</v>
      </c>
      <c r="C49" s="28">
        <v>43692</v>
      </c>
      <c r="D49" s="28">
        <v>47376</v>
      </c>
      <c r="E49" s="14">
        <f>NETWORKDAYS($C49,$D49,Feriados!$A$2:$A$1189)</f>
        <v>2534</v>
      </c>
      <c r="F49" s="14">
        <f t="shared" si="24"/>
        <v>3630</v>
      </c>
      <c r="G49" s="43" t="s">
        <v>28</v>
      </c>
      <c r="H49" s="29">
        <v>3.6000000000000004E-2</v>
      </c>
      <c r="I49" s="30">
        <v>51034.85</v>
      </c>
      <c r="J49" s="31">
        <v>47119</v>
      </c>
      <c r="K49" s="18">
        <f>NETWORKDAYS($C49,$J49,Feriados!$A$2:$A$1189)</f>
        <v>2356</v>
      </c>
      <c r="L49" s="30">
        <v>47291.040000000001</v>
      </c>
      <c r="M49" s="31">
        <v>47484</v>
      </c>
      <c r="N49" s="18">
        <f>NETWORKDAYS($C49,$M49,Feriados!$A$2:$A$1189)</f>
        <v>2606</v>
      </c>
      <c r="O49" s="17">
        <f t="shared" si="25"/>
        <v>48340.173240493445</v>
      </c>
      <c r="P49" s="39">
        <v>73560.72</v>
      </c>
      <c r="Q49" s="40">
        <v>46966</v>
      </c>
      <c r="R49" s="20">
        <f>NETWORKDAYS($C49,$Q49,Feriados!$A$2:$A$1189)</f>
        <v>2253</v>
      </c>
      <c r="S49" s="39">
        <v>68515.55</v>
      </c>
      <c r="T49" s="40">
        <v>47696</v>
      </c>
      <c r="U49" s="20">
        <f>NETWORKDAYS($C49,$T49,Feriados!$A$2:$A$1189)</f>
        <v>2753</v>
      </c>
      <c r="V49" s="19">
        <f t="shared" si="26"/>
        <v>70681.285058122055</v>
      </c>
      <c r="W49" s="25">
        <f t="shared" si="20"/>
        <v>7.4966089563529792E-2</v>
      </c>
      <c r="X49" s="25">
        <f t="shared" si="21"/>
        <v>3.5109511059969511E-2</v>
      </c>
      <c r="Y49" s="21">
        <f t="shared" si="22"/>
        <v>3.850469740418716E-2</v>
      </c>
      <c r="Z49" s="21">
        <f t="shared" si="23"/>
        <v>8.6028476264177201E-4</v>
      </c>
      <c r="AE49" t="b">
        <f t="shared" si="8"/>
        <v>1</v>
      </c>
      <c r="AF49" t="b">
        <f t="shared" si="9"/>
        <v>1</v>
      </c>
      <c r="AG49" t="b">
        <f t="shared" si="10"/>
        <v>1</v>
      </c>
      <c r="AH49" t="b">
        <f t="shared" si="11"/>
        <v>1</v>
      </c>
    </row>
    <row r="50" spans="1:34" x14ac:dyDescent="0.35">
      <c r="A50" t="str">
        <f t="shared" si="1"/>
        <v>Petrobras4296245519</v>
      </c>
      <c r="B50" s="43" t="s">
        <v>463</v>
      </c>
      <c r="C50" s="28">
        <v>42962</v>
      </c>
      <c r="D50" s="28">
        <v>45519</v>
      </c>
      <c r="E50" s="14">
        <f>NETWORKDAYS($C50,$D50,Feriados!$A$2:$A$1189)</f>
        <v>1757</v>
      </c>
      <c r="F50" s="14">
        <f t="shared" si="24"/>
        <v>2520</v>
      </c>
      <c r="G50" s="43" t="s">
        <v>28</v>
      </c>
      <c r="H50" s="29">
        <v>5.2091999999999999E-2</v>
      </c>
      <c r="I50" s="30">
        <v>51544.77</v>
      </c>
      <c r="J50" s="31">
        <v>45474</v>
      </c>
      <c r="K50" s="18">
        <f>NETWORKDAYS($C50,$J50,Feriados!$A$2:$A$1189)</f>
        <v>1724</v>
      </c>
      <c r="L50" s="30">
        <v>48795.839999999997</v>
      </c>
      <c r="M50" s="31">
        <v>45658</v>
      </c>
      <c r="N50" s="18">
        <f>NETWORKDAYS($C50,$M50,Feriados!$A$2:$A$1189)</f>
        <v>1853</v>
      </c>
      <c r="O50" s="17">
        <f t="shared" si="25"/>
        <v>50827.151539671293</v>
      </c>
      <c r="P50" s="39">
        <v>71225.55</v>
      </c>
      <c r="Q50" s="40">
        <v>45505</v>
      </c>
      <c r="R50" s="20">
        <f>NETWORKDAYS($C50,$Q50,Feriados!$A$2:$A$1189)</f>
        <v>1747</v>
      </c>
      <c r="S50" s="39">
        <v>64603.5</v>
      </c>
      <c r="T50" s="40">
        <v>46235</v>
      </c>
      <c r="U50" s="20">
        <f>NETWORKDAYS($C50,$T50,Feriados!$A$2:$A$1189)</f>
        <v>2251</v>
      </c>
      <c r="V50" s="19">
        <f t="shared" si="26"/>
        <v>71087.778580138271</v>
      </c>
      <c r="W50" s="25">
        <f t="shared" si="20"/>
        <v>0.10192895371042887</v>
      </c>
      <c r="X50" s="25">
        <f t="shared" si="21"/>
        <v>5.016249047730259E-2</v>
      </c>
      <c r="Y50" s="21">
        <f t="shared" si="22"/>
        <v>4.929376520541906E-2</v>
      </c>
      <c r="Z50" s="21">
        <f t="shared" si="23"/>
        <v>1.8373437826946226E-3</v>
      </c>
      <c r="AE50" t="b">
        <f t="shared" si="8"/>
        <v>1</v>
      </c>
      <c r="AF50" t="b">
        <f t="shared" si="9"/>
        <v>1</v>
      </c>
      <c r="AG50" t="b">
        <f t="shared" si="10"/>
        <v>1</v>
      </c>
      <c r="AH50" t="b">
        <f t="shared" si="11"/>
        <v>1</v>
      </c>
    </row>
    <row r="51" spans="1:34" x14ac:dyDescent="0.35">
      <c r="A51" t="str">
        <f t="shared" si="1"/>
        <v>Petrobras4348047133</v>
      </c>
      <c r="B51" s="43" t="s">
        <v>463</v>
      </c>
      <c r="C51" s="28">
        <v>43480</v>
      </c>
      <c r="D51" s="28">
        <v>47133</v>
      </c>
      <c r="E51" s="14">
        <f>NETWORKDAYS($C51,$D51,Feriados!$A$2:$A$1189)</f>
        <v>2513</v>
      </c>
      <c r="F51" s="14">
        <f t="shared" si="24"/>
        <v>3600</v>
      </c>
      <c r="G51" s="43" t="s">
        <v>28</v>
      </c>
      <c r="H51" s="29">
        <v>4.2186000000000001E-2</v>
      </c>
      <c r="I51" s="30">
        <v>40636.07</v>
      </c>
      <c r="J51" s="31">
        <v>47119</v>
      </c>
      <c r="K51" s="18">
        <f>NETWORKDAYS($C51,$J51,Feriados!$A$2:$A$1189)</f>
        <v>2503</v>
      </c>
      <c r="L51" s="30">
        <v>37000.14</v>
      </c>
      <c r="M51" s="31">
        <v>47484</v>
      </c>
      <c r="N51" s="18">
        <f>NETWORKDAYS($C51,$M51,Feriados!$A$2:$A$1189)</f>
        <v>2753</v>
      </c>
      <c r="O51" s="17">
        <f t="shared" si="25"/>
        <v>40483.995365997376</v>
      </c>
      <c r="P51" s="39">
        <v>64641.14</v>
      </c>
      <c r="Q51" s="40">
        <v>46966</v>
      </c>
      <c r="R51" s="20">
        <f>NETWORKDAYS($C51,$Q51,Feriados!$A$2:$A$1189)</f>
        <v>2400</v>
      </c>
      <c r="S51" s="39">
        <v>59897.62</v>
      </c>
      <c r="T51" s="40">
        <v>47696</v>
      </c>
      <c r="U51" s="20">
        <f>NETWORKDAYS($C51,$T51,Feriados!$A$2:$A$1189)</f>
        <v>2900</v>
      </c>
      <c r="V51" s="19">
        <f t="shared" si="26"/>
        <v>63537.267480175964</v>
      </c>
      <c r="W51" s="25">
        <f t="shared" si="20"/>
        <v>9.491663788657978E-2</v>
      </c>
      <c r="X51" s="25">
        <f t="shared" si="21"/>
        <v>4.6530797513780309E-2</v>
      </c>
      <c r="Y51" s="21">
        <f t="shared" si="22"/>
        <v>4.6234511672039291E-2</v>
      </c>
      <c r="Z51" s="21">
        <f t="shared" si="23"/>
        <v>-4.1516193542532331E-3</v>
      </c>
      <c r="AE51" t="b">
        <f t="shared" si="8"/>
        <v>1</v>
      </c>
      <c r="AF51" t="b">
        <f t="shared" si="9"/>
        <v>1</v>
      </c>
      <c r="AG51" t="b">
        <f t="shared" si="10"/>
        <v>1</v>
      </c>
      <c r="AH51" t="b">
        <f t="shared" si="11"/>
        <v>1</v>
      </c>
    </row>
    <row r="52" spans="1:34" x14ac:dyDescent="0.35">
      <c r="A52" t="str">
        <f t="shared" si="1"/>
        <v>Petrobras4369249202</v>
      </c>
      <c r="B52" s="43" t="s">
        <v>463</v>
      </c>
      <c r="C52" s="28">
        <v>43692</v>
      </c>
      <c r="D52" s="28">
        <v>49202</v>
      </c>
      <c r="E52" s="14">
        <f>NETWORKDAYS($C52,$D52,Feriados!$A$2:$A$1189)</f>
        <v>3793</v>
      </c>
      <c r="F52" s="14">
        <f t="shared" si="24"/>
        <v>5430</v>
      </c>
      <c r="G52" s="43" t="s">
        <v>28</v>
      </c>
      <c r="H52" s="29">
        <v>3.9E-2</v>
      </c>
      <c r="I52" s="30" t="s">
        <v>29</v>
      </c>
      <c r="J52" s="31" t="s">
        <v>29</v>
      </c>
      <c r="K52" s="18" t="s">
        <v>29</v>
      </c>
      <c r="L52" s="30">
        <v>43826.71</v>
      </c>
      <c r="M52" s="31">
        <v>47849</v>
      </c>
      <c r="N52" s="18">
        <f>NETWORKDAYS($C52,$M52,Feriados!$A$2:$A$1189)</f>
        <v>2859</v>
      </c>
      <c r="O52" s="17" t="s">
        <v>29</v>
      </c>
      <c r="P52" s="39">
        <v>68515.55</v>
      </c>
      <c r="Q52" s="40">
        <v>47696</v>
      </c>
      <c r="R52" s="20">
        <f>NETWORKDAYS($C52,$Q52,Feriados!$A$2:$A$1189)</f>
        <v>2753</v>
      </c>
      <c r="S52" s="39">
        <v>55523.7</v>
      </c>
      <c r="T52" s="40">
        <v>49430</v>
      </c>
      <c r="U52" s="20">
        <f>NETWORKDAYS($C52,$T52,Feriados!$A$2:$A$1189)</f>
        <v>3946</v>
      </c>
      <c r="V52" s="19">
        <f t="shared" si="26"/>
        <v>57041.223251033887</v>
      </c>
      <c r="W52" s="37">
        <f>($AA$1/$L52)^(252/N52)-1</f>
        <v>7.5419992399818447E-2</v>
      </c>
      <c r="X52" s="25">
        <f t="shared" si="21"/>
        <v>3.8002427809211703E-2</v>
      </c>
      <c r="Y52" s="21">
        <f t="shared" si="22"/>
        <v>3.6047665774327164E-2</v>
      </c>
      <c r="Z52" s="21">
        <f t="shared" si="23"/>
        <v>9.6104995909662705E-4</v>
      </c>
      <c r="AE52" t="b">
        <f t="shared" si="8"/>
        <v>0</v>
      </c>
      <c r="AF52" t="b">
        <f t="shared" si="9"/>
        <v>0</v>
      </c>
      <c r="AG52" t="b">
        <f t="shared" si="10"/>
        <v>1</v>
      </c>
      <c r="AH52" t="b">
        <f t="shared" si="11"/>
        <v>1</v>
      </c>
    </row>
    <row r="53" spans="1:34" x14ac:dyDescent="0.35">
      <c r="A53" t="str">
        <f t="shared" si="1"/>
        <v>Petrobras4296245519</v>
      </c>
      <c r="B53" s="43" t="s">
        <v>463</v>
      </c>
      <c r="C53" s="28">
        <v>42962</v>
      </c>
      <c r="D53" s="28">
        <v>45519</v>
      </c>
      <c r="E53" s="14">
        <f>NETWORKDAYS($C53,$D53,Feriados!$A$2:$A$1189)</f>
        <v>1757</v>
      </c>
      <c r="F53" s="14">
        <f t="shared" si="24"/>
        <v>2520</v>
      </c>
      <c r="G53" s="43" t="s">
        <v>28</v>
      </c>
      <c r="H53" s="29">
        <v>5.8385999999999993E-2</v>
      </c>
      <c r="I53" s="30">
        <v>51544.77</v>
      </c>
      <c r="J53" s="31">
        <v>45474</v>
      </c>
      <c r="K53" s="18">
        <f>NETWORKDAYS($C53,$J53,Feriados!$A$2:$A$1189)</f>
        <v>1724</v>
      </c>
      <c r="L53" s="30">
        <v>48795.839999999997</v>
      </c>
      <c r="M53" s="31">
        <v>45658</v>
      </c>
      <c r="N53" s="18">
        <f>NETWORKDAYS($C53,$M53,Feriados!$A$2:$A$1189)</f>
        <v>1853</v>
      </c>
      <c r="O53" s="17">
        <f t="shared" si="25"/>
        <v>50827.151539671293</v>
      </c>
      <c r="P53" s="39">
        <v>71225.55</v>
      </c>
      <c r="Q53" s="40">
        <v>45505</v>
      </c>
      <c r="R53" s="20">
        <f>NETWORKDAYS($C53,$Q53,Feriados!$A$2:$A$1189)</f>
        <v>1747</v>
      </c>
      <c r="S53" s="39">
        <v>64603.5</v>
      </c>
      <c r="T53" s="40">
        <v>46235</v>
      </c>
      <c r="U53" s="20">
        <f>NETWORKDAYS($C53,$T53,Feriados!$A$2:$A$1189)</f>
        <v>2251</v>
      </c>
      <c r="V53" s="19">
        <f t="shared" si="26"/>
        <v>71087.778580138271</v>
      </c>
      <c r="W53" s="25">
        <f t="shared" si="20"/>
        <v>0.10192895371042887</v>
      </c>
      <c r="X53" s="25">
        <f t="shared" si="21"/>
        <v>5.016249047730259E-2</v>
      </c>
      <c r="Y53" s="21">
        <f t="shared" si="22"/>
        <v>4.929376520541906E-2</v>
      </c>
      <c r="Z53" s="21">
        <f t="shared" si="23"/>
        <v>7.8307020078005607E-3</v>
      </c>
      <c r="AE53" t="b">
        <f t="shared" si="8"/>
        <v>1</v>
      </c>
      <c r="AF53" t="b">
        <f t="shared" si="9"/>
        <v>1</v>
      </c>
      <c r="AG53" t="b">
        <f t="shared" si="10"/>
        <v>1</v>
      </c>
      <c r="AH53" t="b">
        <f t="shared" si="11"/>
        <v>1</v>
      </c>
    </row>
    <row r="54" spans="1:34" x14ac:dyDescent="0.35">
      <c r="A54" t="str">
        <f t="shared" si="1"/>
        <v>Raizen4378447437</v>
      </c>
      <c r="B54" s="43" t="s">
        <v>516</v>
      </c>
      <c r="C54" s="28">
        <v>43784</v>
      </c>
      <c r="D54" s="28">
        <v>47437</v>
      </c>
      <c r="E54" s="14">
        <f>NETWORKDAYS($C54,$D54,Feriados!$A$2:$A$1189)</f>
        <v>2509</v>
      </c>
      <c r="F54" s="14">
        <f t="shared" ref="F54:F76" si="29">DAYS360(C54,D54,0)</f>
        <v>3600</v>
      </c>
      <c r="G54" s="43" t="s">
        <v>28</v>
      </c>
      <c r="H54" s="29">
        <v>3.5390000000000005E-2</v>
      </c>
      <c r="I54" s="30">
        <v>54441.81</v>
      </c>
      <c r="J54" s="31">
        <v>47119</v>
      </c>
      <c r="K54" s="18">
        <f>NETWORKDAYS($C54,$J54,Feriados!$A$2:$A$1189)</f>
        <v>2290</v>
      </c>
      <c r="L54" s="30">
        <v>50467.53</v>
      </c>
      <c r="M54" s="31">
        <v>47788</v>
      </c>
      <c r="N54" s="18">
        <f>NETWORKDAYS($C54,$M54,Feriados!$A$2:$A$1189)</f>
        <v>2753</v>
      </c>
      <c r="O54" s="17">
        <f t="shared" ref="O54:O74" si="30">$I54*(($L54/$I54)^(($E54-$K54)/($N54-$K54)))</f>
        <v>52524.398210770618</v>
      </c>
      <c r="P54" s="39">
        <v>77030.600000000006</v>
      </c>
      <c r="Q54" s="40">
        <v>46966</v>
      </c>
      <c r="R54" s="20">
        <f>NETWORKDAYS($C54,$Q54,Feriados!$A$2:$A$1189)</f>
        <v>2187</v>
      </c>
      <c r="S54" s="39">
        <v>71317.929999999993</v>
      </c>
      <c r="T54" s="40">
        <v>47696</v>
      </c>
      <c r="U54" s="20">
        <f>NETWORKDAYS($C54,$T54,Feriados!$A$2:$A$1189)</f>
        <v>2687</v>
      </c>
      <c r="V54" s="19">
        <f t="shared" ref="V54:V74" si="31">$P54*(($S54/$P54)^(($E54-$R54)/($U54-$R54)))</f>
        <v>73301.3730240726</v>
      </c>
      <c r="W54" s="25">
        <f t="shared" si="20"/>
        <v>6.6808558665238049E-2</v>
      </c>
      <c r="X54" s="25">
        <f t="shared" si="21"/>
        <v>3.1686925562182333E-2</v>
      </c>
      <c r="Y54" s="21">
        <f t="shared" si="22"/>
        <v>3.4042917703854148E-2</v>
      </c>
      <c r="Z54" s="21">
        <f t="shared" si="23"/>
        <v>3.5893393102754967E-3</v>
      </c>
      <c r="AE54" t="b">
        <f t="shared" si="8"/>
        <v>1</v>
      </c>
      <c r="AF54" t="b">
        <f t="shared" si="9"/>
        <v>1</v>
      </c>
      <c r="AG54" t="b">
        <f t="shared" si="10"/>
        <v>1</v>
      </c>
      <c r="AH54" t="b">
        <f t="shared" si="11"/>
        <v>1</v>
      </c>
    </row>
    <row r="55" spans="1:34" x14ac:dyDescent="0.35">
      <c r="A55" t="str">
        <f t="shared" si="1"/>
        <v>Raizen4399747649</v>
      </c>
      <c r="B55" s="43" t="s">
        <v>516</v>
      </c>
      <c r="C55" s="28">
        <v>43997</v>
      </c>
      <c r="D55" s="28">
        <v>47649</v>
      </c>
      <c r="E55" s="14">
        <f>NETWORKDAYS($C55,$D55,Feriados!$A$2:$A$1189)</f>
        <v>2512</v>
      </c>
      <c r="F55" s="14">
        <f t="shared" si="29"/>
        <v>3600</v>
      </c>
      <c r="G55" s="43" t="s">
        <v>28</v>
      </c>
      <c r="H55" s="29">
        <v>5.7999999999999996E-2</v>
      </c>
      <c r="I55" s="30">
        <v>50717.71</v>
      </c>
      <c r="J55" s="31">
        <v>47484</v>
      </c>
      <c r="K55" s="18">
        <f>NETWORKDAYS($C55,$J55,Feriados!$A$2:$A$1189)</f>
        <v>2398</v>
      </c>
      <c r="L55" s="30">
        <v>46501.120000000003</v>
      </c>
      <c r="M55" s="31">
        <v>47849</v>
      </c>
      <c r="N55" s="18">
        <f>NETWORKDAYS($C55,$M55,Feriados!$A$2:$A$1189)</f>
        <v>2651</v>
      </c>
      <c r="O55" s="17">
        <f t="shared" si="30"/>
        <v>48772.384199491375</v>
      </c>
      <c r="P55" s="39">
        <v>77479.3</v>
      </c>
      <c r="Q55" s="40">
        <v>46966</v>
      </c>
      <c r="R55" s="20">
        <f>NETWORKDAYS($C55,$Q55,Feriados!$A$2:$A$1189)</f>
        <v>2045</v>
      </c>
      <c r="S55" s="39">
        <v>54551.09</v>
      </c>
      <c r="T55" s="40">
        <v>49430</v>
      </c>
      <c r="U55" s="20">
        <f>NETWORKDAYS($C55,$T55,Feriados!$A$2:$A$1189)</f>
        <v>3738</v>
      </c>
      <c r="V55" s="19">
        <f t="shared" si="31"/>
        <v>70331.893168678667</v>
      </c>
      <c r="W55" s="25">
        <f t="shared" si="20"/>
        <v>7.4686786139954942E-2</v>
      </c>
      <c r="X55" s="25">
        <f t="shared" si="21"/>
        <v>3.5937243368415528E-2</v>
      </c>
      <c r="Y55" s="21">
        <f t="shared" si="22"/>
        <v>3.7405299422909932E-2</v>
      </c>
      <c r="Z55" s="21">
        <f t="shared" si="23"/>
        <v>2.1297387243117472E-2</v>
      </c>
      <c r="AE55" t="b">
        <f t="shared" si="8"/>
        <v>1</v>
      </c>
      <c r="AF55" t="b">
        <f t="shared" si="9"/>
        <v>1</v>
      </c>
      <c r="AG55" t="b">
        <f t="shared" si="10"/>
        <v>1</v>
      </c>
      <c r="AH55" t="b">
        <f t="shared" si="11"/>
        <v>1</v>
      </c>
    </row>
    <row r="56" spans="1:34" x14ac:dyDescent="0.35">
      <c r="A56" t="str">
        <f t="shared" si="1"/>
        <v>Raizen4156244119</v>
      </c>
      <c r="B56" s="43" t="s">
        <v>516</v>
      </c>
      <c r="C56" s="28">
        <v>41562</v>
      </c>
      <c r="D56" s="28">
        <v>44119</v>
      </c>
      <c r="E56" s="14">
        <f>NETWORKDAYS($C56,$D56,Feriados!$A$2:$A$1189)</f>
        <v>1758</v>
      </c>
      <c r="F56" s="14">
        <f t="shared" si="29"/>
        <v>2520</v>
      </c>
      <c r="G56" s="43" t="s">
        <v>28</v>
      </c>
      <c r="H56" s="29">
        <v>6.3799999999999996E-2</v>
      </c>
      <c r="I56" s="30">
        <v>46207.31</v>
      </c>
      <c r="J56" s="31">
        <v>44105</v>
      </c>
      <c r="K56" s="18">
        <f>NETWORKDAYS($C56,$J56,Feriados!$A$2:$A$1189)</f>
        <v>1749</v>
      </c>
      <c r="L56" s="30">
        <v>44919.09</v>
      </c>
      <c r="M56" s="31">
        <v>44197</v>
      </c>
      <c r="N56" s="18">
        <f>NETWORKDAYS($C56,$M56,Feriados!$A$2:$A$1189)</f>
        <v>1811</v>
      </c>
      <c r="O56" s="17">
        <f t="shared" si="30"/>
        <v>46018.042828259757</v>
      </c>
      <c r="P56" s="39">
        <v>69135.360000000001</v>
      </c>
      <c r="Q56" s="40">
        <v>44044</v>
      </c>
      <c r="R56" s="20">
        <f>NETWORKDAYS($C56,$Q56,Feriados!$A$2:$A$1189)</f>
        <v>1706</v>
      </c>
      <c r="S56" s="39">
        <v>61506.42</v>
      </c>
      <c r="T56" s="40">
        <v>44774</v>
      </c>
      <c r="U56" s="20">
        <f>NETWORKDAYS($C56,$T56,Feriados!$A$2:$A$1189)</f>
        <v>2208</v>
      </c>
      <c r="V56" s="19">
        <f t="shared" si="31"/>
        <v>68303.061757859046</v>
      </c>
      <c r="W56" s="25">
        <f t="shared" si="20"/>
        <v>0.11767996853999541</v>
      </c>
      <c r="X56" s="25">
        <f t="shared" si="21"/>
        <v>5.616586121161804E-2</v>
      </c>
      <c r="Y56" s="21">
        <f t="shared" si="22"/>
        <v>5.8242847631724493E-2</v>
      </c>
      <c r="Z56" s="21">
        <f t="shared" si="23"/>
        <v>7.2281627997561326E-3</v>
      </c>
      <c r="AE56" t="b">
        <f t="shared" si="8"/>
        <v>1</v>
      </c>
      <c r="AF56" t="b">
        <f t="shared" si="9"/>
        <v>1</v>
      </c>
      <c r="AG56" t="b">
        <f t="shared" si="10"/>
        <v>1</v>
      </c>
      <c r="AH56" t="b">
        <f t="shared" si="11"/>
        <v>1</v>
      </c>
    </row>
    <row r="57" spans="1:34" x14ac:dyDescent="0.35">
      <c r="A57" t="str">
        <f t="shared" ref="A57:A58" si="32">B57&amp;C57&amp;D57</f>
        <v>Raizen4463547192</v>
      </c>
      <c r="B57" s="43" t="s">
        <v>516</v>
      </c>
      <c r="C57" s="28">
        <v>44635</v>
      </c>
      <c r="D57" s="28">
        <v>47192</v>
      </c>
      <c r="E57" s="14">
        <f>NETWORKDAYS($C57,$D57,Feriados!$A$2:$A$1189)</f>
        <v>1759</v>
      </c>
      <c r="F57" s="14">
        <f t="shared" ref="F57:F58" si="33">DAYS360(C57,D57,0)</f>
        <v>2520</v>
      </c>
      <c r="G57" s="43" t="s">
        <v>28</v>
      </c>
      <c r="H57" s="29">
        <v>5.9219000000000001E-2</v>
      </c>
      <c r="I57" s="30">
        <v>44762.64</v>
      </c>
      <c r="J57" s="31">
        <v>47119</v>
      </c>
      <c r="K57" s="18">
        <f>NETWORKDAYS($C57,$J57,Feriados!$A$2:$A$1189)</f>
        <v>1708</v>
      </c>
      <c r="L57" s="30">
        <v>39739.730000000003</v>
      </c>
      <c r="M57" s="31">
        <v>47484</v>
      </c>
      <c r="N57" s="18">
        <f>NETWORKDAYS($C57,$M57,Feriados!$A$2:$A$1189)</f>
        <v>1958</v>
      </c>
      <c r="O57" s="17">
        <f t="shared" si="30"/>
        <v>43688.866097320453</v>
      </c>
      <c r="P57" s="39">
        <v>70385.88</v>
      </c>
      <c r="Q57" s="40">
        <v>46966</v>
      </c>
      <c r="R57" s="20">
        <f>NETWORKDAYS($C57,$Q57,Feriados!$A$2:$A$1189)</f>
        <v>1605</v>
      </c>
      <c r="S57" s="39">
        <v>63187.86</v>
      </c>
      <c r="T57" s="40">
        <v>47696</v>
      </c>
      <c r="U57" s="20">
        <f>NETWORKDAYS($C57,$T57,Feriados!$A$2:$A$1189)</f>
        <v>2105</v>
      </c>
      <c r="V57" s="19">
        <f t="shared" si="31"/>
        <v>68085.582960660337</v>
      </c>
      <c r="W57" s="25">
        <f t="shared" si="20"/>
        <v>0.12595657219082401</v>
      </c>
      <c r="X57" s="25">
        <f t="shared" si="21"/>
        <v>5.6615688907062145E-2</v>
      </c>
      <c r="Y57" s="21">
        <f t="shared" si="22"/>
        <v>6.5625453049524829E-2</v>
      </c>
      <c r="Z57" s="21">
        <f t="shared" si="23"/>
        <v>2.4638202141693544E-3</v>
      </c>
    </row>
    <row r="58" spans="1:34" x14ac:dyDescent="0.35">
      <c r="A58" t="str">
        <f t="shared" si="32"/>
        <v>Raizen4463548288</v>
      </c>
      <c r="B58" s="43" t="s">
        <v>516</v>
      </c>
      <c r="C58" s="28">
        <v>44635</v>
      </c>
      <c r="D58" s="28">
        <v>48288</v>
      </c>
      <c r="E58" s="14">
        <f>NETWORKDAYS($C58,$D58,Feriados!$A$2:$A$1189)</f>
        <v>2514</v>
      </c>
      <c r="F58" s="14">
        <f t="shared" si="33"/>
        <v>3600</v>
      </c>
      <c r="G58" s="43" t="s">
        <v>28</v>
      </c>
      <c r="H58" s="29">
        <v>5.9644999999999997E-2</v>
      </c>
      <c r="I58" s="30">
        <v>31132.240000000002</v>
      </c>
      <c r="J58" s="31">
        <v>48214</v>
      </c>
      <c r="K58" s="18">
        <f>NETWORKDAYS($C58,$J58,Feriados!$A$2:$A$1189)</f>
        <v>2464</v>
      </c>
      <c r="L58" s="30">
        <v>27669.81</v>
      </c>
      <c r="M58" s="31">
        <v>48580</v>
      </c>
      <c r="N58" s="18">
        <f>NETWORKDAYS($C58,$M58,Feriados!$A$2:$A$1189)</f>
        <v>2716</v>
      </c>
      <c r="O58" s="17">
        <f t="shared" si="30"/>
        <v>30412.407969109987</v>
      </c>
      <c r="P58" s="39">
        <v>63187.86</v>
      </c>
      <c r="Q58" s="40">
        <v>47696</v>
      </c>
      <c r="R58" s="20">
        <f>NETWORKDAYS($C58,$Q58,Feriados!$A$2:$A$1189)</f>
        <v>2105</v>
      </c>
      <c r="S58" s="39">
        <v>56562.06</v>
      </c>
      <c r="T58" s="40">
        <v>48427</v>
      </c>
      <c r="U58" s="20">
        <f>NETWORKDAYS($C58,$T58,Feriados!$A$2:$A$1189)</f>
        <v>2610</v>
      </c>
      <c r="V58" s="19">
        <f t="shared" si="31"/>
        <v>57765.772150190998</v>
      </c>
      <c r="W58" s="25">
        <f t="shared" si="20"/>
        <v>0.12672594821055583</v>
      </c>
      <c r="X58" s="25">
        <f t="shared" si="21"/>
        <v>5.6549435308534068E-2</v>
      </c>
      <c r="Y58" s="21">
        <f t="shared" si="22"/>
        <v>6.6420472679093123E-2</v>
      </c>
      <c r="Z58" s="21">
        <f t="shared" si="23"/>
        <v>2.9298815445979454E-3</v>
      </c>
    </row>
    <row r="59" spans="1:34" x14ac:dyDescent="0.35">
      <c r="A59" t="str">
        <f t="shared" si="1"/>
        <v>Rumo4064843205</v>
      </c>
      <c r="B59" s="43" t="s">
        <v>548</v>
      </c>
      <c r="C59" s="28">
        <v>40648</v>
      </c>
      <c r="D59" s="28">
        <v>43205</v>
      </c>
      <c r="E59" s="14">
        <f>NETWORKDAYS($C59,$D59,Feriados!$A$2:$A$1189)</f>
        <v>1757</v>
      </c>
      <c r="F59" s="14">
        <f t="shared" si="29"/>
        <v>2520</v>
      </c>
      <c r="G59" s="43" t="s">
        <v>28</v>
      </c>
      <c r="H59" s="29">
        <v>8.4000000000000005E-2</v>
      </c>
      <c r="I59" s="30">
        <v>45528.35</v>
      </c>
      <c r="J59" s="31">
        <v>43101</v>
      </c>
      <c r="K59" s="18">
        <f>NETWORKDAYS($C59,$J59,Feriados!$A$2:$A$1189)</f>
        <v>1686</v>
      </c>
      <c r="L59" s="30">
        <v>40536.78</v>
      </c>
      <c r="M59" s="31">
        <v>43466</v>
      </c>
      <c r="N59" s="18">
        <f>NETWORKDAYS($C59,$M59,Feriados!$A$2:$A$1189)</f>
        <v>1936</v>
      </c>
      <c r="O59" s="17">
        <f t="shared" si="30"/>
        <v>44051.33098353957</v>
      </c>
      <c r="P59" s="39" t="s">
        <v>29</v>
      </c>
      <c r="Q59" s="40" t="s">
        <v>29</v>
      </c>
      <c r="R59" s="20" t="s">
        <v>29</v>
      </c>
      <c r="S59" s="39">
        <v>68980.44</v>
      </c>
      <c r="T59" s="40">
        <v>42856</v>
      </c>
      <c r="U59" s="20">
        <f>NETWORKDAYS($C59,$T59,Feriados!$A$2:$A$1189)</f>
        <v>1518</v>
      </c>
      <c r="V59" s="19" t="s">
        <v>29</v>
      </c>
      <c r="W59" s="25">
        <f t="shared" si="20"/>
        <v>0.12477495226074287</v>
      </c>
      <c r="X59" s="37">
        <f>($AA$1/$S59)^(252/$U59)-1</f>
        <v>6.3586375730307232E-2</v>
      </c>
      <c r="Y59" s="21">
        <f t="shared" si="22"/>
        <v>5.7530425291900444E-2</v>
      </c>
      <c r="Z59" s="21">
        <f t="shared" si="23"/>
        <v>1.9193198348066431E-2</v>
      </c>
      <c r="AE59" t="b">
        <f t="shared" si="8"/>
        <v>1</v>
      </c>
      <c r="AF59" t="b">
        <f t="shared" si="9"/>
        <v>1</v>
      </c>
      <c r="AG59" t="b">
        <f t="shared" si="10"/>
        <v>0</v>
      </c>
      <c r="AH59" t="b">
        <f t="shared" si="11"/>
        <v>0</v>
      </c>
    </row>
    <row r="60" spans="1:34" x14ac:dyDescent="0.35">
      <c r="A60" t="str">
        <f t="shared" si="1"/>
        <v>Rumo4351147164</v>
      </c>
      <c r="B60" s="43" t="s">
        <v>548</v>
      </c>
      <c r="C60" s="28">
        <v>43511</v>
      </c>
      <c r="D60" s="28">
        <v>47164</v>
      </c>
      <c r="E60" s="14">
        <f>NETWORKDAYS($C60,$D60,Feriados!$A$2:$A$1189)</f>
        <v>2511</v>
      </c>
      <c r="F60" s="14">
        <f t="shared" si="29"/>
        <v>3600</v>
      </c>
      <c r="G60" s="43" t="s">
        <v>28</v>
      </c>
      <c r="H60" s="29">
        <v>4.4999999999999998E-2</v>
      </c>
      <c r="I60" s="30">
        <v>42668.52</v>
      </c>
      <c r="J60" s="31">
        <v>47119</v>
      </c>
      <c r="K60" s="18">
        <f>NETWORKDAYS($C60,$J60,Feriados!$A$2:$A$1189)</f>
        <v>2480</v>
      </c>
      <c r="L60" s="30">
        <v>39010.43</v>
      </c>
      <c r="M60" s="31">
        <v>47484</v>
      </c>
      <c r="N60" s="18">
        <f>NETWORKDAYS($C60,$M60,Feriados!$A$2:$A$1189)</f>
        <v>2730</v>
      </c>
      <c r="O60" s="17">
        <f t="shared" si="30"/>
        <v>42196.910121082823</v>
      </c>
      <c r="P60" s="39">
        <v>66881.009999999995</v>
      </c>
      <c r="Q60" s="40">
        <v>46966</v>
      </c>
      <c r="R60" s="20">
        <f>NETWORKDAYS($C60,$Q60,Feriados!$A$2:$A$1189)</f>
        <v>2377</v>
      </c>
      <c r="S60" s="39">
        <v>61138</v>
      </c>
      <c r="T60" s="40">
        <v>47696</v>
      </c>
      <c r="U60" s="20">
        <f>NETWORKDAYS($C60,$T60,Feriados!$A$2:$A$1189)</f>
        <v>2877</v>
      </c>
      <c r="V60" s="19">
        <f t="shared" si="31"/>
        <v>65290.963177719583</v>
      </c>
      <c r="W60" s="25">
        <f t="shared" si="20"/>
        <v>9.0451220532974386E-2</v>
      </c>
      <c r="X60" s="25">
        <f t="shared" si="21"/>
        <v>4.3712905061030982E-2</v>
      </c>
      <c r="Y60" s="21">
        <f t="shared" si="22"/>
        <v>4.4780815917199401E-2</v>
      </c>
      <c r="Z60" s="21">
        <f t="shared" si="23"/>
        <v>1.2331886793079949E-3</v>
      </c>
      <c r="AE60" t="b">
        <f t="shared" si="8"/>
        <v>1</v>
      </c>
      <c r="AF60" t="b">
        <f t="shared" si="9"/>
        <v>1</v>
      </c>
      <c r="AG60" t="b">
        <f t="shared" si="10"/>
        <v>1</v>
      </c>
      <c r="AH60" t="b">
        <f t="shared" si="11"/>
        <v>1</v>
      </c>
    </row>
    <row r="61" spans="1:34" x14ac:dyDescent="0.35">
      <c r="A61" t="str">
        <f t="shared" si="1"/>
        <v>Rumo4375347406</v>
      </c>
      <c r="B61" s="43" t="s">
        <v>548</v>
      </c>
      <c r="C61" s="28">
        <v>43753</v>
      </c>
      <c r="D61" s="28">
        <v>47406</v>
      </c>
      <c r="E61" s="14">
        <f>NETWORKDAYS($C61,$D61,Feriados!$A$2:$A$1189)</f>
        <v>2511</v>
      </c>
      <c r="F61" s="14">
        <f t="shared" si="29"/>
        <v>3600</v>
      </c>
      <c r="G61" s="43" t="s">
        <v>28</v>
      </c>
      <c r="H61" s="29">
        <v>3.9E-2</v>
      </c>
      <c r="I61" s="30">
        <v>54017.54</v>
      </c>
      <c r="J61" s="31">
        <v>47119</v>
      </c>
      <c r="K61" s="18">
        <f>NETWORKDAYS($C61,$J61,Feriados!$A$2:$A$1189)</f>
        <v>2313</v>
      </c>
      <c r="L61" s="30">
        <v>50299.21</v>
      </c>
      <c r="M61" s="31">
        <v>47484</v>
      </c>
      <c r="N61" s="18">
        <f>NETWORKDAYS($C61,$M61,Feriados!$A$2:$A$1189)</f>
        <v>2563</v>
      </c>
      <c r="O61" s="17">
        <f t="shared" si="30"/>
        <v>51050.932671083618</v>
      </c>
      <c r="P61" s="39">
        <v>76623.679999999993</v>
      </c>
      <c r="Q61" s="40">
        <v>46966</v>
      </c>
      <c r="R61" s="20">
        <f>NETWORKDAYS($C61,$Q61,Feriados!$A$2:$A$1189)</f>
        <v>2210</v>
      </c>
      <c r="S61" s="39">
        <v>70889.929999999993</v>
      </c>
      <c r="T61" s="40">
        <v>47696</v>
      </c>
      <c r="U61" s="20">
        <f>NETWORKDAYS($C61,$T61,Feriados!$A$2:$A$1189)</f>
        <v>2710</v>
      </c>
      <c r="V61" s="19">
        <f t="shared" si="31"/>
        <v>73118.685292183174</v>
      </c>
      <c r="W61" s="25">
        <f t="shared" si="20"/>
        <v>6.9804179103112318E-2</v>
      </c>
      <c r="X61" s="25">
        <f t="shared" si="21"/>
        <v>3.191968684290214E-2</v>
      </c>
      <c r="Y61" s="21">
        <f t="shared" si="22"/>
        <v>3.6712636403047672E-2</v>
      </c>
      <c r="Z61" s="21">
        <f t="shared" si="23"/>
        <v>6.8613025290367169E-3</v>
      </c>
      <c r="AE61" t="b">
        <f t="shared" si="8"/>
        <v>1</v>
      </c>
      <c r="AF61" t="b">
        <f t="shared" si="9"/>
        <v>1</v>
      </c>
      <c r="AG61" t="b">
        <f t="shared" si="10"/>
        <v>1</v>
      </c>
      <c r="AH61" t="b">
        <f t="shared" si="11"/>
        <v>1</v>
      </c>
    </row>
    <row r="62" spans="1:34" x14ac:dyDescent="0.35">
      <c r="A62" t="str">
        <f t="shared" si="1"/>
        <v>Rumo4393647588</v>
      </c>
      <c r="B62" s="43" t="s">
        <v>548</v>
      </c>
      <c r="C62" s="28">
        <v>43936</v>
      </c>
      <c r="D62" s="28">
        <v>47588</v>
      </c>
      <c r="E62" s="14">
        <f>NETWORKDAYS($C62,$D62,Feriados!$A$2:$A$1189)</f>
        <v>2510</v>
      </c>
      <c r="F62" s="14">
        <f t="shared" si="29"/>
        <v>3600</v>
      </c>
      <c r="G62" s="43" t="s">
        <v>28</v>
      </c>
      <c r="H62" s="29">
        <v>6.7960999999999994E-2</v>
      </c>
      <c r="I62" s="30">
        <v>48496.77</v>
      </c>
      <c r="J62" s="31">
        <v>47484</v>
      </c>
      <c r="K62" s="18">
        <f>NETWORKDAYS($C62,$J62,Feriados!$A$2:$A$1189)</f>
        <v>2438</v>
      </c>
      <c r="L62" s="30">
        <v>44267.9</v>
      </c>
      <c r="M62" s="31">
        <v>47849</v>
      </c>
      <c r="N62" s="18">
        <f>NETWORKDAYS($C62,$M62,Feriados!$A$2:$A$1189)</f>
        <v>2691</v>
      </c>
      <c r="O62" s="17">
        <f t="shared" si="30"/>
        <v>47253.76850247354</v>
      </c>
      <c r="P62" s="39">
        <v>75136.820000000007</v>
      </c>
      <c r="Q62" s="40">
        <v>46966</v>
      </c>
      <c r="R62" s="20">
        <f>NETWORKDAYS($C62,$Q62,Feriados!$A$2:$A$1189)</f>
        <v>2085</v>
      </c>
      <c r="S62" s="39">
        <v>67715.289999999994</v>
      </c>
      <c r="T62" s="40">
        <v>47696</v>
      </c>
      <c r="U62" s="20">
        <f>NETWORKDAYS($C62,$T62,Feriados!$A$2:$A$1189)</f>
        <v>2585</v>
      </c>
      <c r="V62" s="19">
        <f t="shared" si="31"/>
        <v>68779.917871481011</v>
      </c>
      <c r="W62" s="25">
        <f t="shared" si="20"/>
        <v>7.8167066118882689E-2</v>
      </c>
      <c r="X62" s="25">
        <f t="shared" si="21"/>
        <v>3.8289808202183639E-2</v>
      </c>
      <c r="Y62" s="21">
        <f t="shared" si="22"/>
        <v>3.8406673745307263E-2</v>
      </c>
      <c r="Z62" s="21">
        <f t="shared" si="23"/>
        <v>2.8576984540753747E-2</v>
      </c>
      <c r="AE62" t="b">
        <f t="shared" si="8"/>
        <v>1</v>
      </c>
      <c r="AF62" t="b">
        <f t="shared" si="9"/>
        <v>1</v>
      </c>
      <c r="AG62" t="b">
        <f t="shared" si="10"/>
        <v>1</v>
      </c>
      <c r="AH62" t="b">
        <f t="shared" si="11"/>
        <v>1</v>
      </c>
    </row>
    <row r="63" spans="1:34" x14ac:dyDescent="0.35">
      <c r="A63" t="str">
        <f t="shared" si="1"/>
        <v>Rumo4418047832</v>
      </c>
      <c r="B63" s="43" t="s">
        <v>548</v>
      </c>
      <c r="C63" s="28">
        <v>44180</v>
      </c>
      <c r="D63" s="28">
        <v>47832</v>
      </c>
      <c r="E63" s="14">
        <f>NETWORKDAYS($C63,$D63,Feriados!$A$2:$A$1189)</f>
        <v>2512</v>
      </c>
      <c r="F63" s="14">
        <f t="shared" si="29"/>
        <v>3600</v>
      </c>
      <c r="G63" s="43" t="s">
        <v>28</v>
      </c>
      <c r="H63" s="29">
        <v>3.6000000000000004E-2</v>
      </c>
      <c r="I63" s="30">
        <v>52757.23</v>
      </c>
      <c r="J63" s="31">
        <v>47484</v>
      </c>
      <c r="K63" s="18">
        <f>NETWORKDAYS($C63,$J63,Feriados!$A$2:$A$1189)</f>
        <v>2270</v>
      </c>
      <c r="L63" s="30">
        <v>48342.400000000001</v>
      </c>
      <c r="M63" s="31">
        <v>47849</v>
      </c>
      <c r="N63" s="18">
        <f>NETWORKDAYS($C63,$M63,Feriados!$A$2:$A$1189)</f>
        <v>2523</v>
      </c>
      <c r="O63" s="17">
        <f t="shared" si="30"/>
        <v>48526.433298583164</v>
      </c>
      <c r="P63" s="39">
        <v>74534.789999999994</v>
      </c>
      <c r="Q63" s="40">
        <v>47696</v>
      </c>
      <c r="R63" s="20">
        <f>NETWORKDAYS($C63,$Q63,Feriados!$A$2:$A$1189)</f>
        <v>2417</v>
      </c>
      <c r="S63" s="39">
        <v>60175.1</v>
      </c>
      <c r="T63" s="40">
        <v>49430</v>
      </c>
      <c r="U63" s="20">
        <f>NETWORKDAYS($C63,$T63,Feriados!$A$2:$A$1189)</f>
        <v>3610</v>
      </c>
      <c r="V63" s="19">
        <f t="shared" si="31"/>
        <v>73275.355485574051</v>
      </c>
      <c r="W63" s="25">
        <f t="shared" si="20"/>
        <v>7.5231972178871009E-2</v>
      </c>
      <c r="X63" s="25">
        <f t="shared" si="21"/>
        <v>3.1685231338021369E-2</v>
      </c>
      <c r="Y63" s="21">
        <f t="shared" si="22"/>
        <v>4.220932850262149E-2</v>
      </c>
      <c r="Z63" s="21">
        <f t="shared" si="23"/>
        <v>4.1822530079089759E-3</v>
      </c>
      <c r="AE63" t="b">
        <f t="shared" si="8"/>
        <v>1</v>
      </c>
      <c r="AF63" t="b">
        <f t="shared" si="9"/>
        <v>1</v>
      </c>
      <c r="AG63" t="b">
        <f t="shared" si="10"/>
        <v>1</v>
      </c>
      <c r="AH63" t="b">
        <f t="shared" si="11"/>
        <v>1</v>
      </c>
    </row>
    <row r="64" spans="1:34" x14ac:dyDescent="0.35">
      <c r="A64" t="str">
        <f t="shared" si="1"/>
        <v>Rumo4436248014</v>
      </c>
      <c r="B64" s="43" t="s">
        <v>548</v>
      </c>
      <c r="C64" s="28">
        <v>44362</v>
      </c>
      <c r="D64" s="28">
        <v>48014</v>
      </c>
      <c r="E64" s="14">
        <f>NETWORKDAYS($C64,$D64,Feriados!$A$2:$A$1189)</f>
        <v>2511</v>
      </c>
      <c r="F64" s="14">
        <f t="shared" si="29"/>
        <v>3600</v>
      </c>
      <c r="G64" s="43" t="s">
        <v>28</v>
      </c>
      <c r="H64" s="29">
        <v>4.4997999999999996E-2</v>
      </c>
      <c r="I64" s="30">
        <v>44010.59</v>
      </c>
      <c r="J64" s="31">
        <v>47849</v>
      </c>
      <c r="K64" s="18">
        <f>NETWORKDAYS($C64,$J64,Feriados!$A$2:$A$1189)</f>
        <v>2400</v>
      </c>
      <c r="L64" s="30">
        <v>36370.85</v>
      </c>
      <c r="M64" s="31">
        <v>48580</v>
      </c>
      <c r="N64" s="18">
        <f>NETWORKDAYS($C64,$M64,Feriados!$A$2:$A$1189)</f>
        <v>2905</v>
      </c>
      <c r="O64" s="17">
        <f t="shared" si="30"/>
        <v>42204.306145039169</v>
      </c>
      <c r="P64" s="39">
        <v>71809.59</v>
      </c>
      <c r="Q64" s="40">
        <v>47696</v>
      </c>
      <c r="R64" s="20">
        <f>NETWORKDAYS($C64,$Q64,Feriados!$A$2:$A$1189)</f>
        <v>2294</v>
      </c>
      <c r="S64" s="39">
        <v>59926.11</v>
      </c>
      <c r="T64" s="40">
        <v>49430</v>
      </c>
      <c r="U64" s="20">
        <f>NETWORKDAYS($C64,$T64,Feriados!$A$2:$A$1189)</f>
        <v>3487</v>
      </c>
      <c r="V64" s="19">
        <f t="shared" si="31"/>
        <v>69485.096895617229</v>
      </c>
      <c r="W64" s="25">
        <f t="shared" ref="W64:W74" si="34">IFERROR(($AA$1/$O64)^(252/$E64)-1,"NA")</f>
        <v>9.0432041096063731E-2</v>
      </c>
      <c r="X64" s="25">
        <f t="shared" ref="X64:X74" si="35">IFERROR(($AA$1/$V64)^(252/$E64)-1,"NA")</f>
        <v>3.7211928877998179E-2</v>
      </c>
      <c r="Y64" s="21">
        <f t="shared" ref="Y64:Y76" si="36">IFERROR((((1+$W64)^($E64/252))/((1+$X64)^($E64/252)))^(252/$E64)-1,"NA")</f>
        <v>5.1310740588605075E-2</v>
      </c>
      <c r="Z64" s="21">
        <f t="shared" ref="Z64:Z76" si="37">IFERROR(((((1+$Y64)*(1+$H64))^($E64/252))/((1+$W64)^($E64/252)))^(252/$E64)-1,"NA")</f>
        <v>7.5067311753969079E-3</v>
      </c>
      <c r="AE64" t="b">
        <f t="shared" si="8"/>
        <v>1</v>
      </c>
      <c r="AF64" t="b">
        <f t="shared" si="9"/>
        <v>1</v>
      </c>
      <c r="AG64" t="b">
        <f t="shared" si="10"/>
        <v>1</v>
      </c>
      <c r="AH64" t="b">
        <f t="shared" si="11"/>
        <v>1</v>
      </c>
    </row>
    <row r="65" spans="1:34" x14ac:dyDescent="0.35">
      <c r="A65" t="str">
        <f t="shared" ref="A65:A76" si="38">B65&amp;C65&amp;D65</f>
        <v>Rumo4375347406</v>
      </c>
      <c r="B65" s="43" t="s">
        <v>548</v>
      </c>
      <c r="C65" s="28">
        <v>43753</v>
      </c>
      <c r="D65" s="28">
        <v>47406</v>
      </c>
      <c r="E65" s="14">
        <f>NETWORKDAYS($C65,$D65,Feriados!$A$2:$A$1189)</f>
        <v>2511</v>
      </c>
      <c r="F65" s="14">
        <f t="shared" si="29"/>
        <v>3600</v>
      </c>
      <c r="G65" s="43" t="s">
        <v>28</v>
      </c>
      <c r="H65" s="29">
        <v>0.04</v>
      </c>
      <c r="I65" s="30">
        <v>54017.54</v>
      </c>
      <c r="J65" s="31">
        <v>47119</v>
      </c>
      <c r="K65" s="18">
        <f>NETWORKDAYS($C65,$J65,Feriados!$A$2:$A$1189)</f>
        <v>2313</v>
      </c>
      <c r="L65" s="30">
        <v>50299.21</v>
      </c>
      <c r="M65" s="31">
        <v>47484</v>
      </c>
      <c r="N65" s="18">
        <f>NETWORKDAYS($C65,$M65,Feriados!$A$2:$A$1189)</f>
        <v>2563</v>
      </c>
      <c r="O65" s="17">
        <f t="shared" si="30"/>
        <v>51050.932671083618</v>
      </c>
      <c r="P65" s="39">
        <v>76623.679999999993</v>
      </c>
      <c r="Q65" s="40">
        <v>46966</v>
      </c>
      <c r="R65" s="20">
        <f>NETWORKDAYS($C65,$Q65,Feriados!$A$2:$A$1189)</f>
        <v>2210</v>
      </c>
      <c r="S65" s="39">
        <v>70889.929999999993</v>
      </c>
      <c r="T65" s="40">
        <v>47696</v>
      </c>
      <c r="U65" s="20">
        <f>NETWORKDAYS($C65,$T65,Feriados!$A$2:$A$1189)</f>
        <v>2710</v>
      </c>
      <c r="V65" s="19">
        <f t="shared" si="31"/>
        <v>73118.685292183174</v>
      </c>
      <c r="W65" s="25">
        <f t="shared" si="34"/>
        <v>6.9804179103112318E-2</v>
      </c>
      <c r="X65" s="25">
        <f t="shared" si="35"/>
        <v>3.191968684290214E-2</v>
      </c>
      <c r="Y65" s="21">
        <f t="shared" si="36"/>
        <v>3.6712636403047672E-2</v>
      </c>
      <c r="Z65" s="21">
        <f t="shared" si="37"/>
        <v>7.8303701926834002E-3</v>
      </c>
      <c r="AE65" t="b">
        <f t="shared" ref="AE65:AE76" si="39">K65&lt;$E65</f>
        <v>1</v>
      </c>
      <c r="AF65" t="b">
        <f t="shared" ref="AF65:AF76" si="40">N65&gt;$E65</f>
        <v>1</v>
      </c>
      <c r="AG65" t="b">
        <f t="shared" ref="AG65:AG76" si="41">R65&lt;$E65</f>
        <v>1</v>
      </c>
      <c r="AH65" t="b">
        <f t="shared" ref="AH65:AH76" si="42">U65&gt;$E65</f>
        <v>1</v>
      </c>
    </row>
    <row r="66" spans="1:34" x14ac:dyDescent="0.35">
      <c r="A66" t="str">
        <f t="shared" si="38"/>
        <v>Rumo4418049658</v>
      </c>
      <c r="B66" s="43" t="s">
        <v>548</v>
      </c>
      <c r="C66" s="28">
        <v>44180</v>
      </c>
      <c r="D66" s="28">
        <v>49658</v>
      </c>
      <c r="E66" s="14">
        <f>NETWORKDAYS($C66,$D66,Feriados!$A$2:$A$1189)</f>
        <v>3768</v>
      </c>
      <c r="F66" s="14">
        <f t="shared" si="29"/>
        <v>5400</v>
      </c>
      <c r="G66" s="43" t="s">
        <v>28</v>
      </c>
      <c r="H66" s="29">
        <v>0.04</v>
      </c>
      <c r="I66" s="30" t="s">
        <v>29</v>
      </c>
      <c r="J66" s="31" t="s">
        <v>29</v>
      </c>
      <c r="K66" s="18" t="s">
        <v>29</v>
      </c>
      <c r="L66" s="30">
        <v>34665.53</v>
      </c>
      <c r="M66" s="31">
        <v>49310</v>
      </c>
      <c r="N66" s="18">
        <f>NETWORKDAYS($C66,$M66,Feriados!$A$2:$A$1189)</f>
        <v>3528</v>
      </c>
      <c r="O66" s="17" t="s">
        <v>29</v>
      </c>
      <c r="P66" s="39">
        <v>60175.1</v>
      </c>
      <c r="Q66" s="40">
        <v>49430</v>
      </c>
      <c r="R66" s="20">
        <f>NETWORKDAYS($C66,$Q66,Feriados!$A$2:$A$1189)</f>
        <v>3610</v>
      </c>
      <c r="S66" s="39">
        <v>45567.91</v>
      </c>
      <c r="T66" s="40">
        <v>51349</v>
      </c>
      <c r="U66" s="20">
        <f>NETWORKDAYS($C66,$T66,Feriados!$A$2:$A$1189)</f>
        <v>4932</v>
      </c>
      <c r="V66" s="19">
        <f t="shared" si="31"/>
        <v>58208.224981528059</v>
      </c>
      <c r="W66" s="37">
        <f>($AA$1/$L66)^(252/N66)-1</f>
        <v>7.8609993246022247E-2</v>
      </c>
      <c r="X66" s="25">
        <f t="shared" si="35"/>
        <v>3.6853998385070641E-2</v>
      </c>
      <c r="Y66" s="21">
        <f t="shared" si="36"/>
        <v>4.0271817368682239E-2</v>
      </c>
      <c r="Z66" s="21">
        <f t="shared" si="37"/>
        <v>3.0341799518824875E-3</v>
      </c>
      <c r="AE66" t="b">
        <f t="shared" si="39"/>
        <v>0</v>
      </c>
      <c r="AF66" t="b">
        <f t="shared" si="40"/>
        <v>0</v>
      </c>
      <c r="AG66" t="b">
        <f t="shared" si="41"/>
        <v>1</v>
      </c>
      <c r="AH66" t="b">
        <f t="shared" si="42"/>
        <v>1</v>
      </c>
    </row>
    <row r="67" spans="1:34" x14ac:dyDescent="0.35">
      <c r="A67" t="str">
        <f t="shared" si="38"/>
        <v>Rumo4436249841</v>
      </c>
      <c r="B67" s="43" t="s">
        <v>548</v>
      </c>
      <c r="C67" s="28">
        <v>44362</v>
      </c>
      <c r="D67" s="28">
        <v>49841</v>
      </c>
      <c r="E67" s="14">
        <f>NETWORKDAYS($C67,$D67,Feriados!$A$2:$A$1189)</f>
        <v>3767</v>
      </c>
      <c r="F67" s="14">
        <f t="shared" si="29"/>
        <v>5400</v>
      </c>
      <c r="G67" s="43" t="s">
        <v>28</v>
      </c>
      <c r="H67" s="29">
        <v>4.5404E-2</v>
      </c>
      <c r="I67" s="30" t="s">
        <v>29</v>
      </c>
      <c r="J67" s="31" t="s">
        <v>29</v>
      </c>
      <c r="K67" s="18" t="s">
        <v>29</v>
      </c>
      <c r="L67" s="30">
        <v>27314.77</v>
      </c>
      <c r="M67" s="31">
        <v>49675</v>
      </c>
      <c r="N67" s="18">
        <f>NETWORKDAYS($C67,$M67,Feriados!$A$2:$A$1189)</f>
        <v>3655</v>
      </c>
      <c r="O67" s="17" t="s">
        <v>29</v>
      </c>
      <c r="P67" s="39">
        <v>59926.11</v>
      </c>
      <c r="Q67" s="40">
        <v>49430</v>
      </c>
      <c r="R67" s="20">
        <f>NETWORKDAYS($C67,$Q67,Feriados!$A$2:$A$1189)</f>
        <v>3487</v>
      </c>
      <c r="S67" s="39">
        <v>47504.45</v>
      </c>
      <c r="T67" s="40">
        <v>51349</v>
      </c>
      <c r="U67" s="20">
        <f>NETWORKDAYS($C67,$T67,Feriados!$A$2:$A$1189)</f>
        <v>4809</v>
      </c>
      <c r="V67" s="19">
        <f t="shared" si="31"/>
        <v>57049.165082549414</v>
      </c>
      <c r="W67" s="37">
        <f>($AA$1/$L67)^(252/N67)-1</f>
        <v>9.3599996358795678E-2</v>
      </c>
      <c r="X67" s="25">
        <f t="shared" si="35"/>
        <v>3.8260008853365335E-2</v>
      </c>
      <c r="Y67" s="21">
        <f t="shared" si="36"/>
        <v>5.3300702168570302E-2</v>
      </c>
      <c r="Z67" s="21">
        <f t="shared" si="37"/>
        <v>6.8807341954011392E-3</v>
      </c>
      <c r="AE67" t="b">
        <f t="shared" si="39"/>
        <v>0</v>
      </c>
      <c r="AF67" t="b">
        <f t="shared" si="40"/>
        <v>0</v>
      </c>
      <c r="AG67" t="b">
        <f t="shared" si="41"/>
        <v>1</v>
      </c>
      <c r="AH67" t="b">
        <f t="shared" si="42"/>
        <v>1</v>
      </c>
    </row>
    <row r="68" spans="1:34" x14ac:dyDescent="0.35">
      <c r="A68" t="str">
        <f t="shared" si="38"/>
        <v>Simpar4180544362</v>
      </c>
      <c r="B68" s="43" t="s">
        <v>566</v>
      </c>
      <c r="C68" s="28">
        <v>41805</v>
      </c>
      <c r="D68" s="28">
        <v>44362</v>
      </c>
      <c r="E68" s="14">
        <f>NETWORKDAYS($C68,$D68,Feriados!$A$2:$A$1189)</f>
        <v>1757</v>
      </c>
      <c r="F68" s="14">
        <f t="shared" si="29"/>
        <v>2520</v>
      </c>
      <c r="G68" s="43" t="s">
        <v>28</v>
      </c>
      <c r="H68" s="29">
        <v>0.08</v>
      </c>
      <c r="I68" s="30">
        <v>46610.35</v>
      </c>
      <c r="J68" s="31">
        <v>44287</v>
      </c>
      <c r="K68" s="18">
        <f>NETWORKDAYS($C68,$J68,Feriados!$A$2:$A$1189)</f>
        <v>1707</v>
      </c>
      <c r="L68" s="30">
        <v>45289.62</v>
      </c>
      <c r="M68" s="31">
        <v>44378</v>
      </c>
      <c r="N68" s="18">
        <f>NETWORKDAYS($C68,$M68,Feriados!$A$2:$A$1189)</f>
        <v>1769</v>
      </c>
      <c r="O68" s="17">
        <f t="shared" si="30"/>
        <v>45542.29103714216</v>
      </c>
      <c r="P68" s="39">
        <v>70984.2</v>
      </c>
      <c r="Q68" s="40">
        <v>44044</v>
      </c>
      <c r="R68" s="20">
        <f>NETWORKDAYS($C68,$Q68,Feriados!$A$2:$A$1189)</f>
        <v>1540</v>
      </c>
      <c r="S68" s="39">
        <v>62187.76</v>
      </c>
      <c r="T68" s="40">
        <v>44774</v>
      </c>
      <c r="U68" s="20">
        <f>NETWORKDAYS($C68,$T68,Feriados!$A$2:$A$1189)</f>
        <v>2042</v>
      </c>
      <c r="V68" s="19">
        <f t="shared" si="31"/>
        <v>67038.578667728958</v>
      </c>
      <c r="W68" s="25">
        <f t="shared" si="34"/>
        <v>0.11941800761347499</v>
      </c>
      <c r="X68" s="25">
        <f t="shared" si="35"/>
        <v>5.9033237954777773E-2</v>
      </c>
      <c r="Y68" s="21">
        <f t="shared" si="36"/>
        <v>5.7018767206318488E-2</v>
      </c>
      <c r="Z68" s="21">
        <f t="shared" si="37"/>
        <v>1.9798020773846181E-2</v>
      </c>
      <c r="AE68" t="b">
        <f t="shared" si="39"/>
        <v>1</v>
      </c>
      <c r="AF68" t="b">
        <f t="shared" si="40"/>
        <v>1</v>
      </c>
      <c r="AG68" t="b">
        <f t="shared" si="41"/>
        <v>1</v>
      </c>
      <c r="AH68" t="b">
        <f t="shared" si="42"/>
        <v>1</v>
      </c>
    </row>
    <row r="69" spans="1:34" x14ac:dyDescent="0.35">
      <c r="A69" t="str">
        <f t="shared" si="38"/>
        <v>Simpar4147044027</v>
      </c>
      <c r="B69" s="43" t="s">
        <v>566</v>
      </c>
      <c r="C69" s="28">
        <v>41470</v>
      </c>
      <c r="D69" s="28">
        <v>44027</v>
      </c>
      <c r="E69" s="14">
        <f>NETWORKDAYS($C69,$D69,Feriados!$A$2:$A$1189)</f>
        <v>1760</v>
      </c>
      <c r="F69" s="14">
        <f t="shared" si="29"/>
        <v>2520</v>
      </c>
      <c r="G69" s="43" t="s">
        <v>28</v>
      </c>
      <c r="H69" s="29">
        <v>7.4999999999999997E-2</v>
      </c>
      <c r="I69" s="30">
        <v>48508.42</v>
      </c>
      <c r="J69" s="31">
        <v>44013</v>
      </c>
      <c r="K69" s="18">
        <f>NETWORKDAYS($C69,$J69,Feriados!$A$2:$A$1189)</f>
        <v>1750</v>
      </c>
      <c r="L69" s="30">
        <v>47200.18</v>
      </c>
      <c r="M69" s="31">
        <v>44105</v>
      </c>
      <c r="N69" s="18">
        <f>NETWORKDAYS($C69,$M69,Feriados!$A$2:$A$1189)</f>
        <v>1815</v>
      </c>
      <c r="O69" s="17">
        <f t="shared" si="30"/>
        <v>48304.816961679287</v>
      </c>
      <c r="P69" s="39">
        <v>83611.990000000005</v>
      </c>
      <c r="Q69" s="40">
        <v>42856</v>
      </c>
      <c r="R69" s="20">
        <f>NETWORKDAYS($C69,$Q69,Feriados!$A$2:$A$1189)</f>
        <v>955</v>
      </c>
      <c r="S69" s="39">
        <v>70440.5</v>
      </c>
      <c r="T69" s="40">
        <v>44044</v>
      </c>
      <c r="U69" s="20">
        <f>NETWORKDAYS($C69,$T69,Feriados!$A$2:$A$1189)</f>
        <v>1772</v>
      </c>
      <c r="V69" s="19">
        <f t="shared" si="31"/>
        <v>70618.076820990682</v>
      </c>
      <c r="W69" s="25">
        <f t="shared" si="34"/>
        <v>0.10980537345096342</v>
      </c>
      <c r="X69" s="25">
        <f t="shared" si="35"/>
        <v>5.1072075681512397E-2</v>
      </c>
      <c r="Y69" s="21">
        <f t="shared" si="36"/>
        <v>5.5879419811784459E-2</v>
      </c>
      <c r="Z69" s="21">
        <f t="shared" si="37"/>
        <v>2.2765255468301326E-2</v>
      </c>
      <c r="AE69" t="b">
        <f t="shared" si="39"/>
        <v>1</v>
      </c>
      <c r="AF69" t="b">
        <f t="shared" si="40"/>
        <v>1</v>
      </c>
      <c r="AG69" t="b">
        <f t="shared" si="41"/>
        <v>1</v>
      </c>
      <c r="AH69" t="b">
        <f t="shared" si="42"/>
        <v>1</v>
      </c>
    </row>
    <row r="70" spans="1:34" x14ac:dyDescent="0.35">
      <c r="A70" t="str">
        <f t="shared" si="38"/>
        <v>Simpar4445448106</v>
      </c>
      <c r="B70" s="43" t="s">
        <v>566</v>
      </c>
      <c r="C70" s="28">
        <v>44454</v>
      </c>
      <c r="D70" s="28">
        <v>48106</v>
      </c>
      <c r="E70" s="14">
        <f>NETWORKDAYS($C70,$D70,Feriados!$A$2:$A$1189)</f>
        <v>2512</v>
      </c>
      <c r="F70" s="14">
        <f t="shared" si="29"/>
        <v>3600</v>
      </c>
      <c r="G70" s="43" t="s">
        <v>28</v>
      </c>
      <c r="H70" s="29">
        <v>7.9676999999999998E-2</v>
      </c>
      <c r="I70" s="30">
        <v>38022.71</v>
      </c>
      <c r="J70" s="31">
        <v>47849</v>
      </c>
      <c r="K70" s="18">
        <f>NETWORKDAYS($C70,$J70,Feriados!$A$2:$A$1189)</f>
        <v>2335</v>
      </c>
      <c r="L70" s="30">
        <v>30535.84</v>
      </c>
      <c r="M70" s="31">
        <v>48580</v>
      </c>
      <c r="N70" s="18">
        <f>NETWORKDAYS($C70,$M70,Feriados!$A$2:$A$1189)</f>
        <v>2840</v>
      </c>
      <c r="O70" s="17">
        <f t="shared" si="30"/>
        <v>35209.860425633124</v>
      </c>
      <c r="P70" s="39">
        <v>68454.149999999994</v>
      </c>
      <c r="Q70" s="40">
        <v>47696</v>
      </c>
      <c r="R70" s="20">
        <f>NETWORKDAYS($C70,$Q70,Feriados!$A$2:$A$1189)</f>
        <v>2229</v>
      </c>
      <c r="S70" s="39">
        <v>55713.14</v>
      </c>
      <c r="T70" s="40">
        <v>49430</v>
      </c>
      <c r="U70" s="20">
        <f>NETWORKDAYS($C70,$T70,Feriados!$A$2:$A$1189)</f>
        <v>3422</v>
      </c>
      <c r="V70" s="19">
        <f t="shared" si="31"/>
        <v>65190.239362458226</v>
      </c>
      <c r="W70" s="25">
        <f t="shared" si="34"/>
        <v>0.1103961417200876</v>
      </c>
      <c r="X70" s="25">
        <f t="shared" si="35"/>
        <v>4.3856788633959809E-2</v>
      </c>
      <c r="Y70" s="21">
        <f t="shared" si="36"/>
        <v>6.3743756625086689E-2</v>
      </c>
      <c r="Z70" s="21">
        <f t="shared" si="37"/>
        <v>3.4315254502407466E-2</v>
      </c>
      <c r="AE70" t="b">
        <f t="shared" si="39"/>
        <v>1</v>
      </c>
      <c r="AF70" t="b">
        <f t="shared" si="40"/>
        <v>1</v>
      </c>
      <c r="AG70" t="b">
        <f t="shared" si="41"/>
        <v>1</v>
      </c>
      <c r="AH70" t="b">
        <f t="shared" si="42"/>
        <v>1</v>
      </c>
    </row>
    <row r="71" spans="1:34" x14ac:dyDescent="0.35">
      <c r="A71" t="str">
        <f t="shared" si="38"/>
        <v>Vale4165444211</v>
      </c>
      <c r="B71" s="43" t="s">
        <v>619</v>
      </c>
      <c r="C71" s="28">
        <v>41654</v>
      </c>
      <c r="D71" s="28">
        <v>44211</v>
      </c>
      <c r="E71" s="14">
        <f>NETWORKDAYS($C71,$D71,Feriados!$A$2:$A$1189)</f>
        <v>1758</v>
      </c>
      <c r="F71" s="14">
        <f t="shared" si="29"/>
        <v>2520</v>
      </c>
      <c r="G71" s="43" t="s">
        <v>28</v>
      </c>
      <c r="H71" s="29">
        <v>6.4600000000000005E-2</v>
      </c>
      <c r="I71" s="30">
        <v>42810.9</v>
      </c>
      <c r="J71" s="31">
        <v>44197</v>
      </c>
      <c r="K71" s="18">
        <f>NETWORKDAYS($C71,$J71,Feriados!$A$2:$A$1189)</f>
        <v>1748</v>
      </c>
      <c r="L71" s="30">
        <v>41506.629999999997</v>
      </c>
      <c r="M71" s="31">
        <v>44287</v>
      </c>
      <c r="N71" s="18">
        <f>NETWORKDAYS($C71,$M71,Feriados!$A$2:$A$1189)</f>
        <v>1810</v>
      </c>
      <c r="O71" s="17">
        <f t="shared" si="30"/>
        <v>42597.794937636194</v>
      </c>
      <c r="P71" s="39">
        <v>66528.539999999994</v>
      </c>
      <c r="Q71" s="40">
        <v>44044</v>
      </c>
      <c r="R71" s="20">
        <f>NETWORKDAYS($C71,$Q71,Feriados!$A$2:$A$1189)</f>
        <v>1643</v>
      </c>
      <c r="S71" s="39">
        <v>58374.879999999997</v>
      </c>
      <c r="T71" s="40">
        <v>44774</v>
      </c>
      <c r="U71" s="20">
        <f>NETWORKDAYS($C71,$T71,Feriados!$A$2:$A$1189)</f>
        <v>2145</v>
      </c>
      <c r="V71" s="19">
        <f t="shared" si="31"/>
        <v>64565.447569411066</v>
      </c>
      <c r="W71" s="25">
        <f t="shared" si="34"/>
        <v>0.13012217328420594</v>
      </c>
      <c r="X71" s="25">
        <f t="shared" si="35"/>
        <v>6.4720144753049214E-2</v>
      </c>
      <c r="Y71" s="21">
        <f t="shared" si="36"/>
        <v>6.142649676861911E-2</v>
      </c>
      <c r="Z71" s="21">
        <f t="shared" si="37"/>
        <v>-1.1284162663882658E-4</v>
      </c>
      <c r="AE71" t="b">
        <f t="shared" si="39"/>
        <v>1</v>
      </c>
      <c r="AF71" t="b">
        <f t="shared" si="40"/>
        <v>1</v>
      </c>
      <c r="AG71" t="b">
        <f t="shared" si="41"/>
        <v>1</v>
      </c>
      <c r="AH71" t="b">
        <f t="shared" si="42"/>
        <v>1</v>
      </c>
    </row>
    <row r="72" spans="1:34" x14ac:dyDescent="0.35">
      <c r="A72" t="str">
        <f t="shared" si="38"/>
        <v>Vale4223144058</v>
      </c>
      <c r="B72" s="43" t="s">
        <v>619</v>
      </c>
      <c r="C72" s="28">
        <v>42231</v>
      </c>
      <c r="D72" s="28">
        <v>44058</v>
      </c>
      <c r="E72" s="14">
        <f>NETWORKDAYS($C72,$D72,Feriados!$A$2:$A$1189)</f>
        <v>1254</v>
      </c>
      <c r="F72" s="14">
        <f t="shared" si="29"/>
        <v>1800</v>
      </c>
      <c r="G72" s="43" t="s">
        <v>28</v>
      </c>
      <c r="H72" s="29">
        <v>6.6231999999999999E-2</v>
      </c>
      <c r="I72" s="30">
        <v>53961.79</v>
      </c>
      <c r="J72" s="31">
        <v>44013</v>
      </c>
      <c r="K72" s="18">
        <f>NETWORKDAYS($C72,$J72,Feriados!$A$2:$A$1189)</f>
        <v>1222</v>
      </c>
      <c r="L72" s="30">
        <v>52239.57</v>
      </c>
      <c r="M72" s="31">
        <v>44105</v>
      </c>
      <c r="N72" s="18">
        <f>NETWORKDAYS($C72,$M72,Feriados!$A$2:$A$1189)</f>
        <v>1287</v>
      </c>
      <c r="O72" s="17">
        <f t="shared" si="30"/>
        <v>53106.94634106732</v>
      </c>
      <c r="P72" s="39">
        <v>75607.210000000006</v>
      </c>
      <c r="Q72" s="40">
        <v>44044</v>
      </c>
      <c r="R72" s="20">
        <f>NETWORKDAYS($C72,$Q72,Feriados!$A$2:$A$1189)</f>
        <v>1244</v>
      </c>
      <c r="S72" s="39">
        <v>67615.55</v>
      </c>
      <c r="T72" s="40">
        <v>44774</v>
      </c>
      <c r="U72" s="20">
        <f>NETWORKDAYS($C72,$T72,Feriados!$A$2:$A$1189)</f>
        <v>1746</v>
      </c>
      <c r="V72" s="19">
        <f t="shared" si="31"/>
        <v>75439.142924521235</v>
      </c>
      <c r="W72" s="25">
        <f t="shared" si="34"/>
        <v>0.13561925357915716</v>
      </c>
      <c r="X72" s="25">
        <f t="shared" si="35"/>
        <v>5.8273163674655626E-2</v>
      </c>
      <c r="Y72" s="21">
        <f t="shared" si="36"/>
        <v>7.3087074830407328E-2</v>
      </c>
      <c r="Z72" s="21">
        <f t="shared" si="37"/>
        <v>7.5205878770552292E-3</v>
      </c>
      <c r="AE72" t="b">
        <f t="shared" si="39"/>
        <v>1</v>
      </c>
      <c r="AF72" t="b">
        <f t="shared" si="40"/>
        <v>1</v>
      </c>
      <c r="AG72" t="b">
        <f t="shared" si="41"/>
        <v>1</v>
      </c>
      <c r="AH72" t="b">
        <f t="shared" si="42"/>
        <v>1</v>
      </c>
    </row>
    <row r="73" spans="1:34" x14ac:dyDescent="0.35">
      <c r="A73" t="str">
        <f t="shared" si="38"/>
        <v>Vale4165445306</v>
      </c>
      <c r="B73" s="43" t="s">
        <v>619</v>
      </c>
      <c r="C73" s="28">
        <v>41654</v>
      </c>
      <c r="D73" s="28">
        <v>45306</v>
      </c>
      <c r="E73" s="14">
        <f>NETWORKDAYS($C73,$D73,Feriados!$A$2:$A$1189)</f>
        <v>2509</v>
      </c>
      <c r="F73" s="14">
        <f t="shared" si="29"/>
        <v>3600</v>
      </c>
      <c r="G73" s="43" t="s">
        <v>28</v>
      </c>
      <c r="H73" s="29">
        <v>6.5700000000000008E-2</v>
      </c>
      <c r="I73" s="30">
        <v>29158.66</v>
      </c>
      <c r="J73" s="31">
        <v>45292</v>
      </c>
      <c r="K73" s="18">
        <f>NETWORKDAYS($C73,$J73,Feriados!$A$2:$A$1189)</f>
        <v>2499</v>
      </c>
      <c r="L73" s="30">
        <v>27330.83</v>
      </c>
      <c r="M73" s="31">
        <v>45474</v>
      </c>
      <c r="N73" s="18">
        <f>NETWORKDAYS($C73,$M73,Feriados!$A$2:$A$1189)</f>
        <v>2624</v>
      </c>
      <c r="O73" s="17">
        <f t="shared" si="30"/>
        <v>29008.039799475824</v>
      </c>
      <c r="P73" s="39">
        <v>58374.879999999997</v>
      </c>
      <c r="Q73" s="40">
        <v>44774</v>
      </c>
      <c r="R73" s="20">
        <f>NETWORKDAYS($C73,$Q73,Feriados!$A$2:$A$1189)</f>
        <v>2145</v>
      </c>
      <c r="S73" s="39">
        <v>52219.66</v>
      </c>
      <c r="T73" s="40">
        <v>45413</v>
      </c>
      <c r="U73" s="20">
        <f>NETWORKDAYS($C73,$T73,Feriados!$A$2:$A$1189)</f>
        <v>2582</v>
      </c>
      <c r="V73" s="19">
        <f t="shared" si="31"/>
        <v>53200.75832436933</v>
      </c>
      <c r="W73" s="25">
        <f t="shared" si="34"/>
        <v>0.13235813726931989</v>
      </c>
      <c r="X73" s="25">
        <f t="shared" si="35"/>
        <v>6.5438488157995023E-2</v>
      </c>
      <c r="Y73" s="21">
        <f t="shared" si="36"/>
        <v>6.2809490979643723E-2</v>
      </c>
      <c r="Z73" s="21">
        <f t="shared" si="37"/>
        <v>2.4544996723085966E-4</v>
      </c>
      <c r="AE73" t="b">
        <f t="shared" si="39"/>
        <v>1</v>
      </c>
      <c r="AF73" t="b">
        <f t="shared" si="40"/>
        <v>1</v>
      </c>
      <c r="AG73" t="b">
        <f t="shared" si="41"/>
        <v>1</v>
      </c>
      <c r="AH73" t="b">
        <f t="shared" si="42"/>
        <v>1</v>
      </c>
    </row>
    <row r="74" spans="1:34" x14ac:dyDescent="0.35">
      <c r="A74" t="str">
        <f t="shared" si="38"/>
        <v>Vale4223144788</v>
      </c>
      <c r="B74" s="43" t="s">
        <v>619</v>
      </c>
      <c r="C74" s="28">
        <v>42231</v>
      </c>
      <c r="D74" s="28">
        <v>44788</v>
      </c>
      <c r="E74" s="14">
        <f>NETWORKDAYS($C74,$D74,Feriados!$A$2:$A$1189)</f>
        <v>1756</v>
      </c>
      <c r="F74" s="14">
        <f t="shared" si="29"/>
        <v>2520</v>
      </c>
      <c r="G74" s="43" t="s">
        <v>28</v>
      </c>
      <c r="H74" s="29">
        <v>6.6252000000000005E-2</v>
      </c>
      <c r="I74" s="30">
        <v>41776.559999999998</v>
      </c>
      <c r="J74" s="31">
        <v>44743</v>
      </c>
      <c r="K74" s="18">
        <f>NETWORKDAYS($C74,$J74,Feriados!$A$2:$A$1189)</f>
        <v>1725</v>
      </c>
      <c r="L74" s="30">
        <v>39144.559999999998</v>
      </c>
      <c r="M74" s="31">
        <v>44927</v>
      </c>
      <c r="N74" s="18">
        <f>NETWORKDAYS($C74,$M74,Feriados!$A$2:$A$1189)</f>
        <v>1851</v>
      </c>
      <c r="O74" s="17">
        <f t="shared" si="30"/>
        <v>41113.032245873947</v>
      </c>
      <c r="P74" s="39">
        <v>67615.55</v>
      </c>
      <c r="Q74" s="40">
        <v>44774</v>
      </c>
      <c r="R74" s="20">
        <f>NETWORKDAYS($C74,$Q74,Feriados!$A$2:$A$1189)</f>
        <v>1746</v>
      </c>
      <c r="S74" s="39">
        <v>61337.74</v>
      </c>
      <c r="T74" s="40">
        <v>45413</v>
      </c>
      <c r="U74" s="20">
        <f>NETWORKDAYS($C74,$T74,Feriados!$A$2:$A$1189)</f>
        <v>2183</v>
      </c>
      <c r="V74" s="19">
        <f t="shared" si="31"/>
        <v>67464.948178223451</v>
      </c>
      <c r="W74" s="25">
        <f t="shared" si="34"/>
        <v>0.13604888057636577</v>
      </c>
      <c r="X74" s="25">
        <f t="shared" si="35"/>
        <v>5.8104697059388144E-2</v>
      </c>
      <c r="Y74" s="21">
        <f t="shared" si="36"/>
        <v>7.3663961358072294E-2</v>
      </c>
      <c r="Z74" s="21">
        <f t="shared" si="37"/>
        <v>7.6999024418418216E-3</v>
      </c>
      <c r="AE74" t="b">
        <f t="shared" si="39"/>
        <v>1</v>
      </c>
      <c r="AF74" t="b">
        <f t="shared" si="40"/>
        <v>1</v>
      </c>
      <c r="AG74" t="b">
        <f t="shared" si="41"/>
        <v>1</v>
      </c>
      <c r="AH74" t="b">
        <f t="shared" si="42"/>
        <v>1</v>
      </c>
    </row>
    <row r="75" spans="1:34" x14ac:dyDescent="0.35">
      <c r="A75" t="str">
        <f t="shared" si="38"/>
        <v>Vale4165446037</v>
      </c>
      <c r="B75" s="43" t="s">
        <v>619</v>
      </c>
      <c r="C75" s="28">
        <v>41654</v>
      </c>
      <c r="D75" s="28">
        <v>46037</v>
      </c>
      <c r="E75" s="14">
        <f>NETWORKDAYS($C75,$D75,Feriados!$A$2:$A$1189)</f>
        <v>3016</v>
      </c>
      <c r="F75" s="14">
        <f t="shared" si="29"/>
        <v>4320</v>
      </c>
      <c r="G75" s="43" t="s">
        <v>28</v>
      </c>
      <c r="H75" s="29">
        <v>6.7099999999999993E-2</v>
      </c>
      <c r="I75" s="30" t="s">
        <v>29</v>
      </c>
      <c r="J75" s="31" t="s">
        <v>29</v>
      </c>
      <c r="K75" s="18" t="s">
        <v>29</v>
      </c>
      <c r="L75" s="30">
        <v>22524.62</v>
      </c>
      <c r="M75" s="31">
        <v>46023</v>
      </c>
      <c r="N75" s="18">
        <f>NETWORKDAYS($C75,$M75,Feriados!$A$2:$A$1189)</f>
        <v>3006</v>
      </c>
      <c r="O75" s="17" t="s">
        <v>29</v>
      </c>
      <c r="P75" s="39" t="s">
        <v>29</v>
      </c>
      <c r="Q75" s="40" t="s">
        <v>29</v>
      </c>
      <c r="R75" s="20" t="s">
        <v>29</v>
      </c>
      <c r="S75" s="39">
        <v>52219.66</v>
      </c>
      <c r="T75" s="40">
        <v>45413</v>
      </c>
      <c r="U75" s="20">
        <f>NETWORKDAYS($C75,$T75,Feriados!$A$2:$A$1189)</f>
        <v>2582</v>
      </c>
      <c r="V75" s="19" t="s">
        <v>29</v>
      </c>
      <c r="W75" s="37">
        <f>($AA$1/$L75)^(252/N75)-1</f>
        <v>0.13309999021864516</v>
      </c>
      <c r="X75" s="37">
        <f>($AA$1/$S75)^(252/$U75)-1</f>
        <v>6.5464656746107464E-2</v>
      </c>
      <c r="Y75" s="21">
        <f t="shared" si="36"/>
        <v>6.3479659362041696E-2</v>
      </c>
      <c r="Z75" s="21">
        <f t="shared" si="37"/>
        <v>1.5348639145729148E-3</v>
      </c>
      <c r="AE75" t="b">
        <f t="shared" si="39"/>
        <v>0</v>
      </c>
      <c r="AF75" t="b">
        <f t="shared" si="40"/>
        <v>0</v>
      </c>
      <c r="AG75" t="b">
        <f t="shared" si="41"/>
        <v>0</v>
      </c>
      <c r="AH75" t="b">
        <f t="shared" si="42"/>
        <v>0</v>
      </c>
    </row>
    <row r="76" spans="1:34" x14ac:dyDescent="0.35">
      <c r="A76" t="str">
        <f t="shared" si="38"/>
        <v>Vale4165447133</v>
      </c>
      <c r="B76" s="43" t="s">
        <v>619</v>
      </c>
      <c r="C76" s="28">
        <v>41654</v>
      </c>
      <c r="D76" s="28">
        <v>47133</v>
      </c>
      <c r="E76" s="14">
        <f>NETWORKDAYS($C76,$D76,Feriados!$A$2:$A$1189)</f>
        <v>3766</v>
      </c>
      <c r="F76" s="14">
        <f t="shared" si="29"/>
        <v>5400</v>
      </c>
      <c r="G76" s="43" t="s">
        <v>28</v>
      </c>
      <c r="H76" s="29">
        <v>6.7799999999999999E-2</v>
      </c>
      <c r="I76" s="30" t="s">
        <v>29</v>
      </c>
      <c r="J76" s="31" t="s">
        <v>29</v>
      </c>
      <c r="K76" s="18" t="s">
        <v>29</v>
      </c>
      <c r="L76" s="30">
        <v>22524.62</v>
      </c>
      <c r="M76" s="31">
        <v>46023</v>
      </c>
      <c r="N76" s="18">
        <f>NETWORKDAYS($C76,$M76,Feriados!$A$2:$A$1189)</f>
        <v>3006</v>
      </c>
      <c r="O76" s="17" t="s">
        <v>29</v>
      </c>
      <c r="P76" s="39" t="s">
        <v>29</v>
      </c>
      <c r="Q76" s="40" t="s">
        <v>29</v>
      </c>
      <c r="R76" s="20" t="s">
        <v>29</v>
      </c>
      <c r="S76" s="39">
        <v>52219.66</v>
      </c>
      <c r="T76" s="40">
        <v>45413</v>
      </c>
      <c r="U76" s="20">
        <f>NETWORKDAYS($C76,$T76,Feriados!$A$2:$A$1189)</f>
        <v>2582</v>
      </c>
      <c r="V76" s="19" t="s">
        <v>29</v>
      </c>
      <c r="W76" s="37">
        <f>($AA$1/$L76)^(252/N76)-1</f>
        <v>0.13309999021864516</v>
      </c>
      <c r="X76" s="37">
        <f>($AA$1/$S76)^(252/$U76)-1</f>
        <v>6.5464656746107464E-2</v>
      </c>
      <c r="Y76" s="21">
        <f t="shared" si="36"/>
        <v>6.3479659362041696E-2</v>
      </c>
      <c r="Z76" s="21">
        <f t="shared" si="37"/>
        <v>2.1918542666863328E-3</v>
      </c>
      <c r="AE76" t="b">
        <f t="shared" si="39"/>
        <v>0</v>
      </c>
      <c r="AF76" t="b">
        <f t="shared" si="40"/>
        <v>0</v>
      </c>
      <c r="AG76" t="b">
        <f t="shared" si="41"/>
        <v>0</v>
      </c>
      <c r="AH76" t="b">
        <f t="shared" si="42"/>
        <v>0</v>
      </c>
    </row>
    <row r="77" spans="1:34" x14ac:dyDescent="0.35">
      <c r="H77" s="8"/>
    </row>
  </sheetData>
  <autoFilter ref="B1:AC76" xr:uid="{50F68145-7A97-4E6B-B572-BE807218AD6C}"/>
  <pageMargins left="0.511811024" right="0.511811024" top="0.78740157499999996" bottom="0.78740157499999996" header="0.31496062000000002" footer="0.31496062000000002"/>
  <pageSetup paperSize="9" orientation="portrait" r:id="rId1"/>
  <ignoredErrors>
    <ignoredError sqref="W11:X11 X15 W20 X23 W52 X59 W66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DBE25-AB1D-4A7D-9DDB-885C7C7BE74A}">
  <dimension ref="A1:B1189"/>
  <sheetViews>
    <sheetView topLeftCell="A228" workbookViewId="0">
      <selection activeCell="B230" sqref="B230"/>
    </sheetView>
  </sheetViews>
  <sheetFormatPr defaultRowHeight="14.5" x14ac:dyDescent="0.35"/>
  <cols>
    <col min="1" max="1" width="10.453125" bestFit="1" customWidth="1"/>
    <col min="2" max="2" width="36.08984375" bestFit="1" customWidth="1"/>
  </cols>
  <sheetData>
    <row r="1" spans="1:2" ht="15" thickBot="1" x14ac:dyDescent="0.4">
      <c r="A1" s="12" t="s">
        <v>719</v>
      </c>
      <c r="B1" s="11" t="s">
        <v>720</v>
      </c>
    </row>
    <row r="2" spans="1:2" x14ac:dyDescent="0.35">
      <c r="A2" s="10">
        <v>36892</v>
      </c>
      <c r="B2" s="13" t="s">
        <v>721</v>
      </c>
    </row>
    <row r="3" spans="1:2" x14ac:dyDescent="0.35">
      <c r="A3" s="10">
        <v>36948</v>
      </c>
      <c r="B3" s="13" t="s">
        <v>722</v>
      </c>
    </row>
    <row r="4" spans="1:2" x14ac:dyDescent="0.35">
      <c r="A4" s="10">
        <v>36949</v>
      </c>
      <c r="B4" s="13" t="s">
        <v>722</v>
      </c>
    </row>
    <row r="5" spans="1:2" x14ac:dyDescent="0.35">
      <c r="A5" s="10">
        <v>36994</v>
      </c>
      <c r="B5" s="13" t="s">
        <v>723</v>
      </c>
    </row>
    <row r="6" spans="1:2" x14ac:dyDescent="0.35">
      <c r="A6" s="10">
        <v>37002</v>
      </c>
      <c r="B6" s="13" t="s">
        <v>724</v>
      </c>
    </row>
    <row r="7" spans="1:2" x14ac:dyDescent="0.35">
      <c r="A7" s="10">
        <v>37012</v>
      </c>
      <c r="B7" s="13" t="s">
        <v>725</v>
      </c>
    </row>
    <row r="8" spans="1:2" x14ac:dyDescent="0.35">
      <c r="A8" s="10">
        <v>37056</v>
      </c>
      <c r="B8" s="13" t="s">
        <v>726</v>
      </c>
    </row>
    <row r="9" spans="1:2" x14ac:dyDescent="0.35">
      <c r="A9" s="10">
        <v>37141</v>
      </c>
      <c r="B9" s="13" t="s">
        <v>727</v>
      </c>
    </row>
    <row r="10" spans="1:2" x14ac:dyDescent="0.35">
      <c r="A10" s="10">
        <v>37176</v>
      </c>
      <c r="B10" s="13" t="s">
        <v>728</v>
      </c>
    </row>
    <row r="11" spans="1:2" x14ac:dyDescent="0.35">
      <c r="A11" s="10">
        <v>37197</v>
      </c>
      <c r="B11" s="13" t="s">
        <v>729</v>
      </c>
    </row>
    <row r="12" spans="1:2" x14ac:dyDescent="0.35">
      <c r="A12" s="10">
        <v>37210</v>
      </c>
      <c r="B12" s="13" t="s">
        <v>730</v>
      </c>
    </row>
    <row r="13" spans="1:2" x14ac:dyDescent="0.35">
      <c r="A13" s="10">
        <v>37250</v>
      </c>
      <c r="B13" s="13" t="s">
        <v>731</v>
      </c>
    </row>
    <row r="14" spans="1:2" x14ac:dyDescent="0.35">
      <c r="A14" s="10">
        <v>37257</v>
      </c>
      <c r="B14" s="13" t="s">
        <v>721</v>
      </c>
    </row>
    <row r="15" spans="1:2" x14ac:dyDescent="0.35">
      <c r="A15" s="10">
        <v>37298</v>
      </c>
      <c r="B15" s="13" t="s">
        <v>722</v>
      </c>
    </row>
    <row r="16" spans="1:2" x14ac:dyDescent="0.35">
      <c r="A16" s="10">
        <v>37299</v>
      </c>
      <c r="B16" s="13" t="s">
        <v>722</v>
      </c>
    </row>
    <row r="17" spans="1:2" x14ac:dyDescent="0.35">
      <c r="A17" s="10">
        <v>37344</v>
      </c>
      <c r="B17" s="13" t="s">
        <v>723</v>
      </c>
    </row>
    <row r="18" spans="1:2" x14ac:dyDescent="0.35">
      <c r="A18" s="10">
        <v>37367</v>
      </c>
      <c r="B18" s="13" t="s">
        <v>724</v>
      </c>
    </row>
    <row r="19" spans="1:2" x14ac:dyDescent="0.35">
      <c r="A19" s="10">
        <v>37377</v>
      </c>
      <c r="B19" s="13" t="s">
        <v>725</v>
      </c>
    </row>
    <row r="20" spans="1:2" x14ac:dyDescent="0.35">
      <c r="A20" s="10">
        <v>37406</v>
      </c>
      <c r="B20" s="13" t="s">
        <v>726</v>
      </c>
    </row>
    <row r="21" spans="1:2" x14ac:dyDescent="0.35">
      <c r="A21" s="10">
        <v>37506</v>
      </c>
      <c r="B21" s="13" t="s">
        <v>727</v>
      </c>
    </row>
    <row r="22" spans="1:2" x14ac:dyDescent="0.35">
      <c r="A22" s="10">
        <v>37541</v>
      </c>
      <c r="B22" s="13" t="s">
        <v>728</v>
      </c>
    </row>
    <row r="23" spans="1:2" x14ac:dyDescent="0.35">
      <c r="A23" s="10">
        <v>37562</v>
      </c>
      <c r="B23" s="13" t="s">
        <v>729</v>
      </c>
    </row>
    <row r="24" spans="1:2" x14ac:dyDescent="0.35">
      <c r="A24" s="10">
        <v>37575</v>
      </c>
      <c r="B24" s="13" t="s">
        <v>730</v>
      </c>
    </row>
    <row r="25" spans="1:2" x14ac:dyDescent="0.35">
      <c r="A25" s="10">
        <v>37615</v>
      </c>
      <c r="B25" s="13" t="s">
        <v>731</v>
      </c>
    </row>
    <row r="26" spans="1:2" x14ac:dyDescent="0.35">
      <c r="A26" s="10">
        <v>37622</v>
      </c>
      <c r="B26" s="13" t="s">
        <v>721</v>
      </c>
    </row>
    <row r="27" spans="1:2" x14ac:dyDescent="0.35">
      <c r="A27" s="10">
        <v>37683</v>
      </c>
      <c r="B27" s="13" t="s">
        <v>722</v>
      </c>
    </row>
    <row r="28" spans="1:2" x14ac:dyDescent="0.35">
      <c r="A28" s="10">
        <v>37684</v>
      </c>
      <c r="B28" s="13" t="s">
        <v>722</v>
      </c>
    </row>
    <row r="29" spans="1:2" x14ac:dyDescent="0.35">
      <c r="A29" s="10">
        <v>37729</v>
      </c>
      <c r="B29" s="13" t="s">
        <v>723</v>
      </c>
    </row>
    <row r="30" spans="1:2" x14ac:dyDescent="0.35">
      <c r="A30" s="10">
        <v>37732</v>
      </c>
      <c r="B30" s="13" t="s">
        <v>724</v>
      </c>
    </row>
    <row r="31" spans="1:2" x14ac:dyDescent="0.35">
      <c r="A31" s="10">
        <v>37742</v>
      </c>
      <c r="B31" s="13" t="s">
        <v>725</v>
      </c>
    </row>
    <row r="32" spans="1:2" x14ac:dyDescent="0.35">
      <c r="A32" s="10">
        <v>37791</v>
      </c>
      <c r="B32" s="13" t="s">
        <v>726</v>
      </c>
    </row>
    <row r="33" spans="1:2" x14ac:dyDescent="0.35">
      <c r="A33" s="10">
        <v>37871</v>
      </c>
      <c r="B33" s="13" t="s">
        <v>727</v>
      </c>
    </row>
    <row r="34" spans="1:2" x14ac:dyDescent="0.35">
      <c r="A34" s="10">
        <v>37906</v>
      </c>
      <c r="B34" s="13" t="s">
        <v>728</v>
      </c>
    </row>
    <row r="35" spans="1:2" x14ac:dyDescent="0.35">
      <c r="A35" s="10">
        <v>37927</v>
      </c>
      <c r="B35" s="13" t="s">
        <v>729</v>
      </c>
    </row>
    <row r="36" spans="1:2" x14ac:dyDescent="0.35">
      <c r="A36" s="10">
        <v>37940</v>
      </c>
      <c r="B36" s="13" t="s">
        <v>730</v>
      </c>
    </row>
    <row r="37" spans="1:2" x14ac:dyDescent="0.35">
      <c r="A37" s="10">
        <v>37980</v>
      </c>
      <c r="B37" s="13" t="s">
        <v>731</v>
      </c>
    </row>
    <row r="38" spans="1:2" x14ac:dyDescent="0.35">
      <c r="A38" s="10">
        <v>37987</v>
      </c>
      <c r="B38" s="13" t="s">
        <v>721</v>
      </c>
    </row>
    <row r="39" spans="1:2" x14ac:dyDescent="0.35">
      <c r="A39" s="10">
        <v>38040</v>
      </c>
      <c r="B39" s="13" t="s">
        <v>722</v>
      </c>
    </row>
    <row r="40" spans="1:2" x14ac:dyDescent="0.35">
      <c r="A40" s="10">
        <v>38041</v>
      </c>
      <c r="B40" s="13" t="s">
        <v>722</v>
      </c>
    </row>
    <row r="41" spans="1:2" x14ac:dyDescent="0.35">
      <c r="A41" s="10">
        <v>38086</v>
      </c>
      <c r="B41" s="13" t="s">
        <v>723</v>
      </c>
    </row>
    <row r="42" spans="1:2" x14ac:dyDescent="0.35">
      <c r="A42" s="10">
        <v>38098</v>
      </c>
      <c r="B42" s="13" t="s">
        <v>724</v>
      </c>
    </row>
    <row r="43" spans="1:2" x14ac:dyDescent="0.35">
      <c r="A43" s="10">
        <v>38108</v>
      </c>
      <c r="B43" s="13" t="s">
        <v>725</v>
      </c>
    </row>
    <row r="44" spans="1:2" x14ac:dyDescent="0.35">
      <c r="A44" s="10">
        <v>38148</v>
      </c>
      <c r="B44" s="13" t="s">
        <v>726</v>
      </c>
    </row>
    <row r="45" spans="1:2" x14ac:dyDescent="0.35">
      <c r="A45" s="10">
        <v>38237</v>
      </c>
      <c r="B45" s="13" t="s">
        <v>727</v>
      </c>
    </row>
    <row r="46" spans="1:2" x14ac:dyDescent="0.35">
      <c r="A46" s="10">
        <v>38272</v>
      </c>
      <c r="B46" s="13" t="s">
        <v>728</v>
      </c>
    </row>
    <row r="47" spans="1:2" x14ac:dyDescent="0.35">
      <c r="A47" s="10">
        <v>38293</v>
      </c>
      <c r="B47" s="13" t="s">
        <v>729</v>
      </c>
    </row>
    <row r="48" spans="1:2" x14ac:dyDescent="0.35">
      <c r="A48" s="10">
        <v>38306</v>
      </c>
      <c r="B48" s="13" t="s">
        <v>730</v>
      </c>
    </row>
    <row r="49" spans="1:2" x14ac:dyDescent="0.35">
      <c r="A49" s="10">
        <v>38346</v>
      </c>
      <c r="B49" s="13" t="s">
        <v>731</v>
      </c>
    </row>
    <row r="50" spans="1:2" x14ac:dyDescent="0.35">
      <c r="A50" s="10">
        <v>38353</v>
      </c>
      <c r="B50" s="13" t="s">
        <v>721</v>
      </c>
    </row>
    <row r="51" spans="1:2" x14ac:dyDescent="0.35">
      <c r="A51" s="10">
        <v>38390</v>
      </c>
      <c r="B51" s="13" t="s">
        <v>722</v>
      </c>
    </row>
    <row r="52" spans="1:2" x14ac:dyDescent="0.35">
      <c r="A52" s="10">
        <v>38391</v>
      </c>
      <c r="B52" s="13" t="s">
        <v>722</v>
      </c>
    </row>
    <row r="53" spans="1:2" x14ac:dyDescent="0.35">
      <c r="A53" s="10">
        <v>38436</v>
      </c>
      <c r="B53" s="13" t="s">
        <v>723</v>
      </c>
    </row>
    <row r="54" spans="1:2" x14ac:dyDescent="0.35">
      <c r="A54" s="10">
        <v>38463</v>
      </c>
      <c r="B54" s="13" t="s">
        <v>724</v>
      </c>
    </row>
    <row r="55" spans="1:2" x14ac:dyDescent="0.35">
      <c r="A55" s="10">
        <v>38473</v>
      </c>
      <c r="B55" s="13" t="s">
        <v>725</v>
      </c>
    </row>
    <row r="56" spans="1:2" x14ac:dyDescent="0.35">
      <c r="A56" s="10">
        <v>38498</v>
      </c>
      <c r="B56" s="13" t="s">
        <v>726</v>
      </c>
    </row>
    <row r="57" spans="1:2" x14ac:dyDescent="0.35">
      <c r="A57" s="10">
        <v>38602</v>
      </c>
      <c r="B57" s="13" t="s">
        <v>727</v>
      </c>
    </row>
    <row r="58" spans="1:2" x14ac:dyDescent="0.35">
      <c r="A58" s="10">
        <v>38637</v>
      </c>
      <c r="B58" s="13" t="s">
        <v>728</v>
      </c>
    </row>
    <row r="59" spans="1:2" x14ac:dyDescent="0.35">
      <c r="A59" s="10">
        <v>38658</v>
      </c>
      <c r="B59" s="13" t="s">
        <v>729</v>
      </c>
    </row>
    <row r="60" spans="1:2" x14ac:dyDescent="0.35">
      <c r="A60" s="10">
        <v>38671</v>
      </c>
      <c r="B60" s="13" t="s">
        <v>730</v>
      </c>
    </row>
    <row r="61" spans="1:2" x14ac:dyDescent="0.35">
      <c r="A61" s="10">
        <v>38711</v>
      </c>
      <c r="B61" s="13" t="s">
        <v>731</v>
      </c>
    </row>
    <row r="62" spans="1:2" x14ac:dyDescent="0.35">
      <c r="A62" s="10">
        <v>38718</v>
      </c>
      <c r="B62" s="13" t="s">
        <v>721</v>
      </c>
    </row>
    <row r="63" spans="1:2" x14ac:dyDescent="0.35">
      <c r="A63" s="10">
        <v>38775</v>
      </c>
      <c r="B63" s="13" t="s">
        <v>722</v>
      </c>
    </row>
    <row r="64" spans="1:2" x14ac:dyDescent="0.35">
      <c r="A64" s="10">
        <v>38776</v>
      </c>
      <c r="B64" s="13" t="s">
        <v>722</v>
      </c>
    </row>
    <row r="65" spans="1:2" x14ac:dyDescent="0.35">
      <c r="A65" s="10">
        <v>38821</v>
      </c>
      <c r="B65" s="13" t="s">
        <v>723</v>
      </c>
    </row>
    <row r="66" spans="1:2" x14ac:dyDescent="0.35">
      <c r="A66" s="10">
        <v>38828</v>
      </c>
      <c r="B66" s="13" t="s">
        <v>724</v>
      </c>
    </row>
    <row r="67" spans="1:2" x14ac:dyDescent="0.35">
      <c r="A67" s="10">
        <v>38838</v>
      </c>
      <c r="B67" s="13" t="s">
        <v>725</v>
      </c>
    </row>
    <row r="68" spans="1:2" x14ac:dyDescent="0.35">
      <c r="A68" s="10">
        <v>38883</v>
      </c>
      <c r="B68" s="13" t="s">
        <v>726</v>
      </c>
    </row>
    <row r="69" spans="1:2" x14ac:dyDescent="0.35">
      <c r="A69" s="10">
        <v>38967</v>
      </c>
      <c r="B69" s="13" t="s">
        <v>727</v>
      </c>
    </row>
    <row r="70" spans="1:2" x14ac:dyDescent="0.35">
      <c r="A70" s="10">
        <v>39002</v>
      </c>
      <c r="B70" s="13" t="s">
        <v>728</v>
      </c>
    </row>
    <row r="71" spans="1:2" x14ac:dyDescent="0.35">
      <c r="A71" s="10">
        <v>39023</v>
      </c>
      <c r="B71" s="13" t="s">
        <v>729</v>
      </c>
    </row>
    <row r="72" spans="1:2" x14ac:dyDescent="0.35">
      <c r="A72" s="10">
        <v>39036</v>
      </c>
      <c r="B72" s="13" t="s">
        <v>730</v>
      </c>
    </row>
    <row r="73" spans="1:2" x14ac:dyDescent="0.35">
      <c r="A73" s="10">
        <v>39076</v>
      </c>
      <c r="B73" s="13" t="s">
        <v>731</v>
      </c>
    </row>
    <row r="74" spans="1:2" x14ac:dyDescent="0.35">
      <c r="A74" s="10">
        <v>39083</v>
      </c>
      <c r="B74" s="13" t="s">
        <v>721</v>
      </c>
    </row>
    <row r="75" spans="1:2" x14ac:dyDescent="0.35">
      <c r="A75" s="10">
        <v>39132</v>
      </c>
      <c r="B75" s="13" t="s">
        <v>722</v>
      </c>
    </row>
    <row r="76" spans="1:2" x14ac:dyDescent="0.35">
      <c r="A76" s="10">
        <v>39133</v>
      </c>
      <c r="B76" s="13" t="s">
        <v>722</v>
      </c>
    </row>
    <row r="77" spans="1:2" x14ac:dyDescent="0.35">
      <c r="A77" s="10">
        <v>39178</v>
      </c>
      <c r="B77" s="13" t="s">
        <v>723</v>
      </c>
    </row>
    <row r="78" spans="1:2" x14ac:dyDescent="0.35">
      <c r="A78" s="10">
        <v>39193</v>
      </c>
      <c r="B78" s="13" t="s">
        <v>724</v>
      </c>
    </row>
    <row r="79" spans="1:2" x14ac:dyDescent="0.35">
      <c r="A79" s="10">
        <v>39203</v>
      </c>
      <c r="B79" s="13" t="s">
        <v>725</v>
      </c>
    </row>
    <row r="80" spans="1:2" x14ac:dyDescent="0.35">
      <c r="A80" s="10">
        <v>39240</v>
      </c>
      <c r="B80" s="13" t="s">
        <v>726</v>
      </c>
    </row>
    <row r="81" spans="1:2" x14ac:dyDescent="0.35">
      <c r="A81" s="10">
        <v>39332</v>
      </c>
      <c r="B81" s="13" t="s">
        <v>727</v>
      </c>
    </row>
    <row r="82" spans="1:2" x14ac:dyDescent="0.35">
      <c r="A82" s="10">
        <v>39367</v>
      </c>
      <c r="B82" s="13" t="s">
        <v>728</v>
      </c>
    </row>
    <row r="83" spans="1:2" x14ac:dyDescent="0.35">
      <c r="A83" s="10">
        <v>39388</v>
      </c>
      <c r="B83" s="13" t="s">
        <v>729</v>
      </c>
    </row>
    <row r="84" spans="1:2" x14ac:dyDescent="0.35">
      <c r="A84" s="10">
        <v>39401</v>
      </c>
      <c r="B84" s="13" t="s">
        <v>730</v>
      </c>
    </row>
    <row r="85" spans="1:2" x14ac:dyDescent="0.35">
      <c r="A85" s="10">
        <v>39441</v>
      </c>
      <c r="B85" s="13" t="s">
        <v>731</v>
      </c>
    </row>
    <row r="86" spans="1:2" x14ac:dyDescent="0.35">
      <c r="A86" s="10">
        <v>39448</v>
      </c>
      <c r="B86" s="13" t="s">
        <v>721</v>
      </c>
    </row>
    <row r="87" spans="1:2" x14ac:dyDescent="0.35">
      <c r="A87" s="10">
        <v>39482</v>
      </c>
      <c r="B87" s="13" t="s">
        <v>722</v>
      </c>
    </row>
    <row r="88" spans="1:2" x14ac:dyDescent="0.35">
      <c r="A88" s="10">
        <v>39483</v>
      </c>
      <c r="B88" s="13" t="s">
        <v>722</v>
      </c>
    </row>
    <row r="89" spans="1:2" x14ac:dyDescent="0.35">
      <c r="A89" s="10">
        <v>39528</v>
      </c>
      <c r="B89" s="13" t="s">
        <v>723</v>
      </c>
    </row>
    <row r="90" spans="1:2" x14ac:dyDescent="0.35">
      <c r="A90" s="10">
        <v>39559</v>
      </c>
      <c r="B90" s="13" t="s">
        <v>724</v>
      </c>
    </row>
    <row r="91" spans="1:2" x14ac:dyDescent="0.35">
      <c r="A91" s="10">
        <v>39569</v>
      </c>
      <c r="B91" s="13" t="s">
        <v>725</v>
      </c>
    </row>
    <row r="92" spans="1:2" x14ac:dyDescent="0.35">
      <c r="A92" s="10">
        <v>39590</v>
      </c>
      <c r="B92" s="13" t="s">
        <v>726</v>
      </c>
    </row>
    <row r="93" spans="1:2" x14ac:dyDescent="0.35">
      <c r="A93" s="10">
        <v>39698</v>
      </c>
      <c r="B93" s="13" t="s">
        <v>727</v>
      </c>
    </row>
    <row r="94" spans="1:2" x14ac:dyDescent="0.35">
      <c r="A94" s="10">
        <v>39733</v>
      </c>
      <c r="B94" s="13" t="s">
        <v>728</v>
      </c>
    </row>
    <row r="95" spans="1:2" x14ac:dyDescent="0.35">
      <c r="A95" s="10">
        <v>39754</v>
      </c>
      <c r="B95" s="13" t="s">
        <v>729</v>
      </c>
    </row>
    <row r="96" spans="1:2" x14ac:dyDescent="0.35">
      <c r="A96" s="10">
        <v>39767</v>
      </c>
      <c r="B96" s="13" t="s">
        <v>730</v>
      </c>
    </row>
    <row r="97" spans="1:2" x14ac:dyDescent="0.35">
      <c r="A97" s="10">
        <v>39807</v>
      </c>
      <c r="B97" s="13" t="s">
        <v>731</v>
      </c>
    </row>
    <row r="98" spans="1:2" x14ac:dyDescent="0.35">
      <c r="A98" s="10">
        <v>39814</v>
      </c>
      <c r="B98" s="13" t="s">
        <v>721</v>
      </c>
    </row>
    <row r="99" spans="1:2" x14ac:dyDescent="0.35">
      <c r="A99" s="10">
        <v>39867</v>
      </c>
      <c r="B99" s="13" t="s">
        <v>722</v>
      </c>
    </row>
    <row r="100" spans="1:2" x14ac:dyDescent="0.35">
      <c r="A100" s="10">
        <v>39868</v>
      </c>
      <c r="B100" s="13" t="s">
        <v>722</v>
      </c>
    </row>
    <row r="101" spans="1:2" x14ac:dyDescent="0.35">
      <c r="A101" s="10">
        <v>39913</v>
      </c>
      <c r="B101" s="13" t="s">
        <v>723</v>
      </c>
    </row>
    <row r="102" spans="1:2" x14ac:dyDescent="0.35">
      <c r="A102" s="10">
        <v>39924</v>
      </c>
      <c r="B102" s="13" t="s">
        <v>724</v>
      </c>
    </row>
    <row r="103" spans="1:2" x14ac:dyDescent="0.35">
      <c r="A103" s="10">
        <v>39934</v>
      </c>
      <c r="B103" s="13" t="s">
        <v>725</v>
      </c>
    </row>
    <row r="104" spans="1:2" x14ac:dyDescent="0.35">
      <c r="A104" s="10">
        <v>39975</v>
      </c>
      <c r="B104" s="13" t="s">
        <v>726</v>
      </c>
    </row>
    <row r="105" spans="1:2" x14ac:dyDescent="0.35">
      <c r="A105" s="10">
        <v>40063</v>
      </c>
      <c r="B105" s="13" t="s">
        <v>727</v>
      </c>
    </row>
    <row r="106" spans="1:2" x14ac:dyDescent="0.35">
      <c r="A106" s="10">
        <v>40098</v>
      </c>
      <c r="B106" s="13" t="s">
        <v>728</v>
      </c>
    </row>
    <row r="107" spans="1:2" x14ac:dyDescent="0.35">
      <c r="A107" s="10">
        <v>40119</v>
      </c>
      <c r="B107" s="13" t="s">
        <v>729</v>
      </c>
    </row>
    <row r="108" spans="1:2" x14ac:dyDescent="0.35">
      <c r="A108" s="10">
        <v>40132</v>
      </c>
      <c r="B108" s="13" t="s">
        <v>730</v>
      </c>
    </row>
    <row r="109" spans="1:2" x14ac:dyDescent="0.35">
      <c r="A109" s="10">
        <v>40172</v>
      </c>
      <c r="B109" s="13" t="s">
        <v>731</v>
      </c>
    </row>
    <row r="110" spans="1:2" x14ac:dyDescent="0.35">
      <c r="A110" s="10">
        <v>40179</v>
      </c>
      <c r="B110" s="13" t="s">
        <v>721</v>
      </c>
    </row>
    <row r="111" spans="1:2" x14ac:dyDescent="0.35">
      <c r="A111" s="10">
        <v>40224</v>
      </c>
      <c r="B111" s="13" t="s">
        <v>722</v>
      </c>
    </row>
    <row r="112" spans="1:2" x14ac:dyDescent="0.35">
      <c r="A112" s="10">
        <v>40225</v>
      </c>
      <c r="B112" s="13" t="s">
        <v>722</v>
      </c>
    </row>
    <row r="113" spans="1:2" x14ac:dyDescent="0.35">
      <c r="A113" s="10">
        <v>40270</v>
      </c>
      <c r="B113" s="13" t="s">
        <v>723</v>
      </c>
    </row>
    <row r="114" spans="1:2" x14ac:dyDescent="0.35">
      <c r="A114" s="10">
        <v>40289</v>
      </c>
      <c r="B114" s="13" t="s">
        <v>724</v>
      </c>
    </row>
    <row r="115" spans="1:2" x14ac:dyDescent="0.35">
      <c r="A115" s="10">
        <v>40299</v>
      </c>
      <c r="B115" s="13" t="s">
        <v>725</v>
      </c>
    </row>
    <row r="116" spans="1:2" x14ac:dyDescent="0.35">
      <c r="A116" s="10">
        <v>40332</v>
      </c>
      <c r="B116" s="13" t="s">
        <v>726</v>
      </c>
    </row>
    <row r="117" spans="1:2" x14ac:dyDescent="0.35">
      <c r="A117" s="10">
        <v>40428</v>
      </c>
      <c r="B117" s="13" t="s">
        <v>727</v>
      </c>
    </row>
    <row r="118" spans="1:2" x14ac:dyDescent="0.35">
      <c r="A118" s="10">
        <v>40463</v>
      </c>
      <c r="B118" s="13" t="s">
        <v>728</v>
      </c>
    </row>
    <row r="119" spans="1:2" x14ac:dyDescent="0.35">
      <c r="A119" s="10">
        <v>40484</v>
      </c>
      <c r="B119" s="13" t="s">
        <v>729</v>
      </c>
    </row>
    <row r="120" spans="1:2" x14ac:dyDescent="0.35">
      <c r="A120" s="10">
        <v>40497</v>
      </c>
      <c r="B120" s="13" t="s">
        <v>730</v>
      </c>
    </row>
    <row r="121" spans="1:2" x14ac:dyDescent="0.35">
      <c r="A121" s="10">
        <v>40537</v>
      </c>
      <c r="B121" s="13" t="s">
        <v>731</v>
      </c>
    </row>
    <row r="122" spans="1:2" x14ac:dyDescent="0.35">
      <c r="A122" s="10">
        <v>40544</v>
      </c>
      <c r="B122" s="13" t="s">
        <v>721</v>
      </c>
    </row>
    <row r="123" spans="1:2" x14ac:dyDescent="0.35">
      <c r="A123" s="10">
        <v>40609</v>
      </c>
      <c r="B123" s="13" t="s">
        <v>722</v>
      </c>
    </row>
    <row r="124" spans="1:2" x14ac:dyDescent="0.35">
      <c r="A124" s="10">
        <v>40610</v>
      </c>
      <c r="B124" s="13" t="s">
        <v>722</v>
      </c>
    </row>
    <row r="125" spans="1:2" x14ac:dyDescent="0.35">
      <c r="A125" s="10">
        <v>40654</v>
      </c>
      <c r="B125" s="13" t="s">
        <v>724</v>
      </c>
    </row>
    <row r="126" spans="1:2" x14ac:dyDescent="0.35">
      <c r="A126" s="10">
        <v>40655</v>
      </c>
      <c r="B126" s="13" t="s">
        <v>723</v>
      </c>
    </row>
    <row r="127" spans="1:2" x14ac:dyDescent="0.35">
      <c r="A127" s="10">
        <v>40664</v>
      </c>
      <c r="B127" s="13" t="s">
        <v>725</v>
      </c>
    </row>
    <row r="128" spans="1:2" x14ac:dyDescent="0.35">
      <c r="A128" s="10">
        <v>40717</v>
      </c>
      <c r="B128" s="13" t="s">
        <v>726</v>
      </c>
    </row>
    <row r="129" spans="1:2" x14ac:dyDescent="0.35">
      <c r="A129" s="10">
        <v>40793</v>
      </c>
      <c r="B129" s="13" t="s">
        <v>727</v>
      </c>
    </row>
    <row r="130" spans="1:2" x14ac:dyDescent="0.35">
      <c r="A130" s="10">
        <v>40828</v>
      </c>
      <c r="B130" s="13" t="s">
        <v>728</v>
      </c>
    </row>
    <row r="131" spans="1:2" x14ac:dyDescent="0.35">
      <c r="A131" s="10">
        <v>40849</v>
      </c>
      <c r="B131" s="13" t="s">
        <v>729</v>
      </c>
    </row>
    <row r="132" spans="1:2" x14ac:dyDescent="0.35">
      <c r="A132" s="10">
        <v>40862</v>
      </c>
      <c r="B132" s="13" t="s">
        <v>730</v>
      </c>
    </row>
    <row r="133" spans="1:2" x14ac:dyDescent="0.35">
      <c r="A133" s="10">
        <v>40902</v>
      </c>
      <c r="B133" s="13" t="s">
        <v>731</v>
      </c>
    </row>
    <row r="134" spans="1:2" x14ac:dyDescent="0.35">
      <c r="A134" s="10">
        <v>40909</v>
      </c>
      <c r="B134" s="13" t="s">
        <v>721</v>
      </c>
    </row>
    <row r="135" spans="1:2" x14ac:dyDescent="0.35">
      <c r="A135" s="10">
        <v>40959</v>
      </c>
      <c r="B135" s="13" t="s">
        <v>722</v>
      </c>
    </row>
    <row r="136" spans="1:2" x14ac:dyDescent="0.35">
      <c r="A136" s="10">
        <v>40960</v>
      </c>
      <c r="B136" s="13" t="s">
        <v>722</v>
      </c>
    </row>
    <row r="137" spans="1:2" x14ac:dyDescent="0.35">
      <c r="A137" s="10">
        <v>41005</v>
      </c>
      <c r="B137" s="13" t="s">
        <v>723</v>
      </c>
    </row>
    <row r="138" spans="1:2" x14ac:dyDescent="0.35">
      <c r="A138" s="10">
        <v>41020</v>
      </c>
      <c r="B138" s="13" t="s">
        <v>724</v>
      </c>
    </row>
    <row r="139" spans="1:2" x14ac:dyDescent="0.35">
      <c r="A139" s="10">
        <v>41030</v>
      </c>
      <c r="B139" s="13" t="s">
        <v>725</v>
      </c>
    </row>
    <row r="140" spans="1:2" x14ac:dyDescent="0.35">
      <c r="A140" s="10">
        <v>41067</v>
      </c>
      <c r="B140" s="13" t="s">
        <v>726</v>
      </c>
    </row>
    <row r="141" spans="1:2" x14ac:dyDescent="0.35">
      <c r="A141" s="10">
        <v>41159</v>
      </c>
      <c r="B141" s="13" t="s">
        <v>727</v>
      </c>
    </row>
    <row r="142" spans="1:2" x14ac:dyDescent="0.35">
      <c r="A142" s="10">
        <v>41194</v>
      </c>
      <c r="B142" s="13" t="s">
        <v>728</v>
      </c>
    </row>
    <row r="143" spans="1:2" x14ac:dyDescent="0.35">
      <c r="A143" s="10">
        <v>41215</v>
      </c>
      <c r="B143" s="13" t="s">
        <v>729</v>
      </c>
    </row>
    <row r="144" spans="1:2" x14ac:dyDescent="0.35">
      <c r="A144" s="10">
        <v>41228</v>
      </c>
      <c r="B144" s="13" t="s">
        <v>730</v>
      </c>
    </row>
    <row r="145" spans="1:2" x14ac:dyDescent="0.35">
      <c r="A145" s="10">
        <v>41268</v>
      </c>
      <c r="B145" s="13" t="s">
        <v>731</v>
      </c>
    </row>
    <row r="146" spans="1:2" x14ac:dyDescent="0.35">
      <c r="A146" s="10">
        <v>41275</v>
      </c>
      <c r="B146" s="13" t="s">
        <v>721</v>
      </c>
    </row>
    <row r="147" spans="1:2" x14ac:dyDescent="0.35">
      <c r="A147" s="10">
        <v>41316</v>
      </c>
      <c r="B147" s="13" t="s">
        <v>722</v>
      </c>
    </row>
    <row r="148" spans="1:2" x14ac:dyDescent="0.35">
      <c r="A148" s="10">
        <v>41317</v>
      </c>
      <c r="B148" s="13" t="s">
        <v>722</v>
      </c>
    </row>
    <row r="149" spans="1:2" x14ac:dyDescent="0.35">
      <c r="A149" s="10">
        <v>41362</v>
      </c>
      <c r="B149" s="13" t="s">
        <v>723</v>
      </c>
    </row>
    <row r="150" spans="1:2" x14ac:dyDescent="0.35">
      <c r="A150" s="10">
        <v>41385</v>
      </c>
      <c r="B150" s="13" t="s">
        <v>724</v>
      </c>
    </row>
    <row r="151" spans="1:2" x14ac:dyDescent="0.35">
      <c r="A151" s="10">
        <v>41395</v>
      </c>
      <c r="B151" s="13" t="s">
        <v>725</v>
      </c>
    </row>
    <row r="152" spans="1:2" x14ac:dyDescent="0.35">
      <c r="A152" s="10">
        <v>41424</v>
      </c>
      <c r="B152" s="13" t="s">
        <v>726</v>
      </c>
    </row>
    <row r="153" spans="1:2" x14ac:dyDescent="0.35">
      <c r="A153" s="10">
        <v>41524</v>
      </c>
      <c r="B153" s="13" t="s">
        <v>727</v>
      </c>
    </row>
    <row r="154" spans="1:2" x14ac:dyDescent="0.35">
      <c r="A154" s="10">
        <v>41559</v>
      </c>
      <c r="B154" s="13" t="s">
        <v>728</v>
      </c>
    </row>
    <row r="155" spans="1:2" x14ac:dyDescent="0.35">
      <c r="A155" s="10">
        <v>41580</v>
      </c>
      <c r="B155" s="13" t="s">
        <v>729</v>
      </c>
    </row>
    <row r="156" spans="1:2" x14ac:dyDescent="0.35">
      <c r="A156" s="10">
        <v>41593</v>
      </c>
      <c r="B156" s="13" t="s">
        <v>730</v>
      </c>
    </row>
    <row r="157" spans="1:2" x14ac:dyDescent="0.35">
      <c r="A157" s="10">
        <v>41633</v>
      </c>
      <c r="B157" s="13" t="s">
        <v>731</v>
      </c>
    </row>
    <row r="158" spans="1:2" x14ac:dyDescent="0.35">
      <c r="A158" s="10">
        <v>41640</v>
      </c>
      <c r="B158" s="13" t="s">
        <v>721</v>
      </c>
    </row>
    <row r="159" spans="1:2" x14ac:dyDescent="0.35">
      <c r="A159" s="10">
        <v>41701</v>
      </c>
      <c r="B159" s="13" t="s">
        <v>722</v>
      </c>
    </row>
    <row r="160" spans="1:2" x14ac:dyDescent="0.35">
      <c r="A160" s="10">
        <v>41702</v>
      </c>
      <c r="B160" s="13" t="s">
        <v>722</v>
      </c>
    </row>
    <row r="161" spans="1:2" x14ac:dyDescent="0.35">
      <c r="A161" s="10">
        <v>41747</v>
      </c>
      <c r="B161" s="13" t="s">
        <v>723</v>
      </c>
    </row>
    <row r="162" spans="1:2" x14ac:dyDescent="0.35">
      <c r="A162" s="10">
        <v>41750</v>
      </c>
      <c r="B162" s="13" t="s">
        <v>724</v>
      </c>
    </row>
    <row r="163" spans="1:2" x14ac:dyDescent="0.35">
      <c r="A163" s="10">
        <v>41760</v>
      </c>
      <c r="B163" s="13" t="s">
        <v>725</v>
      </c>
    </row>
    <row r="164" spans="1:2" x14ac:dyDescent="0.35">
      <c r="A164" s="10">
        <v>41809</v>
      </c>
      <c r="B164" s="13" t="s">
        <v>726</v>
      </c>
    </row>
    <row r="165" spans="1:2" x14ac:dyDescent="0.35">
      <c r="A165" s="10">
        <v>41889</v>
      </c>
      <c r="B165" s="13" t="s">
        <v>727</v>
      </c>
    </row>
    <row r="166" spans="1:2" x14ac:dyDescent="0.35">
      <c r="A166" s="10">
        <v>41924</v>
      </c>
      <c r="B166" s="13" t="s">
        <v>728</v>
      </c>
    </row>
    <row r="167" spans="1:2" x14ac:dyDescent="0.35">
      <c r="A167" s="10">
        <v>41945</v>
      </c>
      <c r="B167" s="13" t="s">
        <v>729</v>
      </c>
    </row>
    <row r="168" spans="1:2" x14ac:dyDescent="0.35">
      <c r="A168" s="10">
        <v>41958</v>
      </c>
      <c r="B168" s="13" t="s">
        <v>730</v>
      </c>
    </row>
    <row r="169" spans="1:2" x14ac:dyDescent="0.35">
      <c r="A169" s="10">
        <v>41998</v>
      </c>
      <c r="B169" s="13" t="s">
        <v>731</v>
      </c>
    </row>
    <row r="170" spans="1:2" x14ac:dyDescent="0.35">
      <c r="A170" s="10">
        <v>42005</v>
      </c>
      <c r="B170" s="13" t="s">
        <v>721</v>
      </c>
    </row>
    <row r="171" spans="1:2" x14ac:dyDescent="0.35">
      <c r="A171" s="10">
        <v>42051</v>
      </c>
      <c r="B171" s="13" t="s">
        <v>722</v>
      </c>
    </row>
    <row r="172" spans="1:2" x14ac:dyDescent="0.35">
      <c r="A172" s="10">
        <v>42052</v>
      </c>
      <c r="B172" s="13" t="s">
        <v>722</v>
      </c>
    </row>
    <row r="173" spans="1:2" x14ac:dyDescent="0.35">
      <c r="A173" s="10">
        <v>42097</v>
      </c>
      <c r="B173" s="13" t="s">
        <v>723</v>
      </c>
    </row>
    <row r="174" spans="1:2" x14ac:dyDescent="0.35">
      <c r="A174" s="10">
        <v>42115</v>
      </c>
      <c r="B174" s="13" t="s">
        <v>724</v>
      </c>
    </row>
    <row r="175" spans="1:2" x14ac:dyDescent="0.35">
      <c r="A175" s="10">
        <v>42125</v>
      </c>
      <c r="B175" s="13" t="s">
        <v>725</v>
      </c>
    </row>
    <row r="176" spans="1:2" x14ac:dyDescent="0.35">
      <c r="A176" s="10">
        <v>42159</v>
      </c>
      <c r="B176" s="13" t="s">
        <v>726</v>
      </c>
    </row>
    <row r="177" spans="1:2" x14ac:dyDescent="0.35">
      <c r="A177" s="10">
        <v>42254</v>
      </c>
      <c r="B177" s="13" t="s">
        <v>727</v>
      </c>
    </row>
    <row r="178" spans="1:2" x14ac:dyDescent="0.35">
      <c r="A178" s="10">
        <v>42289</v>
      </c>
      <c r="B178" s="13" t="s">
        <v>728</v>
      </c>
    </row>
    <row r="179" spans="1:2" x14ac:dyDescent="0.35">
      <c r="A179" s="10">
        <v>42310</v>
      </c>
      <c r="B179" s="13" t="s">
        <v>729</v>
      </c>
    </row>
    <row r="180" spans="1:2" x14ac:dyDescent="0.35">
      <c r="A180" s="10">
        <v>42323</v>
      </c>
      <c r="B180" s="13" t="s">
        <v>730</v>
      </c>
    </row>
    <row r="181" spans="1:2" x14ac:dyDescent="0.35">
      <c r="A181" s="10">
        <v>42363</v>
      </c>
      <c r="B181" s="13" t="s">
        <v>731</v>
      </c>
    </row>
    <row r="182" spans="1:2" x14ac:dyDescent="0.35">
      <c r="A182" s="10">
        <v>42370</v>
      </c>
      <c r="B182" s="13" t="s">
        <v>721</v>
      </c>
    </row>
    <row r="183" spans="1:2" x14ac:dyDescent="0.35">
      <c r="A183" s="10">
        <v>42408</v>
      </c>
      <c r="B183" s="13" t="s">
        <v>722</v>
      </c>
    </row>
    <row r="184" spans="1:2" x14ac:dyDescent="0.35">
      <c r="A184" s="10">
        <v>42409</v>
      </c>
      <c r="B184" s="13" t="s">
        <v>722</v>
      </c>
    </row>
    <row r="185" spans="1:2" x14ac:dyDescent="0.35">
      <c r="A185" s="10">
        <v>42454</v>
      </c>
      <c r="B185" s="13" t="s">
        <v>723</v>
      </c>
    </row>
    <row r="186" spans="1:2" x14ac:dyDescent="0.35">
      <c r="A186" s="10">
        <v>42481</v>
      </c>
      <c r="B186" s="13" t="s">
        <v>724</v>
      </c>
    </row>
    <row r="187" spans="1:2" x14ac:dyDescent="0.35">
      <c r="A187" s="10">
        <v>42491</v>
      </c>
      <c r="B187" s="13" t="s">
        <v>725</v>
      </c>
    </row>
    <row r="188" spans="1:2" x14ac:dyDescent="0.35">
      <c r="A188" s="10">
        <v>42516</v>
      </c>
      <c r="B188" s="13" t="s">
        <v>726</v>
      </c>
    </row>
    <row r="189" spans="1:2" x14ac:dyDescent="0.35">
      <c r="A189" s="10">
        <v>42620</v>
      </c>
      <c r="B189" s="13" t="s">
        <v>727</v>
      </c>
    </row>
    <row r="190" spans="1:2" x14ac:dyDescent="0.35">
      <c r="A190" s="10">
        <v>42655</v>
      </c>
      <c r="B190" s="13" t="s">
        <v>728</v>
      </c>
    </row>
    <row r="191" spans="1:2" x14ac:dyDescent="0.35">
      <c r="A191" s="10">
        <v>42676</v>
      </c>
      <c r="B191" s="13" t="s">
        <v>729</v>
      </c>
    </row>
    <row r="192" spans="1:2" x14ac:dyDescent="0.35">
      <c r="A192" s="10">
        <v>42689</v>
      </c>
      <c r="B192" s="13" t="s">
        <v>730</v>
      </c>
    </row>
    <row r="193" spans="1:2" x14ac:dyDescent="0.35">
      <c r="A193" s="10">
        <v>42729</v>
      </c>
      <c r="B193" s="13" t="s">
        <v>731</v>
      </c>
    </row>
    <row r="194" spans="1:2" x14ac:dyDescent="0.35">
      <c r="A194" s="10">
        <v>42736</v>
      </c>
      <c r="B194" s="13" t="s">
        <v>721</v>
      </c>
    </row>
    <row r="195" spans="1:2" x14ac:dyDescent="0.35">
      <c r="A195" s="10">
        <v>42793</v>
      </c>
      <c r="B195" s="13" t="s">
        <v>722</v>
      </c>
    </row>
    <row r="196" spans="1:2" x14ac:dyDescent="0.35">
      <c r="A196" s="10">
        <v>42794</v>
      </c>
      <c r="B196" s="13" t="s">
        <v>722</v>
      </c>
    </row>
    <row r="197" spans="1:2" x14ac:dyDescent="0.35">
      <c r="A197" s="10">
        <v>42839</v>
      </c>
      <c r="B197" s="13" t="s">
        <v>723</v>
      </c>
    </row>
    <row r="198" spans="1:2" x14ac:dyDescent="0.35">
      <c r="A198" s="10">
        <v>42846</v>
      </c>
      <c r="B198" s="13" t="s">
        <v>724</v>
      </c>
    </row>
    <row r="199" spans="1:2" x14ac:dyDescent="0.35">
      <c r="A199" s="10">
        <v>42856</v>
      </c>
      <c r="B199" s="13" t="s">
        <v>725</v>
      </c>
    </row>
    <row r="200" spans="1:2" x14ac:dyDescent="0.35">
      <c r="A200" s="10">
        <v>42901</v>
      </c>
      <c r="B200" s="13" t="s">
        <v>726</v>
      </c>
    </row>
    <row r="201" spans="1:2" x14ac:dyDescent="0.35">
      <c r="A201" s="10">
        <v>42985</v>
      </c>
      <c r="B201" s="13" t="s">
        <v>727</v>
      </c>
    </row>
    <row r="202" spans="1:2" x14ac:dyDescent="0.35">
      <c r="A202" s="10">
        <v>43020</v>
      </c>
      <c r="B202" s="13" t="s">
        <v>728</v>
      </c>
    </row>
    <row r="203" spans="1:2" x14ac:dyDescent="0.35">
      <c r="A203" s="10">
        <v>43041</v>
      </c>
      <c r="B203" s="13" t="s">
        <v>729</v>
      </c>
    </row>
    <row r="204" spans="1:2" x14ac:dyDescent="0.35">
      <c r="A204" s="10">
        <v>43054</v>
      </c>
      <c r="B204" s="13" t="s">
        <v>730</v>
      </c>
    </row>
    <row r="205" spans="1:2" x14ac:dyDescent="0.35">
      <c r="A205" s="10">
        <v>43094</v>
      </c>
      <c r="B205" s="13" t="s">
        <v>731</v>
      </c>
    </row>
    <row r="206" spans="1:2" x14ac:dyDescent="0.35">
      <c r="A206" s="10">
        <v>43101</v>
      </c>
      <c r="B206" s="13" t="s">
        <v>721</v>
      </c>
    </row>
    <row r="207" spans="1:2" x14ac:dyDescent="0.35">
      <c r="A207" s="10">
        <v>43143</v>
      </c>
      <c r="B207" s="13" t="s">
        <v>722</v>
      </c>
    </row>
    <row r="208" spans="1:2" x14ac:dyDescent="0.35">
      <c r="A208" s="10">
        <v>43144</v>
      </c>
      <c r="B208" s="13" t="s">
        <v>722</v>
      </c>
    </row>
    <row r="209" spans="1:2" x14ac:dyDescent="0.35">
      <c r="A209" s="10">
        <v>43189</v>
      </c>
      <c r="B209" s="13" t="s">
        <v>723</v>
      </c>
    </row>
    <row r="210" spans="1:2" x14ac:dyDescent="0.35">
      <c r="A210" s="10">
        <v>43211</v>
      </c>
      <c r="B210" s="13" t="s">
        <v>724</v>
      </c>
    </row>
    <row r="211" spans="1:2" x14ac:dyDescent="0.35">
      <c r="A211" s="10">
        <v>43221</v>
      </c>
      <c r="B211" s="13" t="s">
        <v>725</v>
      </c>
    </row>
    <row r="212" spans="1:2" x14ac:dyDescent="0.35">
      <c r="A212" s="10">
        <v>43251</v>
      </c>
      <c r="B212" s="13" t="s">
        <v>726</v>
      </c>
    </row>
    <row r="213" spans="1:2" x14ac:dyDescent="0.35">
      <c r="A213" s="10">
        <v>43350</v>
      </c>
      <c r="B213" s="13" t="s">
        <v>727</v>
      </c>
    </row>
    <row r="214" spans="1:2" x14ac:dyDescent="0.35">
      <c r="A214" s="10">
        <v>43385</v>
      </c>
      <c r="B214" s="13" t="s">
        <v>728</v>
      </c>
    </row>
    <row r="215" spans="1:2" x14ac:dyDescent="0.35">
      <c r="A215" s="10">
        <v>43406</v>
      </c>
      <c r="B215" s="13" t="s">
        <v>729</v>
      </c>
    </row>
    <row r="216" spans="1:2" x14ac:dyDescent="0.35">
      <c r="A216" s="10">
        <v>43419</v>
      </c>
      <c r="B216" s="13" t="s">
        <v>730</v>
      </c>
    </row>
    <row r="217" spans="1:2" x14ac:dyDescent="0.35">
      <c r="A217" s="10">
        <v>43459</v>
      </c>
      <c r="B217" s="13" t="s">
        <v>731</v>
      </c>
    </row>
    <row r="218" spans="1:2" x14ac:dyDescent="0.35">
      <c r="A218" s="10">
        <v>43466</v>
      </c>
      <c r="B218" s="13" t="s">
        <v>721</v>
      </c>
    </row>
    <row r="219" spans="1:2" x14ac:dyDescent="0.35">
      <c r="A219" s="10">
        <v>43528</v>
      </c>
      <c r="B219" s="13" t="s">
        <v>722</v>
      </c>
    </row>
    <row r="220" spans="1:2" x14ac:dyDescent="0.35">
      <c r="A220" s="10">
        <v>43529</v>
      </c>
      <c r="B220" s="13" t="s">
        <v>722</v>
      </c>
    </row>
    <row r="221" spans="1:2" x14ac:dyDescent="0.35">
      <c r="A221" s="10">
        <v>43574</v>
      </c>
      <c r="B221" s="13" t="s">
        <v>723</v>
      </c>
    </row>
    <row r="222" spans="1:2" x14ac:dyDescent="0.35">
      <c r="A222" s="10">
        <v>43576</v>
      </c>
      <c r="B222" s="13" t="s">
        <v>724</v>
      </c>
    </row>
    <row r="223" spans="1:2" x14ac:dyDescent="0.35">
      <c r="A223" s="10">
        <v>43586</v>
      </c>
      <c r="B223" s="13" t="s">
        <v>725</v>
      </c>
    </row>
    <row r="224" spans="1:2" x14ac:dyDescent="0.35">
      <c r="A224" s="10">
        <v>43636</v>
      </c>
      <c r="B224" s="13" t="s">
        <v>726</v>
      </c>
    </row>
    <row r="225" spans="1:2" x14ac:dyDescent="0.35">
      <c r="A225" s="10">
        <v>43715</v>
      </c>
      <c r="B225" s="13" t="s">
        <v>727</v>
      </c>
    </row>
    <row r="226" spans="1:2" x14ac:dyDescent="0.35">
      <c r="A226" s="10">
        <v>43750</v>
      </c>
      <c r="B226" s="13" t="s">
        <v>728</v>
      </c>
    </row>
    <row r="227" spans="1:2" x14ac:dyDescent="0.35">
      <c r="A227" s="10">
        <v>43771</v>
      </c>
      <c r="B227" s="13" t="s">
        <v>729</v>
      </c>
    </row>
    <row r="228" spans="1:2" x14ac:dyDescent="0.35">
      <c r="A228" s="10">
        <v>43784</v>
      </c>
      <c r="B228" s="13" t="s">
        <v>730</v>
      </c>
    </row>
    <row r="229" spans="1:2" x14ac:dyDescent="0.35">
      <c r="A229" s="10">
        <v>43824</v>
      </c>
      <c r="B229" s="13" t="s">
        <v>731</v>
      </c>
    </row>
    <row r="230" spans="1:2" x14ac:dyDescent="0.35">
      <c r="A230" s="10">
        <v>43831</v>
      </c>
      <c r="B230" s="13" t="s">
        <v>721</v>
      </c>
    </row>
    <row r="231" spans="1:2" x14ac:dyDescent="0.35">
      <c r="A231" s="10">
        <v>43885</v>
      </c>
      <c r="B231" s="13" t="s">
        <v>722</v>
      </c>
    </row>
    <row r="232" spans="1:2" x14ac:dyDescent="0.35">
      <c r="A232" s="10">
        <v>43886</v>
      </c>
      <c r="B232" s="13" t="s">
        <v>722</v>
      </c>
    </row>
    <row r="233" spans="1:2" x14ac:dyDescent="0.35">
      <c r="A233" s="10">
        <v>43931</v>
      </c>
      <c r="B233" s="13" t="s">
        <v>723</v>
      </c>
    </row>
    <row r="234" spans="1:2" x14ac:dyDescent="0.35">
      <c r="A234" s="10">
        <v>43942</v>
      </c>
      <c r="B234" s="13" t="s">
        <v>724</v>
      </c>
    </row>
    <row r="235" spans="1:2" x14ac:dyDescent="0.35">
      <c r="A235" s="10">
        <v>43952</v>
      </c>
      <c r="B235" s="13" t="s">
        <v>725</v>
      </c>
    </row>
    <row r="236" spans="1:2" x14ac:dyDescent="0.35">
      <c r="A236" s="10">
        <v>43993</v>
      </c>
      <c r="B236" s="13" t="s">
        <v>726</v>
      </c>
    </row>
    <row r="237" spans="1:2" x14ac:dyDescent="0.35">
      <c r="A237" s="10">
        <v>44081</v>
      </c>
      <c r="B237" s="13" t="s">
        <v>727</v>
      </c>
    </row>
    <row r="238" spans="1:2" x14ac:dyDescent="0.35">
      <c r="A238" s="10">
        <v>44116</v>
      </c>
      <c r="B238" s="13" t="s">
        <v>728</v>
      </c>
    </row>
    <row r="239" spans="1:2" x14ac:dyDescent="0.35">
      <c r="A239" s="10">
        <v>44137</v>
      </c>
      <c r="B239" s="13" t="s">
        <v>729</v>
      </c>
    </row>
    <row r="240" spans="1:2" x14ac:dyDescent="0.35">
      <c r="A240" s="10">
        <v>44150</v>
      </c>
      <c r="B240" s="13" t="s">
        <v>730</v>
      </c>
    </row>
    <row r="241" spans="1:2" x14ac:dyDescent="0.35">
      <c r="A241" s="10">
        <v>44190</v>
      </c>
      <c r="B241" s="13" t="s">
        <v>731</v>
      </c>
    </row>
    <row r="242" spans="1:2" x14ac:dyDescent="0.35">
      <c r="A242" s="10">
        <v>44197</v>
      </c>
      <c r="B242" s="13" t="s">
        <v>721</v>
      </c>
    </row>
    <row r="243" spans="1:2" x14ac:dyDescent="0.35">
      <c r="A243" s="10">
        <v>44242</v>
      </c>
      <c r="B243" s="13" t="s">
        <v>722</v>
      </c>
    </row>
    <row r="244" spans="1:2" x14ac:dyDescent="0.35">
      <c r="A244" s="10">
        <v>44243</v>
      </c>
      <c r="B244" s="13" t="s">
        <v>722</v>
      </c>
    </row>
    <row r="245" spans="1:2" x14ac:dyDescent="0.35">
      <c r="A245" s="10">
        <v>44288</v>
      </c>
      <c r="B245" s="13" t="s">
        <v>723</v>
      </c>
    </row>
    <row r="246" spans="1:2" x14ac:dyDescent="0.35">
      <c r="A246" s="10">
        <v>44307</v>
      </c>
      <c r="B246" s="13" t="s">
        <v>724</v>
      </c>
    </row>
    <row r="247" spans="1:2" x14ac:dyDescent="0.35">
      <c r="A247" s="10">
        <v>44317</v>
      </c>
      <c r="B247" s="13" t="s">
        <v>725</v>
      </c>
    </row>
    <row r="248" spans="1:2" x14ac:dyDescent="0.35">
      <c r="A248" s="10">
        <v>44350</v>
      </c>
      <c r="B248" s="13" t="s">
        <v>726</v>
      </c>
    </row>
    <row r="249" spans="1:2" x14ac:dyDescent="0.35">
      <c r="A249" s="10">
        <v>44446</v>
      </c>
      <c r="B249" s="13" t="s">
        <v>727</v>
      </c>
    </row>
    <row r="250" spans="1:2" x14ac:dyDescent="0.35">
      <c r="A250" s="10">
        <v>44481</v>
      </c>
      <c r="B250" s="13" t="s">
        <v>728</v>
      </c>
    </row>
    <row r="251" spans="1:2" x14ac:dyDescent="0.35">
      <c r="A251" s="10">
        <v>44502</v>
      </c>
      <c r="B251" s="13" t="s">
        <v>729</v>
      </c>
    </row>
    <row r="252" spans="1:2" x14ac:dyDescent="0.35">
      <c r="A252" s="10">
        <v>44515</v>
      </c>
      <c r="B252" s="13" t="s">
        <v>730</v>
      </c>
    </row>
    <row r="253" spans="1:2" x14ac:dyDescent="0.35">
      <c r="A253" s="10">
        <v>44555</v>
      </c>
      <c r="B253" s="13" t="s">
        <v>731</v>
      </c>
    </row>
    <row r="254" spans="1:2" x14ac:dyDescent="0.35">
      <c r="A254" s="10">
        <v>44562</v>
      </c>
      <c r="B254" s="13" t="s">
        <v>721</v>
      </c>
    </row>
    <row r="255" spans="1:2" x14ac:dyDescent="0.35">
      <c r="A255" s="10">
        <v>44620</v>
      </c>
      <c r="B255" s="13" t="s">
        <v>722</v>
      </c>
    </row>
    <row r="256" spans="1:2" x14ac:dyDescent="0.35">
      <c r="A256" s="10">
        <v>44621</v>
      </c>
      <c r="B256" s="13" t="s">
        <v>722</v>
      </c>
    </row>
    <row r="257" spans="1:2" x14ac:dyDescent="0.35">
      <c r="A257" s="10">
        <v>44666</v>
      </c>
      <c r="B257" s="13" t="s">
        <v>723</v>
      </c>
    </row>
    <row r="258" spans="1:2" x14ac:dyDescent="0.35">
      <c r="A258" s="10">
        <v>44672</v>
      </c>
      <c r="B258" s="13" t="s">
        <v>724</v>
      </c>
    </row>
    <row r="259" spans="1:2" x14ac:dyDescent="0.35">
      <c r="A259" s="10">
        <v>44682</v>
      </c>
      <c r="B259" s="13" t="s">
        <v>725</v>
      </c>
    </row>
    <row r="260" spans="1:2" x14ac:dyDescent="0.35">
      <c r="A260" s="10">
        <v>44728</v>
      </c>
      <c r="B260" s="13" t="s">
        <v>726</v>
      </c>
    </row>
    <row r="261" spans="1:2" x14ac:dyDescent="0.35">
      <c r="A261" s="10">
        <v>44811</v>
      </c>
      <c r="B261" s="13" t="s">
        <v>727</v>
      </c>
    </row>
    <row r="262" spans="1:2" x14ac:dyDescent="0.35">
      <c r="A262" s="10">
        <v>44846</v>
      </c>
      <c r="B262" s="13" t="s">
        <v>728</v>
      </c>
    </row>
    <row r="263" spans="1:2" x14ac:dyDescent="0.35">
      <c r="A263" s="10">
        <v>44867</v>
      </c>
      <c r="B263" s="13" t="s">
        <v>729</v>
      </c>
    </row>
    <row r="264" spans="1:2" x14ac:dyDescent="0.35">
      <c r="A264" s="10">
        <v>44880</v>
      </c>
      <c r="B264" s="13" t="s">
        <v>730</v>
      </c>
    </row>
    <row r="265" spans="1:2" x14ac:dyDescent="0.35">
      <c r="A265" s="10">
        <v>44920</v>
      </c>
      <c r="B265" s="13" t="s">
        <v>731</v>
      </c>
    </row>
    <row r="266" spans="1:2" x14ac:dyDescent="0.35">
      <c r="A266" s="10">
        <v>44927</v>
      </c>
      <c r="B266" s="13" t="s">
        <v>721</v>
      </c>
    </row>
    <row r="267" spans="1:2" x14ac:dyDescent="0.35">
      <c r="A267" s="10">
        <v>44977</v>
      </c>
      <c r="B267" s="13" t="s">
        <v>722</v>
      </c>
    </row>
    <row r="268" spans="1:2" x14ac:dyDescent="0.35">
      <c r="A268" s="10">
        <v>44978</v>
      </c>
      <c r="B268" s="13" t="s">
        <v>722</v>
      </c>
    </row>
    <row r="269" spans="1:2" x14ac:dyDescent="0.35">
      <c r="A269" s="10">
        <v>45023</v>
      </c>
      <c r="B269" s="13" t="s">
        <v>723</v>
      </c>
    </row>
    <row r="270" spans="1:2" x14ac:dyDescent="0.35">
      <c r="A270" s="10">
        <v>45037</v>
      </c>
      <c r="B270" s="13" t="s">
        <v>724</v>
      </c>
    </row>
    <row r="271" spans="1:2" x14ac:dyDescent="0.35">
      <c r="A271" s="10">
        <v>45047</v>
      </c>
      <c r="B271" s="13" t="s">
        <v>725</v>
      </c>
    </row>
    <row r="272" spans="1:2" x14ac:dyDescent="0.35">
      <c r="A272" s="10">
        <v>45085</v>
      </c>
      <c r="B272" s="13" t="s">
        <v>726</v>
      </c>
    </row>
    <row r="273" spans="1:2" x14ac:dyDescent="0.35">
      <c r="A273" s="10">
        <v>45176</v>
      </c>
      <c r="B273" s="13" t="s">
        <v>727</v>
      </c>
    </row>
    <row r="274" spans="1:2" x14ac:dyDescent="0.35">
      <c r="A274" s="10">
        <v>45211</v>
      </c>
      <c r="B274" s="13" t="s">
        <v>728</v>
      </c>
    </row>
    <row r="275" spans="1:2" x14ac:dyDescent="0.35">
      <c r="A275" s="10">
        <v>45232</v>
      </c>
      <c r="B275" s="13" t="s">
        <v>729</v>
      </c>
    </row>
    <row r="276" spans="1:2" x14ac:dyDescent="0.35">
      <c r="A276" s="10">
        <v>45245</v>
      </c>
      <c r="B276" s="13" t="s">
        <v>730</v>
      </c>
    </row>
    <row r="277" spans="1:2" x14ac:dyDescent="0.35">
      <c r="A277" s="10">
        <v>45285</v>
      </c>
      <c r="B277" s="13" t="s">
        <v>731</v>
      </c>
    </row>
    <row r="278" spans="1:2" x14ac:dyDescent="0.35">
      <c r="A278" s="10">
        <v>45292</v>
      </c>
      <c r="B278" s="13" t="s">
        <v>721</v>
      </c>
    </row>
    <row r="279" spans="1:2" x14ac:dyDescent="0.35">
      <c r="A279" s="10">
        <v>45334</v>
      </c>
      <c r="B279" s="13" t="s">
        <v>722</v>
      </c>
    </row>
    <row r="280" spans="1:2" x14ac:dyDescent="0.35">
      <c r="A280" s="10">
        <v>45335</v>
      </c>
      <c r="B280" s="13" t="s">
        <v>722</v>
      </c>
    </row>
    <row r="281" spans="1:2" x14ac:dyDescent="0.35">
      <c r="A281" s="10">
        <v>45380</v>
      </c>
      <c r="B281" s="13" t="s">
        <v>723</v>
      </c>
    </row>
    <row r="282" spans="1:2" x14ac:dyDescent="0.35">
      <c r="A282" s="10">
        <v>45403</v>
      </c>
      <c r="B282" s="13" t="s">
        <v>724</v>
      </c>
    </row>
    <row r="283" spans="1:2" x14ac:dyDescent="0.35">
      <c r="A283" s="10">
        <v>45413</v>
      </c>
      <c r="B283" s="13" t="s">
        <v>725</v>
      </c>
    </row>
    <row r="284" spans="1:2" x14ac:dyDescent="0.35">
      <c r="A284" s="10">
        <v>45442</v>
      </c>
      <c r="B284" s="13" t="s">
        <v>726</v>
      </c>
    </row>
    <row r="285" spans="1:2" x14ac:dyDescent="0.35">
      <c r="A285" s="10">
        <v>45542</v>
      </c>
      <c r="B285" s="13" t="s">
        <v>727</v>
      </c>
    </row>
    <row r="286" spans="1:2" x14ac:dyDescent="0.35">
      <c r="A286" s="10">
        <v>45577</v>
      </c>
      <c r="B286" s="13" t="s">
        <v>728</v>
      </c>
    </row>
    <row r="287" spans="1:2" x14ac:dyDescent="0.35">
      <c r="A287" s="10">
        <v>45598</v>
      </c>
      <c r="B287" s="13" t="s">
        <v>729</v>
      </c>
    </row>
    <row r="288" spans="1:2" x14ac:dyDescent="0.35">
      <c r="A288" s="10">
        <v>45611</v>
      </c>
      <c r="B288" s="13" t="s">
        <v>730</v>
      </c>
    </row>
    <row r="289" spans="1:2" x14ac:dyDescent="0.35">
      <c r="A289" s="10">
        <v>45651</v>
      </c>
      <c r="B289" s="13" t="s">
        <v>731</v>
      </c>
    </row>
    <row r="290" spans="1:2" x14ac:dyDescent="0.35">
      <c r="A290" s="10">
        <v>45658</v>
      </c>
      <c r="B290" s="13" t="s">
        <v>721</v>
      </c>
    </row>
    <row r="291" spans="1:2" x14ac:dyDescent="0.35">
      <c r="A291" s="10">
        <v>45719</v>
      </c>
      <c r="B291" s="13" t="s">
        <v>722</v>
      </c>
    </row>
    <row r="292" spans="1:2" x14ac:dyDescent="0.35">
      <c r="A292" s="10">
        <v>45720</v>
      </c>
      <c r="B292" s="13" t="s">
        <v>722</v>
      </c>
    </row>
    <row r="293" spans="1:2" x14ac:dyDescent="0.35">
      <c r="A293" s="10">
        <v>45765</v>
      </c>
      <c r="B293" s="13" t="s">
        <v>723</v>
      </c>
    </row>
    <row r="294" spans="1:2" x14ac:dyDescent="0.35">
      <c r="A294" s="10">
        <v>45768</v>
      </c>
      <c r="B294" s="13" t="s">
        <v>724</v>
      </c>
    </row>
    <row r="295" spans="1:2" x14ac:dyDescent="0.35">
      <c r="A295" s="10">
        <v>45778</v>
      </c>
      <c r="B295" s="13" t="s">
        <v>725</v>
      </c>
    </row>
    <row r="296" spans="1:2" x14ac:dyDescent="0.35">
      <c r="A296" s="10">
        <v>45827</v>
      </c>
      <c r="B296" s="13" t="s">
        <v>726</v>
      </c>
    </row>
    <row r="297" spans="1:2" x14ac:dyDescent="0.35">
      <c r="A297" s="10">
        <v>45907</v>
      </c>
      <c r="B297" s="13" t="s">
        <v>727</v>
      </c>
    </row>
    <row r="298" spans="1:2" x14ac:dyDescent="0.35">
      <c r="A298" s="10">
        <v>45942</v>
      </c>
      <c r="B298" s="13" t="s">
        <v>728</v>
      </c>
    </row>
    <row r="299" spans="1:2" x14ac:dyDescent="0.35">
      <c r="A299" s="10">
        <v>45963</v>
      </c>
      <c r="B299" s="13" t="s">
        <v>729</v>
      </c>
    </row>
    <row r="300" spans="1:2" x14ac:dyDescent="0.35">
      <c r="A300" s="10">
        <v>45976</v>
      </c>
      <c r="B300" s="13" t="s">
        <v>730</v>
      </c>
    </row>
    <row r="301" spans="1:2" x14ac:dyDescent="0.35">
      <c r="A301" s="10">
        <v>46016</v>
      </c>
      <c r="B301" s="13" t="s">
        <v>731</v>
      </c>
    </row>
    <row r="302" spans="1:2" x14ac:dyDescent="0.35">
      <c r="A302" s="10">
        <v>46023</v>
      </c>
      <c r="B302" s="13" t="s">
        <v>721</v>
      </c>
    </row>
    <row r="303" spans="1:2" x14ac:dyDescent="0.35">
      <c r="A303" s="10">
        <v>46069</v>
      </c>
      <c r="B303" s="13" t="s">
        <v>722</v>
      </c>
    </row>
    <row r="304" spans="1:2" x14ac:dyDescent="0.35">
      <c r="A304" s="10">
        <v>46070</v>
      </c>
      <c r="B304" s="13" t="s">
        <v>722</v>
      </c>
    </row>
    <row r="305" spans="1:2" x14ac:dyDescent="0.35">
      <c r="A305" s="10">
        <v>46115</v>
      </c>
      <c r="B305" s="13" t="s">
        <v>723</v>
      </c>
    </row>
    <row r="306" spans="1:2" x14ac:dyDescent="0.35">
      <c r="A306" s="10">
        <v>46133</v>
      </c>
      <c r="B306" s="13" t="s">
        <v>724</v>
      </c>
    </row>
    <row r="307" spans="1:2" x14ac:dyDescent="0.35">
      <c r="A307" s="10">
        <v>46143</v>
      </c>
      <c r="B307" s="13" t="s">
        <v>725</v>
      </c>
    </row>
    <row r="308" spans="1:2" x14ac:dyDescent="0.35">
      <c r="A308" s="10">
        <v>46177</v>
      </c>
      <c r="B308" s="13" t="s">
        <v>726</v>
      </c>
    </row>
    <row r="309" spans="1:2" x14ac:dyDescent="0.35">
      <c r="A309" s="10">
        <v>46272</v>
      </c>
      <c r="B309" s="13" t="s">
        <v>727</v>
      </c>
    </row>
    <row r="310" spans="1:2" x14ac:dyDescent="0.35">
      <c r="A310" s="10">
        <v>46307</v>
      </c>
      <c r="B310" s="13" t="s">
        <v>728</v>
      </c>
    </row>
    <row r="311" spans="1:2" x14ac:dyDescent="0.35">
      <c r="A311" s="10">
        <v>46328</v>
      </c>
      <c r="B311" s="13" t="s">
        <v>729</v>
      </c>
    </row>
    <row r="312" spans="1:2" x14ac:dyDescent="0.35">
      <c r="A312" s="10">
        <v>46341</v>
      </c>
      <c r="B312" s="13" t="s">
        <v>730</v>
      </c>
    </row>
    <row r="313" spans="1:2" x14ac:dyDescent="0.35">
      <c r="A313" s="10">
        <v>46381</v>
      </c>
      <c r="B313" s="13" t="s">
        <v>731</v>
      </c>
    </row>
    <row r="314" spans="1:2" x14ac:dyDescent="0.35">
      <c r="A314" s="10">
        <v>46388</v>
      </c>
      <c r="B314" s="13" t="s">
        <v>721</v>
      </c>
    </row>
    <row r="315" spans="1:2" x14ac:dyDescent="0.35">
      <c r="A315" s="10">
        <v>46426</v>
      </c>
      <c r="B315" s="13" t="s">
        <v>722</v>
      </c>
    </row>
    <row r="316" spans="1:2" x14ac:dyDescent="0.35">
      <c r="A316" s="10">
        <v>46427</v>
      </c>
      <c r="B316" s="13" t="s">
        <v>722</v>
      </c>
    </row>
    <row r="317" spans="1:2" x14ac:dyDescent="0.35">
      <c r="A317" s="10">
        <v>46472</v>
      </c>
      <c r="B317" s="13" t="s">
        <v>723</v>
      </c>
    </row>
    <row r="318" spans="1:2" x14ac:dyDescent="0.35">
      <c r="A318" s="10">
        <v>46498</v>
      </c>
      <c r="B318" s="13" t="s">
        <v>724</v>
      </c>
    </row>
    <row r="319" spans="1:2" x14ac:dyDescent="0.35">
      <c r="A319" s="10">
        <v>46508</v>
      </c>
      <c r="B319" s="13" t="s">
        <v>725</v>
      </c>
    </row>
    <row r="320" spans="1:2" x14ac:dyDescent="0.35">
      <c r="A320" s="10">
        <v>46534</v>
      </c>
      <c r="B320" s="13" t="s">
        <v>726</v>
      </c>
    </row>
    <row r="321" spans="1:2" x14ac:dyDescent="0.35">
      <c r="A321" s="10">
        <v>46637</v>
      </c>
      <c r="B321" s="13" t="s">
        <v>727</v>
      </c>
    </row>
    <row r="322" spans="1:2" x14ac:dyDescent="0.35">
      <c r="A322" s="10">
        <v>46672</v>
      </c>
      <c r="B322" s="13" t="s">
        <v>728</v>
      </c>
    </row>
    <row r="323" spans="1:2" x14ac:dyDescent="0.35">
      <c r="A323" s="10">
        <v>46693</v>
      </c>
      <c r="B323" s="13" t="s">
        <v>729</v>
      </c>
    </row>
    <row r="324" spans="1:2" x14ac:dyDescent="0.35">
      <c r="A324" s="10">
        <v>46706</v>
      </c>
      <c r="B324" s="13" t="s">
        <v>730</v>
      </c>
    </row>
    <row r="325" spans="1:2" x14ac:dyDescent="0.35">
      <c r="A325" s="10">
        <v>46746</v>
      </c>
      <c r="B325" s="13" t="s">
        <v>731</v>
      </c>
    </row>
    <row r="326" spans="1:2" x14ac:dyDescent="0.35">
      <c r="A326" s="10">
        <v>46753</v>
      </c>
      <c r="B326" s="13" t="s">
        <v>721</v>
      </c>
    </row>
    <row r="327" spans="1:2" x14ac:dyDescent="0.35">
      <c r="A327" s="10">
        <v>46811</v>
      </c>
      <c r="B327" s="13" t="s">
        <v>722</v>
      </c>
    </row>
    <row r="328" spans="1:2" x14ac:dyDescent="0.35">
      <c r="A328" s="10">
        <v>46812</v>
      </c>
      <c r="B328" s="13" t="s">
        <v>722</v>
      </c>
    </row>
    <row r="329" spans="1:2" x14ac:dyDescent="0.35">
      <c r="A329" s="10">
        <v>46857</v>
      </c>
      <c r="B329" s="13" t="s">
        <v>723</v>
      </c>
    </row>
    <row r="330" spans="1:2" x14ac:dyDescent="0.35">
      <c r="A330" s="10">
        <v>46864</v>
      </c>
      <c r="B330" s="13" t="s">
        <v>724</v>
      </c>
    </row>
    <row r="331" spans="1:2" x14ac:dyDescent="0.35">
      <c r="A331" s="10">
        <v>46874</v>
      </c>
      <c r="B331" s="13" t="s">
        <v>725</v>
      </c>
    </row>
    <row r="332" spans="1:2" x14ac:dyDescent="0.35">
      <c r="A332" s="10">
        <v>46919</v>
      </c>
      <c r="B332" s="13" t="s">
        <v>726</v>
      </c>
    </row>
    <row r="333" spans="1:2" x14ac:dyDescent="0.35">
      <c r="A333" s="10">
        <v>47003</v>
      </c>
      <c r="B333" s="13" t="s">
        <v>727</v>
      </c>
    </row>
    <row r="334" spans="1:2" x14ac:dyDescent="0.35">
      <c r="A334" s="10">
        <v>47038</v>
      </c>
      <c r="B334" s="13" t="s">
        <v>728</v>
      </c>
    </row>
    <row r="335" spans="1:2" x14ac:dyDescent="0.35">
      <c r="A335" s="10">
        <v>47059</v>
      </c>
      <c r="B335" s="13" t="s">
        <v>729</v>
      </c>
    </row>
    <row r="336" spans="1:2" x14ac:dyDescent="0.35">
      <c r="A336" s="10">
        <v>47072</v>
      </c>
      <c r="B336" s="13" t="s">
        <v>730</v>
      </c>
    </row>
    <row r="337" spans="1:2" x14ac:dyDescent="0.35">
      <c r="A337" s="10">
        <v>47112</v>
      </c>
      <c r="B337" s="13" t="s">
        <v>731</v>
      </c>
    </row>
    <row r="338" spans="1:2" x14ac:dyDescent="0.35">
      <c r="A338" s="10">
        <v>47119</v>
      </c>
      <c r="B338" s="13" t="s">
        <v>721</v>
      </c>
    </row>
    <row r="339" spans="1:2" x14ac:dyDescent="0.35">
      <c r="A339" s="10">
        <v>47161</v>
      </c>
      <c r="B339" s="13" t="s">
        <v>722</v>
      </c>
    </row>
    <row r="340" spans="1:2" x14ac:dyDescent="0.35">
      <c r="A340" s="10">
        <v>47162</v>
      </c>
      <c r="B340" s="13" t="s">
        <v>722</v>
      </c>
    </row>
    <row r="341" spans="1:2" x14ac:dyDescent="0.35">
      <c r="A341" s="10">
        <v>47207</v>
      </c>
      <c r="B341" s="13" t="s">
        <v>723</v>
      </c>
    </row>
    <row r="342" spans="1:2" x14ac:dyDescent="0.35">
      <c r="A342" s="10">
        <v>47229</v>
      </c>
      <c r="B342" s="13" t="s">
        <v>724</v>
      </c>
    </row>
    <row r="343" spans="1:2" x14ac:dyDescent="0.35">
      <c r="A343" s="10">
        <v>47239</v>
      </c>
      <c r="B343" s="13" t="s">
        <v>725</v>
      </c>
    </row>
    <row r="344" spans="1:2" x14ac:dyDescent="0.35">
      <c r="A344" s="10">
        <v>47269</v>
      </c>
      <c r="B344" s="13" t="s">
        <v>726</v>
      </c>
    </row>
    <row r="345" spans="1:2" x14ac:dyDescent="0.35">
      <c r="A345" s="10">
        <v>47368</v>
      </c>
      <c r="B345" s="13" t="s">
        <v>727</v>
      </c>
    </row>
    <row r="346" spans="1:2" x14ac:dyDescent="0.35">
      <c r="A346" s="10">
        <v>47403</v>
      </c>
      <c r="B346" s="13" t="s">
        <v>728</v>
      </c>
    </row>
    <row r="347" spans="1:2" x14ac:dyDescent="0.35">
      <c r="A347" s="10">
        <v>47424</v>
      </c>
      <c r="B347" s="13" t="s">
        <v>729</v>
      </c>
    </row>
    <row r="348" spans="1:2" x14ac:dyDescent="0.35">
      <c r="A348" s="10">
        <v>47437</v>
      </c>
      <c r="B348" s="13" t="s">
        <v>730</v>
      </c>
    </row>
    <row r="349" spans="1:2" x14ac:dyDescent="0.35">
      <c r="A349" s="10">
        <v>47477</v>
      </c>
      <c r="B349" s="13" t="s">
        <v>731</v>
      </c>
    </row>
    <row r="350" spans="1:2" x14ac:dyDescent="0.35">
      <c r="A350" s="10">
        <v>47484</v>
      </c>
      <c r="B350" s="13" t="s">
        <v>721</v>
      </c>
    </row>
    <row r="351" spans="1:2" x14ac:dyDescent="0.35">
      <c r="A351" s="10">
        <v>47546</v>
      </c>
      <c r="B351" s="13" t="s">
        <v>722</v>
      </c>
    </row>
    <row r="352" spans="1:2" x14ac:dyDescent="0.35">
      <c r="A352" s="10">
        <v>47547</v>
      </c>
      <c r="B352" s="13" t="s">
        <v>722</v>
      </c>
    </row>
    <row r="353" spans="1:2" x14ac:dyDescent="0.35">
      <c r="A353" s="10">
        <v>47592</v>
      </c>
      <c r="B353" s="13" t="s">
        <v>723</v>
      </c>
    </row>
    <row r="354" spans="1:2" x14ac:dyDescent="0.35">
      <c r="A354" s="10">
        <v>47594</v>
      </c>
      <c r="B354" s="13" t="s">
        <v>724</v>
      </c>
    </row>
    <row r="355" spans="1:2" x14ac:dyDescent="0.35">
      <c r="A355" s="10">
        <v>47604</v>
      </c>
      <c r="B355" s="13" t="s">
        <v>725</v>
      </c>
    </row>
    <row r="356" spans="1:2" x14ac:dyDescent="0.35">
      <c r="A356" s="10">
        <v>47654</v>
      </c>
      <c r="B356" s="13" t="s">
        <v>726</v>
      </c>
    </row>
    <row r="357" spans="1:2" x14ac:dyDescent="0.35">
      <c r="A357" s="10">
        <v>47733</v>
      </c>
      <c r="B357" s="13" t="s">
        <v>727</v>
      </c>
    </row>
    <row r="358" spans="1:2" x14ac:dyDescent="0.35">
      <c r="A358" s="10">
        <v>47768</v>
      </c>
      <c r="B358" s="13" t="s">
        <v>728</v>
      </c>
    </row>
    <row r="359" spans="1:2" x14ac:dyDescent="0.35">
      <c r="A359" s="10">
        <v>47789</v>
      </c>
      <c r="B359" s="13" t="s">
        <v>729</v>
      </c>
    </row>
    <row r="360" spans="1:2" x14ac:dyDescent="0.35">
      <c r="A360" s="10">
        <v>47802</v>
      </c>
      <c r="B360" s="13" t="s">
        <v>730</v>
      </c>
    </row>
    <row r="361" spans="1:2" x14ac:dyDescent="0.35">
      <c r="A361" s="10">
        <v>47842</v>
      </c>
      <c r="B361" s="13" t="s">
        <v>731</v>
      </c>
    </row>
    <row r="362" spans="1:2" x14ac:dyDescent="0.35">
      <c r="A362" s="10">
        <v>47849</v>
      </c>
      <c r="B362" s="13" t="s">
        <v>721</v>
      </c>
    </row>
    <row r="363" spans="1:2" x14ac:dyDescent="0.35">
      <c r="A363" s="10">
        <v>47903</v>
      </c>
      <c r="B363" s="13" t="s">
        <v>722</v>
      </c>
    </row>
    <row r="364" spans="1:2" x14ac:dyDescent="0.35">
      <c r="A364" s="10">
        <v>47904</v>
      </c>
      <c r="B364" s="13" t="s">
        <v>722</v>
      </c>
    </row>
    <row r="365" spans="1:2" x14ac:dyDescent="0.35">
      <c r="A365" s="10">
        <v>47949</v>
      </c>
      <c r="B365" s="13" t="s">
        <v>723</v>
      </c>
    </row>
    <row r="366" spans="1:2" x14ac:dyDescent="0.35">
      <c r="A366" s="10">
        <v>47959</v>
      </c>
      <c r="B366" s="13" t="s">
        <v>724</v>
      </c>
    </row>
    <row r="367" spans="1:2" x14ac:dyDescent="0.35">
      <c r="A367" s="10">
        <v>47969</v>
      </c>
      <c r="B367" s="13" t="s">
        <v>725</v>
      </c>
    </row>
    <row r="368" spans="1:2" x14ac:dyDescent="0.35">
      <c r="A368" s="10">
        <v>48011</v>
      </c>
      <c r="B368" s="13" t="s">
        <v>726</v>
      </c>
    </row>
    <row r="369" spans="1:2" x14ac:dyDescent="0.35">
      <c r="A369" s="10">
        <v>48098</v>
      </c>
      <c r="B369" s="13" t="s">
        <v>727</v>
      </c>
    </row>
    <row r="370" spans="1:2" x14ac:dyDescent="0.35">
      <c r="A370" s="10">
        <v>48133</v>
      </c>
      <c r="B370" s="13" t="s">
        <v>728</v>
      </c>
    </row>
    <row r="371" spans="1:2" x14ac:dyDescent="0.35">
      <c r="A371" s="10">
        <v>48154</v>
      </c>
      <c r="B371" s="13" t="s">
        <v>729</v>
      </c>
    </row>
    <row r="372" spans="1:2" x14ac:dyDescent="0.35">
      <c r="A372" s="10">
        <v>48167</v>
      </c>
      <c r="B372" s="13" t="s">
        <v>730</v>
      </c>
    </row>
    <row r="373" spans="1:2" x14ac:dyDescent="0.35">
      <c r="A373" s="10">
        <v>48207</v>
      </c>
      <c r="B373" s="13" t="s">
        <v>731</v>
      </c>
    </row>
    <row r="374" spans="1:2" x14ac:dyDescent="0.35">
      <c r="A374" s="10">
        <v>48214</v>
      </c>
      <c r="B374" s="13" t="s">
        <v>721</v>
      </c>
    </row>
    <row r="375" spans="1:2" x14ac:dyDescent="0.35">
      <c r="A375" s="10">
        <v>48253</v>
      </c>
      <c r="B375" s="13" t="s">
        <v>722</v>
      </c>
    </row>
    <row r="376" spans="1:2" x14ac:dyDescent="0.35">
      <c r="A376" s="10">
        <v>48254</v>
      </c>
      <c r="B376" s="13" t="s">
        <v>722</v>
      </c>
    </row>
    <row r="377" spans="1:2" x14ac:dyDescent="0.35">
      <c r="A377" s="10">
        <v>48299</v>
      </c>
      <c r="B377" s="13" t="s">
        <v>723</v>
      </c>
    </row>
    <row r="378" spans="1:2" x14ac:dyDescent="0.35">
      <c r="A378" s="10">
        <v>48325</v>
      </c>
      <c r="B378" s="13" t="s">
        <v>724</v>
      </c>
    </row>
    <row r="379" spans="1:2" x14ac:dyDescent="0.35">
      <c r="A379" s="10">
        <v>48335</v>
      </c>
      <c r="B379" s="13" t="s">
        <v>725</v>
      </c>
    </row>
    <row r="380" spans="1:2" x14ac:dyDescent="0.35">
      <c r="A380" s="10">
        <v>48361</v>
      </c>
      <c r="B380" s="13" t="s">
        <v>726</v>
      </c>
    </row>
    <row r="381" spans="1:2" x14ac:dyDescent="0.35">
      <c r="A381" s="10">
        <v>48464</v>
      </c>
      <c r="B381" s="13" t="s">
        <v>727</v>
      </c>
    </row>
    <row r="382" spans="1:2" x14ac:dyDescent="0.35">
      <c r="A382" s="10">
        <v>48499</v>
      </c>
      <c r="B382" s="13" t="s">
        <v>728</v>
      </c>
    </row>
    <row r="383" spans="1:2" x14ac:dyDescent="0.35">
      <c r="A383" s="10">
        <v>48520</v>
      </c>
      <c r="B383" s="13" t="s">
        <v>729</v>
      </c>
    </row>
    <row r="384" spans="1:2" x14ac:dyDescent="0.35">
      <c r="A384" s="10">
        <v>48533</v>
      </c>
      <c r="B384" s="13" t="s">
        <v>730</v>
      </c>
    </row>
    <row r="385" spans="1:2" x14ac:dyDescent="0.35">
      <c r="A385" s="10">
        <v>48573</v>
      </c>
      <c r="B385" s="13" t="s">
        <v>731</v>
      </c>
    </row>
    <row r="386" spans="1:2" x14ac:dyDescent="0.35">
      <c r="A386" s="10">
        <v>48580</v>
      </c>
      <c r="B386" s="13" t="s">
        <v>721</v>
      </c>
    </row>
    <row r="387" spans="1:2" x14ac:dyDescent="0.35">
      <c r="A387" s="10">
        <v>48638</v>
      </c>
      <c r="B387" s="13" t="s">
        <v>722</v>
      </c>
    </row>
    <row r="388" spans="1:2" x14ac:dyDescent="0.35">
      <c r="A388" s="10">
        <v>48639</v>
      </c>
      <c r="B388" s="13" t="s">
        <v>722</v>
      </c>
    </row>
    <row r="389" spans="1:2" x14ac:dyDescent="0.35">
      <c r="A389" s="10">
        <v>48684</v>
      </c>
      <c r="B389" s="13" t="s">
        <v>723</v>
      </c>
    </row>
    <row r="390" spans="1:2" x14ac:dyDescent="0.35">
      <c r="A390" s="10">
        <v>48690</v>
      </c>
      <c r="B390" s="13" t="s">
        <v>724</v>
      </c>
    </row>
    <row r="391" spans="1:2" x14ac:dyDescent="0.35">
      <c r="A391" s="10">
        <v>48700</v>
      </c>
      <c r="B391" s="13" t="s">
        <v>725</v>
      </c>
    </row>
    <row r="392" spans="1:2" x14ac:dyDescent="0.35">
      <c r="A392" s="10">
        <v>48746</v>
      </c>
      <c r="B392" s="13" t="s">
        <v>726</v>
      </c>
    </row>
    <row r="393" spans="1:2" x14ac:dyDescent="0.35">
      <c r="A393" s="10">
        <v>48829</v>
      </c>
      <c r="B393" s="13" t="s">
        <v>727</v>
      </c>
    </row>
    <row r="394" spans="1:2" x14ac:dyDescent="0.35">
      <c r="A394" s="10">
        <v>48864</v>
      </c>
      <c r="B394" s="13" t="s">
        <v>728</v>
      </c>
    </row>
    <row r="395" spans="1:2" x14ac:dyDescent="0.35">
      <c r="A395" s="10">
        <v>48885</v>
      </c>
      <c r="B395" s="13" t="s">
        <v>729</v>
      </c>
    </row>
    <row r="396" spans="1:2" x14ac:dyDescent="0.35">
      <c r="A396" s="10">
        <v>48898</v>
      </c>
      <c r="B396" s="13" t="s">
        <v>730</v>
      </c>
    </row>
    <row r="397" spans="1:2" x14ac:dyDescent="0.35">
      <c r="A397" s="10">
        <v>48938</v>
      </c>
      <c r="B397" s="13" t="s">
        <v>731</v>
      </c>
    </row>
    <row r="398" spans="1:2" x14ac:dyDescent="0.35">
      <c r="A398" s="10">
        <v>48945</v>
      </c>
      <c r="B398" s="13" t="s">
        <v>721</v>
      </c>
    </row>
    <row r="399" spans="1:2" x14ac:dyDescent="0.35">
      <c r="A399" s="10">
        <v>48995</v>
      </c>
      <c r="B399" s="13" t="s">
        <v>722</v>
      </c>
    </row>
    <row r="400" spans="1:2" x14ac:dyDescent="0.35">
      <c r="A400" s="10">
        <v>48996</v>
      </c>
      <c r="B400" s="13" t="s">
        <v>722</v>
      </c>
    </row>
    <row r="401" spans="1:2" x14ac:dyDescent="0.35">
      <c r="A401" s="10">
        <v>49041</v>
      </c>
      <c r="B401" s="13" t="s">
        <v>723</v>
      </c>
    </row>
    <row r="402" spans="1:2" x14ac:dyDescent="0.35">
      <c r="A402" s="10">
        <v>49055</v>
      </c>
      <c r="B402" s="13" t="s">
        <v>724</v>
      </c>
    </row>
    <row r="403" spans="1:2" x14ac:dyDescent="0.35">
      <c r="A403" s="10">
        <v>49065</v>
      </c>
      <c r="B403" s="13" t="s">
        <v>725</v>
      </c>
    </row>
    <row r="404" spans="1:2" x14ac:dyDescent="0.35">
      <c r="A404" s="10">
        <v>49103</v>
      </c>
      <c r="B404" s="13" t="s">
        <v>726</v>
      </c>
    </row>
    <row r="405" spans="1:2" x14ac:dyDescent="0.35">
      <c r="A405" s="10">
        <v>49194</v>
      </c>
      <c r="B405" s="13" t="s">
        <v>727</v>
      </c>
    </row>
    <row r="406" spans="1:2" x14ac:dyDescent="0.35">
      <c r="A406" s="10">
        <v>49229</v>
      </c>
      <c r="B406" s="13" t="s">
        <v>728</v>
      </c>
    </row>
    <row r="407" spans="1:2" x14ac:dyDescent="0.35">
      <c r="A407" s="10">
        <v>49250</v>
      </c>
      <c r="B407" s="13" t="s">
        <v>729</v>
      </c>
    </row>
    <row r="408" spans="1:2" x14ac:dyDescent="0.35">
      <c r="A408" s="10">
        <v>49263</v>
      </c>
      <c r="B408" s="13" t="s">
        <v>730</v>
      </c>
    </row>
    <row r="409" spans="1:2" x14ac:dyDescent="0.35">
      <c r="A409" s="10">
        <v>49303</v>
      </c>
      <c r="B409" s="13" t="s">
        <v>731</v>
      </c>
    </row>
    <row r="410" spans="1:2" x14ac:dyDescent="0.35">
      <c r="A410" s="10">
        <v>49310</v>
      </c>
      <c r="B410" s="13" t="s">
        <v>721</v>
      </c>
    </row>
    <row r="411" spans="1:2" x14ac:dyDescent="0.35">
      <c r="A411" s="10">
        <v>49345</v>
      </c>
      <c r="B411" s="13" t="s">
        <v>722</v>
      </c>
    </row>
    <row r="412" spans="1:2" x14ac:dyDescent="0.35">
      <c r="A412" s="10">
        <v>49346</v>
      </c>
      <c r="B412" s="13" t="s">
        <v>722</v>
      </c>
    </row>
    <row r="413" spans="1:2" x14ac:dyDescent="0.35">
      <c r="A413" s="10">
        <v>49391</v>
      </c>
      <c r="B413" s="13" t="s">
        <v>723</v>
      </c>
    </row>
    <row r="414" spans="1:2" x14ac:dyDescent="0.35">
      <c r="A414" s="10">
        <v>49420</v>
      </c>
      <c r="B414" s="13" t="s">
        <v>724</v>
      </c>
    </row>
    <row r="415" spans="1:2" x14ac:dyDescent="0.35">
      <c r="A415" s="10">
        <v>49430</v>
      </c>
      <c r="B415" s="13" t="s">
        <v>725</v>
      </c>
    </row>
    <row r="416" spans="1:2" x14ac:dyDescent="0.35">
      <c r="A416" s="10">
        <v>49453</v>
      </c>
      <c r="B416" s="13" t="s">
        <v>726</v>
      </c>
    </row>
    <row r="417" spans="1:2" x14ac:dyDescent="0.35">
      <c r="A417" s="10">
        <v>49559</v>
      </c>
      <c r="B417" s="13" t="s">
        <v>727</v>
      </c>
    </row>
    <row r="418" spans="1:2" x14ac:dyDescent="0.35">
      <c r="A418" s="10">
        <v>49594</v>
      </c>
      <c r="B418" s="13" t="s">
        <v>728</v>
      </c>
    </row>
    <row r="419" spans="1:2" x14ac:dyDescent="0.35">
      <c r="A419" s="10">
        <v>49615</v>
      </c>
      <c r="B419" s="13" t="s">
        <v>729</v>
      </c>
    </row>
    <row r="420" spans="1:2" x14ac:dyDescent="0.35">
      <c r="A420" s="10">
        <v>49628</v>
      </c>
      <c r="B420" s="13" t="s">
        <v>730</v>
      </c>
    </row>
    <row r="421" spans="1:2" x14ac:dyDescent="0.35">
      <c r="A421" s="10">
        <v>49668</v>
      </c>
      <c r="B421" s="13" t="s">
        <v>731</v>
      </c>
    </row>
    <row r="422" spans="1:2" x14ac:dyDescent="0.35">
      <c r="A422" s="10">
        <v>49675</v>
      </c>
      <c r="B422" s="13" t="s">
        <v>721</v>
      </c>
    </row>
    <row r="423" spans="1:2" x14ac:dyDescent="0.35">
      <c r="A423" s="10">
        <v>49730</v>
      </c>
      <c r="B423" s="13" t="s">
        <v>722</v>
      </c>
    </row>
    <row r="424" spans="1:2" x14ac:dyDescent="0.35">
      <c r="A424" s="10">
        <v>49731</v>
      </c>
      <c r="B424" s="13" t="s">
        <v>722</v>
      </c>
    </row>
    <row r="425" spans="1:2" x14ac:dyDescent="0.35">
      <c r="A425" s="10">
        <v>49776</v>
      </c>
      <c r="B425" s="13" t="s">
        <v>723</v>
      </c>
    </row>
    <row r="426" spans="1:2" x14ac:dyDescent="0.35">
      <c r="A426" s="10">
        <v>49786</v>
      </c>
      <c r="B426" s="13" t="s">
        <v>724</v>
      </c>
    </row>
    <row r="427" spans="1:2" x14ac:dyDescent="0.35">
      <c r="A427" s="10">
        <v>49796</v>
      </c>
      <c r="B427" s="13" t="s">
        <v>725</v>
      </c>
    </row>
    <row r="428" spans="1:2" x14ac:dyDescent="0.35">
      <c r="A428" s="10">
        <v>49838</v>
      </c>
      <c r="B428" s="13" t="s">
        <v>726</v>
      </c>
    </row>
    <row r="429" spans="1:2" x14ac:dyDescent="0.35">
      <c r="A429" s="10">
        <v>49925</v>
      </c>
      <c r="B429" s="13" t="s">
        <v>727</v>
      </c>
    </row>
    <row r="430" spans="1:2" x14ac:dyDescent="0.35">
      <c r="A430" s="10">
        <v>49960</v>
      </c>
      <c r="B430" s="13" t="s">
        <v>728</v>
      </c>
    </row>
    <row r="431" spans="1:2" x14ac:dyDescent="0.35">
      <c r="A431" s="10">
        <v>49981</v>
      </c>
      <c r="B431" s="13" t="s">
        <v>729</v>
      </c>
    </row>
    <row r="432" spans="1:2" x14ac:dyDescent="0.35">
      <c r="A432" s="10">
        <v>49994</v>
      </c>
      <c r="B432" s="13" t="s">
        <v>730</v>
      </c>
    </row>
    <row r="433" spans="1:2" x14ac:dyDescent="0.35">
      <c r="A433" s="10">
        <v>50034</v>
      </c>
      <c r="B433" s="13" t="s">
        <v>731</v>
      </c>
    </row>
    <row r="434" spans="1:2" x14ac:dyDescent="0.35">
      <c r="A434" s="10">
        <v>50041</v>
      </c>
      <c r="B434" s="13" t="s">
        <v>721</v>
      </c>
    </row>
    <row r="435" spans="1:2" x14ac:dyDescent="0.35">
      <c r="A435" s="10">
        <v>50087</v>
      </c>
      <c r="B435" s="13" t="s">
        <v>722</v>
      </c>
    </row>
    <row r="436" spans="1:2" x14ac:dyDescent="0.35">
      <c r="A436" s="10">
        <v>50088</v>
      </c>
      <c r="B436" s="13" t="s">
        <v>722</v>
      </c>
    </row>
    <row r="437" spans="1:2" x14ac:dyDescent="0.35">
      <c r="A437" s="10">
        <v>50133</v>
      </c>
      <c r="B437" s="13" t="s">
        <v>723</v>
      </c>
    </row>
    <row r="438" spans="1:2" x14ac:dyDescent="0.35">
      <c r="A438" s="10">
        <v>50151</v>
      </c>
      <c r="B438" s="13" t="s">
        <v>724</v>
      </c>
    </row>
    <row r="439" spans="1:2" x14ac:dyDescent="0.35">
      <c r="A439" s="10">
        <v>50161</v>
      </c>
      <c r="B439" s="13" t="s">
        <v>725</v>
      </c>
    </row>
    <row r="440" spans="1:2" x14ac:dyDescent="0.35">
      <c r="A440" s="10">
        <v>50195</v>
      </c>
      <c r="B440" s="13" t="s">
        <v>726</v>
      </c>
    </row>
    <row r="441" spans="1:2" x14ac:dyDescent="0.35">
      <c r="A441" s="10">
        <v>50290</v>
      </c>
      <c r="B441" s="13" t="s">
        <v>727</v>
      </c>
    </row>
    <row r="442" spans="1:2" x14ac:dyDescent="0.35">
      <c r="A442" s="10">
        <v>50325</v>
      </c>
      <c r="B442" s="13" t="s">
        <v>728</v>
      </c>
    </row>
    <row r="443" spans="1:2" x14ac:dyDescent="0.35">
      <c r="A443" s="10">
        <v>50346</v>
      </c>
      <c r="B443" s="13" t="s">
        <v>729</v>
      </c>
    </row>
    <row r="444" spans="1:2" x14ac:dyDescent="0.35">
      <c r="A444" s="10">
        <v>50359</v>
      </c>
      <c r="B444" s="13" t="s">
        <v>730</v>
      </c>
    </row>
    <row r="445" spans="1:2" x14ac:dyDescent="0.35">
      <c r="A445" s="10">
        <v>50399</v>
      </c>
      <c r="B445" s="13" t="s">
        <v>731</v>
      </c>
    </row>
    <row r="446" spans="1:2" x14ac:dyDescent="0.35">
      <c r="A446" s="10">
        <v>50406</v>
      </c>
      <c r="B446" s="13" t="s">
        <v>721</v>
      </c>
    </row>
    <row r="447" spans="1:2" x14ac:dyDescent="0.35">
      <c r="A447" s="10">
        <v>50472</v>
      </c>
      <c r="B447" s="13" t="s">
        <v>722</v>
      </c>
    </row>
    <row r="448" spans="1:2" x14ac:dyDescent="0.35">
      <c r="A448" s="10">
        <v>50473</v>
      </c>
      <c r="B448" s="13" t="s">
        <v>722</v>
      </c>
    </row>
    <row r="449" spans="1:2" x14ac:dyDescent="0.35">
      <c r="A449" s="10">
        <v>50516</v>
      </c>
      <c r="B449" s="13" t="s">
        <v>724</v>
      </c>
    </row>
    <row r="450" spans="1:2" x14ac:dyDescent="0.35">
      <c r="A450" s="10">
        <v>50518</v>
      </c>
      <c r="B450" s="13" t="s">
        <v>723</v>
      </c>
    </row>
    <row r="451" spans="1:2" x14ac:dyDescent="0.35">
      <c r="A451" s="10">
        <v>50526</v>
      </c>
      <c r="B451" s="13" t="s">
        <v>725</v>
      </c>
    </row>
    <row r="452" spans="1:2" x14ac:dyDescent="0.35">
      <c r="A452" s="10">
        <v>50580</v>
      </c>
      <c r="B452" s="13" t="s">
        <v>726</v>
      </c>
    </row>
    <row r="453" spans="1:2" x14ac:dyDescent="0.35">
      <c r="A453" s="10">
        <v>50655</v>
      </c>
      <c r="B453" s="13" t="s">
        <v>727</v>
      </c>
    </row>
    <row r="454" spans="1:2" x14ac:dyDescent="0.35">
      <c r="A454" s="10">
        <v>50690</v>
      </c>
      <c r="B454" s="13" t="s">
        <v>728</v>
      </c>
    </row>
    <row r="455" spans="1:2" x14ac:dyDescent="0.35">
      <c r="A455" s="10">
        <v>50711</v>
      </c>
      <c r="B455" s="13" t="s">
        <v>729</v>
      </c>
    </row>
    <row r="456" spans="1:2" x14ac:dyDescent="0.35">
      <c r="A456" s="10">
        <v>50724</v>
      </c>
      <c r="B456" s="13" t="s">
        <v>730</v>
      </c>
    </row>
    <row r="457" spans="1:2" x14ac:dyDescent="0.35">
      <c r="A457" s="10">
        <v>50764</v>
      </c>
      <c r="B457" s="13" t="s">
        <v>731</v>
      </c>
    </row>
    <row r="458" spans="1:2" x14ac:dyDescent="0.35">
      <c r="A458" s="10">
        <v>50771</v>
      </c>
      <c r="B458" s="13" t="s">
        <v>721</v>
      </c>
    </row>
    <row r="459" spans="1:2" x14ac:dyDescent="0.35">
      <c r="A459" s="10">
        <v>50822</v>
      </c>
      <c r="B459" s="13" t="s">
        <v>722</v>
      </c>
    </row>
    <row r="460" spans="1:2" x14ac:dyDescent="0.35">
      <c r="A460" s="10">
        <v>50823</v>
      </c>
      <c r="B460" s="13" t="s">
        <v>722</v>
      </c>
    </row>
    <row r="461" spans="1:2" x14ac:dyDescent="0.35">
      <c r="A461" s="10">
        <v>50868</v>
      </c>
      <c r="B461" s="13" t="s">
        <v>723</v>
      </c>
    </row>
    <row r="462" spans="1:2" x14ac:dyDescent="0.35">
      <c r="A462" s="10">
        <v>50881</v>
      </c>
      <c r="B462" s="13" t="s">
        <v>724</v>
      </c>
    </row>
    <row r="463" spans="1:2" x14ac:dyDescent="0.35">
      <c r="A463" s="10">
        <v>50891</v>
      </c>
      <c r="B463" s="13" t="s">
        <v>725</v>
      </c>
    </row>
    <row r="464" spans="1:2" x14ac:dyDescent="0.35">
      <c r="A464" s="10">
        <v>50930</v>
      </c>
      <c r="B464" s="13" t="s">
        <v>726</v>
      </c>
    </row>
    <row r="465" spans="1:2" x14ac:dyDescent="0.35">
      <c r="A465" s="10">
        <v>51020</v>
      </c>
      <c r="B465" s="13" t="s">
        <v>727</v>
      </c>
    </row>
    <row r="466" spans="1:2" x14ac:dyDescent="0.35">
      <c r="A466" s="10">
        <v>51055</v>
      </c>
      <c r="B466" s="13" t="s">
        <v>728</v>
      </c>
    </row>
    <row r="467" spans="1:2" x14ac:dyDescent="0.35">
      <c r="A467" s="10">
        <v>51076</v>
      </c>
      <c r="B467" s="13" t="s">
        <v>729</v>
      </c>
    </row>
    <row r="468" spans="1:2" x14ac:dyDescent="0.35">
      <c r="A468" s="10">
        <v>51089</v>
      </c>
      <c r="B468" s="13" t="s">
        <v>730</v>
      </c>
    </row>
    <row r="469" spans="1:2" x14ac:dyDescent="0.35">
      <c r="A469" s="10">
        <v>51129</v>
      </c>
      <c r="B469" s="13" t="s">
        <v>731</v>
      </c>
    </row>
    <row r="470" spans="1:2" x14ac:dyDescent="0.35">
      <c r="A470" s="10">
        <v>51136</v>
      </c>
      <c r="B470" s="13" t="s">
        <v>721</v>
      </c>
    </row>
    <row r="471" spans="1:2" x14ac:dyDescent="0.35">
      <c r="A471" s="10">
        <v>51179</v>
      </c>
      <c r="B471" s="13" t="s">
        <v>722</v>
      </c>
    </row>
    <row r="472" spans="1:2" x14ac:dyDescent="0.35">
      <c r="A472" s="10">
        <v>51180</v>
      </c>
      <c r="B472" s="13" t="s">
        <v>722</v>
      </c>
    </row>
    <row r="473" spans="1:2" x14ac:dyDescent="0.35">
      <c r="A473" s="10">
        <v>51225</v>
      </c>
      <c r="B473" s="13" t="s">
        <v>723</v>
      </c>
    </row>
    <row r="474" spans="1:2" x14ac:dyDescent="0.35">
      <c r="A474" s="10">
        <v>51247</v>
      </c>
      <c r="B474" s="13" t="s">
        <v>724</v>
      </c>
    </row>
    <row r="475" spans="1:2" x14ac:dyDescent="0.35">
      <c r="A475" s="10">
        <v>51257</v>
      </c>
      <c r="B475" s="13" t="s">
        <v>725</v>
      </c>
    </row>
    <row r="476" spans="1:2" x14ac:dyDescent="0.35">
      <c r="A476" s="10">
        <v>51287</v>
      </c>
      <c r="B476" s="13" t="s">
        <v>726</v>
      </c>
    </row>
    <row r="477" spans="1:2" x14ac:dyDescent="0.35">
      <c r="A477" s="10">
        <v>51386</v>
      </c>
      <c r="B477" s="13" t="s">
        <v>727</v>
      </c>
    </row>
    <row r="478" spans="1:2" x14ac:dyDescent="0.35">
      <c r="A478" s="10">
        <v>51421</v>
      </c>
      <c r="B478" s="13" t="s">
        <v>728</v>
      </c>
    </row>
    <row r="479" spans="1:2" x14ac:dyDescent="0.35">
      <c r="A479" s="10">
        <v>51442</v>
      </c>
      <c r="B479" s="13" t="s">
        <v>729</v>
      </c>
    </row>
    <row r="480" spans="1:2" x14ac:dyDescent="0.35">
      <c r="A480" s="10">
        <v>51455</v>
      </c>
      <c r="B480" s="13" t="s">
        <v>730</v>
      </c>
    </row>
    <row r="481" spans="1:2" x14ac:dyDescent="0.35">
      <c r="A481" s="10">
        <v>51495</v>
      </c>
      <c r="B481" s="13" t="s">
        <v>731</v>
      </c>
    </row>
    <row r="482" spans="1:2" x14ac:dyDescent="0.35">
      <c r="A482" s="10">
        <v>51502</v>
      </c>
      <c r="B482" s="13" t="s">
        <v>721</v>
      </c>
    </row>
    <row r="483" spans="1:2" x14ac:dyDescent="0.35">
      <c r="A483" s="10">
        <v>51564</v>
      </c>
      <c r="B483" s="13" t="s">
        <v>722</v>
      </c>
    </row>
    <row r="484" spans="1:2" x14ac:dyDescent="0.35">
      <c r="A484" s="10">
        <v>51565</v>
      </c>
      <c r="B484" s="13" t="s">
        <v>722</v>
      </c>
    </row>
    <row r="485" spans="1:2" x14ac:dyDescent="0.35">
      <c r="A485" s="10">
        <v>51610</v>
      </c>
      <c r="B485" s="13" t="s">
        <v>723</v>
      </c>
    </row>
    <row r="486" spans="1:2" x14ac:dyDescent="0.35">
      <c r="A486" s="10">
        <v>51612</v>
      </c>
      <c r="B486" s="13" t="s">
        <v>724</v>
      </c>
    </row>
    <row r="487" spans="1:2" x14ac:dyDescent="0.35">
      <c r="A487" s="10">
        <v>51622</v>
      </c>
      <c r="B487" s="13" t="s">
        <v>725</v>
      </c>
    </row>
    <row r="488" spans="1:2" x14ac:dyDescent="0.35">
      <c r="A488" s="10">
        <v>51672</v>
      </c>
      <c r="B488" s="13" t="s">
        <v>726</v>
      </c>
    </row>
    <row r="489" spans="1:2" x14ac:dyDescent="0.35">
      <c r="A489" s="10">
        <v>51751</v>
      </c>
      <c r="B489" s="13" t="s">
        <v>727</v>
      </c>
    </row>
    <row r="490" spans="1:2" x14ac:dyDescent="0.35">
      <c r="A490" s="10">
        <v>51786</v>
      </c>
      <c r="B490" s="13" t="s">
        <v>728</v>
      </c>
    </row>
    <row r="491" spans="1:2" x14ac:dyDescent="0.35">
      <c r="A491" s="10">
        <v>51807</v>
      </c>
      <c r="B491" s="13" t="s">
        <v>729</v>
      </c>
    </row>
    <row r="492" spans="1:2" x14ac:dyDescent="0.35">
      <c r="A492" s="10">
        <v>51820</v>
      </c>
      <c r="B492" s="13" t="s">
        <v>730</v>
      </c>
    </row>
    <row r="493" spans="1:2" x14ac:dyDescent="0.35">
      <c r="A493" s="10">
        <v>51860</v>
      </c>
      <c r="B493" s="13" t="s">
        <v>731</v>
      </c>
    </row>
    <row r="494" spans="1:2" x14ac:dyDescent="0.35">
      <c r="A494" s="10">
        <v>51867</v>
      </c>
      <c r="B494" s="13" t="s">
        <v>721</v>
      </c>
    </row>
    <row r="495" spans="1:2" x14ac:dyDescent="0.35">
      <c r="A495" s="10">
        <v>51914</v>
      </c>
      <c r="B495" s="13" t="s">
        <v>722</v>
      </c>
    </row>
    <row r="496" spans="1:2" x14ac:dyDescent="0.35">
      <c r="A496" s="10">
        <v>51915</v>
      </c>
      <c r="B496" s="13" t="s">
        <v>722</v>
      </c>
    </row>
    <row r="497" spans="1:2" x14ac:dyDescent="0.35">
      <c r="A497" s="10">
        <v>51960</v>
      </c>
      <c r="B497" s="13" t="s">
        <v>723</v>
      </c>
    </row>
    <row r="498" spans="1:2" x14ac:dyDescent="0.35">
      <c r="A498" s="10">
        <v>51977</v>
      </c>
      <c r="B498" s="13" t="s">
        <v>724</v>
      </c>
    </row>
    <row r="499" spans="1:2" x14ac:dyDescent="0.35">
      <c r="A499" s="10">
        <v>51987</v>
      </c>
      <c r="B499" s="13" t="s">
        <v>725</v>
      </c>
    </row>
    <row r="500" spans="1:2" x14ac:dyDescent="0.35">
      <c r="A500" s="10">
        <v>52022</v>
      </c>
      <c r="B500" s="13" t="s">
        <v>726</v>
      </c>
    </row>
    <row r="501" spans="1:2" x14ac:dyDescent="0.35">
      <c r="A501" s="10">
        <v>52116</v>
      </c>
      <c r="B501" s="13" t="s">
        <v>727</v>
      </c>
    </row>
    <row r="502" spans="1:2" x14ac:dyDescent="0.35">
      <c r="A502" s="10">
        <v>52151</v>
      </c>
      <c r="B502" s="13" t="s">
        <v>728</v>
      </c>
    </row>
    <row r="503" spans="1:2" x14ac:dyDescent="0.35">
      <c r="A503" s="10">
        <v>52172</v>
      </c>
      <c r="B503" s="13" t="s">
        <v>729</v>
      </c>
    </row>
    <row r="504" spans="1:2" x14ac:dyDescent="0.35">
      <c r="A504" s="10">
        <v>52185</v>
      </c>
      <c r="B504" s="13" t="s">
        <v>730</v>
      </c>
    </row>
    <row r="505" spans="1:2" x14ac:dyDescent="0.35">
      <c r="A505" s="10">
        <v>52225</v>
      </c>
      <c r="B505" s="13" t="s">
        <v>731</v>
      </c>
    </row>
    <row r="506" spans="1:2" x14ac:dyDescent="0.35">
      <c r="A506" s="10">
        <v>52232</v>
      </c>
      <c r="B506" s="13" t="s">
        <v>721</v>
      </c>
    </row>
    <row r="507" spans="1:2" x14ac:dyDescent="0.35">
      <c r="A507" s="10">
        <v>52271</v>
      </c>
      <c r="B507" s="13" t="s">
        <v>722</v>
      </c>
    </row>
    <row r="508" spans="1:2" x14ac:dyDescent="0.35">
      <c r="A508" s="10">
        <v>52272</v>
      </c>
      <c r="B508" s="13" t="s">
        <v>722</v>
      </c>
    </row>
    <row r="509" spans="1:2" x14ac:dyDescent="0.35">
      <c r="A509" s="10">
        <v>52317</v>
      </c>
      <c r="B509" s="13" t="s">
        <v>723</v>
      </c>
    </row>
    <row r="510" spans="1:2" x14ac:dyDescent="0.35">
      <c r="A510" s="10">
        <v>52342</v>
      </c>
      <c r="B510" s="13" t="s">
        <v>724</v>
      </c>
    </row>
    <row r="511" spans="1:2" x14ac:dyDescent="0.35">
      <c r="A511" s="10">
        <v>52352</v>
      </c>
      <c r="B511" s="13" t="s">
        <v>725</v>
      </c>
    </row>
    <row r="512" spans="1:2" x14ac:dyDescent="0.35">
      <c r="A512" s="10">
        <v>52379</v>
      </c>
      <c r="B512" s="13" t="s">
        <v>726</v>
      </c>
    </row>
    <row r="513" spans="1:2" x14ac:dyDescent="0.35">
      <c r="A513" s="10">
        <v>52481</v>
      </c>
      <c r="B513" s="13" t="s">
        <v>727</v>
      </c>
    </row>
    <row r="514" spans="1:2" x14ac:dyDescent="0.35">
      <c r="A514" s="10">
        <v>52516</v>
      </c>
      <c r="B514" s="13" t="s">
        <v>728</v>
      </c>
    </row>
    <row r="515" spans="1:2" x14ac:dyDescent="0.35">
      <c r="A515" s="10">
        <v>52537</v>
      </c>
      <c r="B515" s="13" t="s">
        <v>729</v>
      </c>
    </row>
    <row r="516" spans="1:2" x14ac:dyDescent="0.35">
      <c r="A516" s="10">
        <v>52550</v>
      </c>
      <c r="B516" s="13" t="s">
        <v>730</v>
      </c>
    </row>
    <row r="517" spans="1:2" x14ac:dyDescent="0.35">
      <c r="A517" s="10">
        <v>52590</v>
      </c>
      <c r="B517" s="13" t="s">
        <v>731</v>
      </c>
    </row>
    <row r="518" spans="1:2" x14ac:dyDescent="0.35">
      <c r="A518" s="10">
        <v>52597</v>
      </c>
      <c r="B518" s="13" t="s">
        <v>721</v>
      </c>
    </row>
    <row r="519" spans="1:2" x14ac:dyDescent="0.35">
      <c r="A519" s="10">
        <v>52656</v>
      </c>
      <c r="B519" s="13" t="s">
        <v>722</v>
      </c>
    </row>
    <row r="520" spans="1:2" x14ac:dyDescent="0.35">
      <c r="A520" s="10">
        <v>52657</v>
      </c>
      <c r="B520" s="13" t="s">
        <v>722</v>
      </c>
    </row>
    <row r="521" spans="1:2" x14ac:dyDescent="0.35">
      <c r="A521" s="10">
        <v>52702</v>
      </c>
      <c r="B521" s="13" t="s">
        <v>723</v>
      </c>
    </row>
    <row r="522" spans="1:2" x14ac:dyDescent="0.35">
      <c r="A522" s="10">
        <v>52708</v>
      </c>
      <c r="B522" s="13" t="s">
        <v>724</v>
      </c>
    </row>
    <row r="523" spans="1:2" x14ac:dyDescent="0.35">
      <c r="A523" s="10">
        <v>52718</v>
      </c>
      <c r="B523" s="13" t="s">
        <v>725</v>
      </c>
    </row>
    <row r="524" spans="1:2" x14ac:dyDescent="0.35">
      <c r="A524" s="10">
        <v>52764</v>
      </c>
      <c r="B524" s="13" t="s">
        <v>726</v>
      </c>
    </row>
    <row r="525" spans="1:2" x14ac:dyDescent="0.35">
      <c r="A525" s="10">
        <v>52847</v>
      </c>
      <c r="B525" s="13" t="s">
        <v>727</v>
      </c>
    </row>
    <row r="526" spans="1:2" x14ac:dyDescent="0.35">
      <c r="A526" s="10">
        <v>52882</v>
      </c>
      <c r="B526" s="13" t="s">
        <v>728</v>
      </c>
    </row>
    <row r="527" spans="1:2" x14ac:dyDescent="0.35">
      <c r="A527" s="10">
        <v>52903</v>
      </c>
      <c r="B527" s="13" t="s">
        <v>729</v>
      </c>
    </row>
    <row r="528" spans="1:2" x14ac:dyDescent="0.35">
      <c r="A528" s="10">
        <v>52916</v>
      </c>
      <c r="B528" s="13" t="s">
        <v>730</v>
      </c>
    </row>
    <row r="529" spans="1:2" x14ac:dyDescent="0.35">
      <c r="A529" s="10">
        <v>52956</v>
      </c>
      <c r="B529" s="13" t="s">
        <v>731</v>
      </c>
    </row>
    <row r="530" spans="1:2" x14ac:dyDescent="0.35">
      <c r="A530" s="10">
        <v>52963</v>
      </c>
      <c r="B530" s="13" t="s">
        <v>721</v>
      </c>
    </row>
    <row r="531" spans="1:2" x14ac:dyDescent="0.35">
      <c r="A531" s="10">
        <v>53013</v>
      </c>
      <c r="B531" s="13" t="s">
        <v>722</v>
      </c>
    </row>
    <row r="532" spans="1:2" x14ac:dyDescent="0.35">
      <c r="A532" s="10">
        <v>53014</v>
      </c>
      <c r="B532" s="13" t="s">
        <v>722</v>
      </c>
    </row>
    <row r="533" spans="1:2" x14ac:dyDescent="0.35">
      <c r="A533" s="10">
        <v>53059</v>
      </c>
      <c r="B533" s="13" t="s">
        <v>723</v>
      </c>
    </row>
    <row r="534" spans="1:2" x14ac:dyDescent="0.35">
      <c r="A534" s="10">
        <v>53073</v>
      </c>
      <c r="B534" s="13" t="s">
        <v>724</v>
      </c>
    </row>
    <row r="535" spans="1:2" x14ac:dyDescent="0.35">
      <c r="A535" s="10">
        <v>53083</v>
      </c>
      <c r="B535" s="13" t="s">
        <v>725</v>
      </c>
    </row>
    <row r="536" spans="1:2" x14ac:dyDescent="0.35">
      <c r="A536" s="10">
        <v>53121</v>
      </c>
      <c r="B536" s="13" t="s">
        <v>726</v>
      </c>
    </row>
    <row r="537" spans="1:2" x14ac:dyDescent="0.35">
      <c r="A537" s="10">
        <v>53212</v>
      </c>
      <c r="B537" s="13" t="s">
        <v>727</v>
      </c>
    </row>
    <row r="538" spans="1:2" x14ac:dyDescent="0.35">
      <c r="A538" s="10">
        <v>53247</v>
      </c>
      <c r="B538" s="13" t="s">
        <v>728</v>
      </c>
    </row>
    <row r="539" spans="1:2" x14ac:dyDescent="0.35">
      <c r="A539" s="10">
        <v>53268</v>
      </c>
      <c r="B539" s="13" t="s">
        <v>729</v>
      </c>
    </row>
    <row r="540" spans="1:2" x14ac:dyDescent="0.35">
      <c r="A540" s="10">
        <v>53281</v>
      </c>
      <c r="B540" s="13" t="s">
        <v>730</v>
      </c>
    </row>
    <row r="541" spans="1:2" x14ac:dyDescent="0.35">
      <c r="A541" s="10">
        <v>53321</v>
      </c>
      <c r="B541" s="13" t="s">
        <v>731</v>
      </c>
    </row>
    <row r="542" spans="1:2" x14ac:dyDescent="0.35">
      <c r="A542" s="10">
        <v>53328</v>
      </c>
      <c r="B542" s="13" t="s">
        <v>721</v>
      </c>
    </row>
    <row r="543" spans="1:2" x14ac:dyDescent="0.35">
      <c r="A543" s="10">
        <v>53363</v>
      </c>
      <c r="B543" s="13" t="s">
        <v>722</v>
      </c>
    </row>
    <row r="544" spans="1:2" x14ac:dyDescent="0.35">
      <c r="A544" s="10">
        <v>53364</v>
      </c>
      <c r="B544" s="13" t="s">
        <v>722</v>
      </c>
    </row>
    <row r="545" spans="1:2" x14ac:dyDescent="0.35">
      <c r="A545" s="10">
        <v>53409</v>
      </c>
      <c r="B545" s="13" t="s">
        <v>723</v>
      </c>
    </row>
    <row r="546" spans="1:2" x14ac:dyDescent="0.35">
      <c r="A546" s="10">
        <v>53438</v>
      </c>
      <c r="B546" s="13" t="s">
        <v>724</v>
      </c>
    </row>
    <row r="547" spans="1:2" x14ac:dyDescent="0.35">
      <c r="A547" s="10">
        <v>53448</v>
      </c>
      <c r="B547" s="13" t="s">
        <v>725</v>
      </c>
    </row>
    <row r="548" spans="1:2" x14ac:dyDescent="0.35">
      <c r="A548" s="10">
        <v>53471</v>
      </c>
      <c r="B548" s="13" t="s">
        <v>726</v>
      </c>
    </row>
    <row r="549" spans="1:2" x14ac:dyDescent="0.35">
      <c r="A549" s="10">
        <v>53577</v>
      </c>
      <c r="B549" s="13" t="s">
        <v>727</v>
      </c>
    </row>
    <row r="550" spans="1:2" x14ac:dyDescent="0.35">
      <c r="A550" s="10">
        <v>53612</v>
      </c>
      <c r="B550" s="13" t="s">
        <v>728</v>
      </c>
    </row>
    <row r="551" spans="1:2" x14ac:dyDescent="0.35">
      <c r="A551" s="10">
        <v>53633</v>
      </c>
      <c r="B551" s="13" t="s">
        <v>729</v>
      </c>
    </row>
    <row r="552" spans="1:2" x14ac:dyDescent="0.35">
      <c r="A552" s="10">
        <v>53646</v>
      </c>
      <c r="B552" s="13" t="s">
        <v>730</v>
      </c>
    </row>
    <row r="553" spans="1:2" x14ac:dyDescent="0.35">
      <c r="A553" s="10">
        <v>53686</v>
      </c>
      <c r="B553" s="13" t="s">
        <v>731</v>
      </c>
    </row>
    <row r="554" spans="1:2" x14ac:dyDescent="0.35">
      <c r="A554" s="10">
        <v>53693</v>
      </c>
      <c r="B554" s="13" t="s">
        <v>721</v>
      </c>
    </row>
    <row r="555" spans="1:2" x14ac:dyDescent="0.35">
      <c r="A555" s="10">
        <v>53748</v>
      </c>
      <c r="B555" s="13" t="s">
        <v>722</v>
      </c>
    </row>
    <row r="556" spans="1:2" x14ac:dyDescent="0.35">
      <c r="A556" s="10">
        <v>53749</v>
      </c>
      <c r="B556" s="13" t="s">
        <v>722</v>
      </c>
    </row>
    <row r="557" spans="1:2" x14ac:dyDescent="0.35">
      <c r="A557" s="10">
        <v>53794</v>
      </c>
      <c r="B557" s="13" t="s">
        <v>723</v>
      </c>
    </row>
    <row r="558" spans="1:2" x14ac:dyDescent="0.35">
      <c r="A558" s="10">
        <v>53803</v>
      </c>
      <c r="B558" s="13" t="s">
        <v>724</v>
      </c>
    </row>
    <row r="559" spans="1:2" x14ac:dyDescent="0.35">
      <c r="A559" s="10">
        <v>53813</v>
      </c>
      <c r="B559" s="13" t="s">
        <v>725</v>
      </c>
    </row>
    <row r="560" spans="1:2" x14ac:dyDescent="0.35">
      <c r="A560" s="10">
        <v>53856</v>
      </c>
      <c r="B560" s="13" t="s">
        <v>726</v>
      </c>
    </row>
    <row r="561" spans="1:2" x14ac:dyDescent="0.35">
      <c r="A561" s="10">
        <v>53942</v>
      </c>
      <c r="B561" s="13" t="s">
        <v>727</v>
      </c>
    </row>
    <row r="562" spans="1:2" x14ac:dyDescent="0.35">
      <c r="A562" s="10">
        <v>53977</v>
      </c>
      <c r="B562" s="13" t="s">
        <v>728</v>
      </c>
    </row>
    <row r="563" spans="1:2" x14ac:dyDescent="0.35">
      <c r="A563" s="10">
        <v>53998</v>
      </c>
      <c r="B563" s="13" t="s">
        <v>729</v>
      </c>
    </row>
    <row r="564" spans="1:2" x14ac:dyDescent="0.35">
      <c r="A564" s="10">
        <v>54011</v>
      </c>
      <c r="B564" s="13" t="s">
        <v>730</v>
      </c>
    </row>
    <row r="565" spans="1:2" x14ac:dyDescent="0.35">
      <c r="A565" s="10">
        <v>54051</v>
      </c>
      <c r="B565" s="13" t="s">
        <v>731</v>
      </c>
    </row>
    <row r="566" spans="1:2" x14ac:dyDescent="0.35">
      <c r="A566" s="10">
        <v>54058</v>
      </c>
      <c r="B566" s="13" t="s">
        <v>721</v>
      </c>
    </row>
    <row r="567" spans="1:2" x14ac:dyDescent="0.35">
      <c r="A567" s="10">
        <v>54105</v>
      </c>
      <c r="B567" s="13" t="s">
        <v>722</v>
      </c>
    </row>
    <row r="568" spans="1:2" x14ac:dyDescent="0.35">
      <c r="A568" s="10">
        <v>54106</v>
      </c>
      <c r="B568" s="13" t="s">
        <v>722</v>
      </c>
    </row>
    <row r="569" spans="1:2" x14ac:dyDescent="0.35">
      <c r="A569" s="10">
        <v>54151</v>
      </c>
      <c r="B569" s="13" t="s">
        <v>723</v>
      </c>
    </row>
    <row r="570" spans="1:2" x14ac:dyDescent="0.35">
      <c r="A570" s="10">
        <v>54169</v>
      </c>
      <c r="B570" s="13" t="s">
        <v>724</v>
      </c>
    </row>
    <row r="571" spans="1:2" x14ac:dyDescent="0.35">
      <c r="A571" s="10">
        <v>54179</v>
      </c>
      <c r="B571" s="13" t="s">
        <v>725</v>
      </c>
    </row>
    <row r="572" spans="1:2" x14ac:dyDescent="0.35">
      <c r="A572" s="10">
        <v>54213</v>
      </c>
      <c r="B572" s="13" t="s">
        <v>726</v>
      </c>
    </row>
    <row r="573" spans="1:2" x14ac:dyDescent="0.35">
      <c r="A573" s="10">
        <v>54308</v>
      </c>
      <c r="B573" s="13" t="s">
        <v>727</v>
      </c>
    </row>
    <row r="574" spans="1:2" x14ac:dyDescent="0.35">
      <c r="A574" s="10">
        <v>54343</v>
      </c>
      <c r="B574" s="13" t="s">
        <v>728</v>
      </c>
    </row>
    <row r="575" spans="1:2" x14ac:dyDescent="0.35">
      <c r="A575" s="10">
        <v>54364</v>
      </c>
      <c r="B575" s="13" t="s">
        <v>729</v>
      </c>
    </row>
    <row r="576" spans="1:2" x14ac:dyDescent="0.35">
      <c r="A576" s="10">
        <v>54377</v>
      </c>
      <c r="B576" s="13" t="s">
        <v>730</v>
      </c>
    </row>
    <row r="577" spans="1:2" x14ac:dyDescent="0.35">
      <c r="A577" s="10">
        <v>54417</v>
      </c>
      <c r="B577" s="13" t="s">
        <v>731</v>
      </c>
    </row>
    <row r="578" spans="1:2" x14ac:dyDescent="0.35">
      <c r="A578" s="10">
        <v>54424</v>
      </c>
      <c r="B578" s="13" t="s">
        <v>721</v>
      </c>
    </row>
    <row r="579" spans="1:2" x14ac:dyDescent="0.35">
      <c r="A579" s="10">
        <v>54483</v>
      </c>
      <c r="B579" s="13" t="s">
        <v>722</v>
      </c>
    </row>
    <row r="580" spans="1:2" x14ac:dyDescent="0.35">
      <c r="A580" s="10">
        <v>54484</v>
      </c>
      <c r="B580" s="13" t="s">
        <v>722</v>
      </c>
    </row>
    <row r="581" spans="1:2" x14ac:dyDescent="0.35">
      <c r="A581" s="10">
        <v>54529</v>
      </c>
      <c r="B581" s="13" t="s">
        <v>723</v>
      </c>
    </row>
    <row r="582" spans="1:2" x14ac:dyDescent="0.35">
      <c r="A582" s="10">
        <v>54534</v>
      </c>
      <c r="B582" s="13" t="s">
        <v>724</v>
      </c>
    </row>
    <row r="583" spans="1:2" x14ac:dyDescent="0.35">
      <c r="A583" s="10">
        <v>54544</v>
      </c>
      <c r="B583" s="13" t="s">
        <v>725</v>
      </c>
    </row>
    <row r="584" spans="1:2" x14ac:dyDescent="0.35">
      <c r="A584" s="10">
        <v>54591</v>
      </c>
      <c r="B584" s="13" t="s">
        <v>726</v>
      </c>
    </row>
    <row r="585" spans="1:2" x14ac:dyDescent="0.35">
      <c r="A585" s="10">
        <v>54673</v>
      </c>
      <c r="B585" s="13" t="s">
        <v>727</v>
      </c>
    </row>
    <row r="586" spans="1:2" x14ac:dyDescent="0.35">
      <c r="A586" s="10">
        <v>54708</v>
      </c>
      <c r="B586" s="13" t="s">
        <v>728</v>
      </c>
    </row>
    <row r="587" spans="1:2" x14ac:dyDescent="0.35">
      <c r="A587" s="10">
        <v>54729</v>
      </c>
      <c r="B587" s="13" t="s">
        <v>729</v>
      </c>
    </row>
    <row r="588" spans="1:2" x14ac:dyDescent="0.35">
      <c r="A588" s="10">
        <v>54742</v>
      </c>
      <c r="B588" s="13" t="s">
        <v>730</v>
      </c>
    </row>
    <row r="589" spans="1:2" x14ac:dyDescent="0.35">
      <c r="A589" s="10">
        <v>54782</v>
      </c>
      <c r="B589" s="13" t="s">
        <v>731</v>
      </c>
    </row>
    <row r="590" spans="1:2" x14ac:dyDescent="0.35">
      <c r="A590" s="10">
        <v>54789</v>
      </c>
      <c r="B590" s="13" t="s">
        <v>721</v>
      </c>
    </row>
    <row r="591" spans="1:2" x14ac:dyDescent="0.35">
      <c r="A591" s="10">
        <v>54840</v>
      </c>
      <c r="B591" s="13" t="s">
        <v>722</v>
      </c>
    </row>
    <row r="592" spans="1:2" x14ac:dyDescent="0.35">
      <c r="A592" s="10">
        <v>54841</v>
      </c>
      <c r="B592" s="13" t="s">
        <v>722</v>
      </c>
    </row>
    <row r="593" spans="1:2" x14ac:dyDescent="0.35">
      <c r="A593" s="10">
        <v>54886</v>
      </c>
      <c r="B593" s="13" t="s">
        <v>723</v>
      </c>
    </row>
    <row r="594" spans="1:2" x14ac:dyDescent="0.35">
      <c r="A594" s="10">
        <v>54899</v>
      </c>
      <c r="B594" s="13" t="s">
        <v>724</v>
      </c>
    </row>
    <row r="595" spans="1:2" x14ac:dyDescent="0.35">
      <c r="A595" s="10">
        <v>54909</v>
      </c>
      <c r="B595" s="13" t="s">
        <v>725</v>
      </c>
    </row>
    <row r="596" spans="1:2" x14ac:dyDescent="0.35">
      <c r="A596" s="10">
        <v>54948</v>
      </c>
      <c r="B596" s="13" t="s">
        <v>726</v>
      </c>
    </row>
    <row r="597" spans="1:2" x14ac:dyDescent="0.35">
      <c r="A597" s="10">
        <v>55038</v>
      </c>
      <c r="B597" s="13" t="s">
        <v>727</v>
      </c>
    </row>
    <row r="598" spans="1:2" x14ac:dyDescent="0.35">
      <c r="A598" s="10">
        <v>55073</v>
      </c>
      <c r="B598" s="13" t="s">
        <v>728</v>
      </c>
    </row>
    <row r="599" spans="1:2" x14ac:dyDescent="0.35">
      <c r="A599" s="10">
        <v>55094</v>
      </c>
      <c r="B599" s="13" t="s">
        <v>729</v>
      </c>
    </row>
    <row r="600" spans="1:2" x14ac:dyDescent="0.35">
      <c r="A600" s="10">
        <v>55107</v>
      </c>
      <c r="B600" s="13" t="s">
        <v>730</v>
      </c>
    </row>
    <row r="601" spans="1:2" x14ac:dyDescent="0.35">
      <c r="A601" s="10">
        <v>55147</v>
      </c>
      <c r="B601" s="13" t="s">
        <v>731</v>
      </c>
    </row>
    <row r="602" spans="1:2" x14ac:dyDescent="0.35">
      <c r="A602" s="10">
        <v>55154</v>
      </c>
      <c r="B602" s="13" t="s">
        <v>721</v>
      </c>
    </row>
    <row r="603" spans="1:2" x14ac:dyDescent="0.35">
      <c r="A603" s="10">
        <v>55197</v>
      </c>
      <c r="B603" s="13" t="s">
        <v>722</v>
      </c>
    </row>
    <row r="604" spans="1:2" x14ac:dyDescent="0.35">
      <c r="A604" s="10">
        <v>55198</v>
      </c>
      <c r="B604" s="13" t="s">
        <v>722</v>
      </c>
    </row>
    <row r="605" spans="1:2" x14ac:dyDescent="0.35">
      <c r="A605" s="10">
        <v>55243</v>
      </c>
      <c r="B605" s="13" t="s">
        <v>723</v>
      </c>
    </row>
    <row r="606" spans="1:2" x14ac:dyDescent="0.35">
      <c r="A606" s="10">
        <v>55264</v>
      </c>
      <c r="B606" s="13" t="s">
        <v>724</v>
      </c>
    </row>
    <row r="607" spans="1:2" x14ac:dyDescent="0.35">
      <c r="A607" s="10">
        <v>55274</v>
      </c>
      <c r="B607" s="13" t="s">
        <v>725</v>
      </c>
    </row>
    <row r="608" spans="1:2" x14ac:dyDescent="0.35">
      <c r="A608" s="10">
        <v>55305</v>
      </c>
      <c r="B608" s="13" t="s">
        <v>726</v>
      </c>
    </row>
    <row r="609" spans="1:2" x14ac:dyDescent="0.35">
      <c r="A609" s="10">
        <v>55403</v>
      </c>
      <c r="B609" s="13" t="s">
        <v>727</v>
      </c>
    </row>
    <row r="610" spans="1:2" x14ac:dyDescent="0.35">
      <c r="A610" s="10">
        <v>55438</v>
      </c>
      <c r="B610" s="13" t="s">
        <v>728</v>
      </c>
    </row>
    <row r="611" spans="1:2" x14ac:dyDescent="0.35">
      <c r="A611" s="10">
        <v>55459</v>
      </c>
      <c r="B611" s="13" t="s">
        <v>729</v>
      </c>
    </row>
    <row r="612" spans="1:2" x14ac:dyDescent="0.35">
      <c r="A612" s="10">
        <v>55472</v>
      </c>
      <c r="B612" s="13" t="s">
        <v>730</v>
      </c>
    </row>
    <row r="613" spans="1:2" x14ac:dyDescent="0.35">
      <c r="A613" s="10">
        <v>55512</v>
      </c>
      <c r="B613" s="13" t="s">
        <v>731</v>
      </c>
    </row>
    <row r="614" spans="1:2" x14ac:dyDescent="0.35">
      <c r="A614" s="10">
        <v>55519</v>
      </c>
      <c r="B614" s="13" t="s">
        <v>721</v>
      </c>
    </row>
    <row r="615" spans="1:2" x14ac:dyDescent="0.35">
      <c r="A615" s="10">
        <v>55582</v>
      </c>
      <c r="B615" s="13" t="s">
        <v>722</v>
      </c>
    </row>
    <row r="616" spans="1:2" x14ac:dyDescent="0.35">
      <c r="A616" s="10">
        <v>55583</v>
      </c>
      <c r="B616" s="13" t="s">
        <v>722</v>
      </c>
    </row>
    <row r="617" spans="1:2" x14ac:dyDescent="0.35">
      <c r="A617" s="10">
        <v>55628</v>
      </c>
      <c r="B617" s="13" t="s">
        <v>723</v>
      </c>
    </row>
    <row r="618" spans="1:2" x14ac:dyDescent="0.35">
      <c r="A618" s="10">
        <v>55630</v>
      </c>
      <c r="B618" s="13" t="s">
        <v>724</v>
      </c>
    </row>
    <row r="619" spans="1:2" x14ac:dyDescent="0.35">
      <c r="A619" s="10">
        <v>55640</v>
      </c>
      <c r="B619" s="13" t="s">
        <v>725</v>
      </c>
    </row>
    <row r="620" spans="1:2" x14ac:dyDescent="0.35">
      <c r="A620" s="10">
        <v>55690</v>
      </c>
      <c r="B620" s="13" t="s">
        <v>726</v>
      </c>
    </row>
    <row r="621" spans="1:2" x14ac:dyDescent="0.35">
      <c r="A621" s="10">
        <v>55769</v>
      </c>
      <c r="B621" s="13" t="s">
        <v>727</v>
      </c>
    </row>
    <row r="622" spans="1:2" x14ac:dyDescent="0.35">
      <c r="A622" s="10">
        <v>55804</v>
      </c>
      <c r="B622" s="13" t="s">
        <v>728</v>
      </c>
    </row>
    <row r="623" spans="1:2" x14ac:dyDescent="0.35">
      <c r="A623" s="10">
        <v>55825</v>
      </c>
      <c r="B623" s="13" t="s">
        <v>729</v>
      </c>
    </row>
    <row r="624" spans="1:2" x14ac:dyDescent="0.35">
      <c r="A624" s="10">
        <v>55838</v>
      </c>
      <c r="B624" s="13" t="s">
        <v>730</v>
      </c>
    </row>
    <row r="625" spans="1:2" x14ac:dyDescent="0.35">
      <c r="A625" s="10">
        <v>55878</v>
      </c>
      <c r="B625" s="13" t="s">
        <v>731</v>
      </c>
    </row>
    <row r="626" spans="1:2" x14ac:dyDescent="0.35">
      <c r="A626" s="10">
        <v>55885</v>
      </c>
      <c r="B626" s="13" t="s">
        <v>721</v>
      </c>
    </row>
    <row r="627" spans="1:2" x14ac:dyDescent="0.35">
      <c r="A627" s="10">
        <v>55932</v>
      </c>
      <c r="B627" s="13" t="s">
        <v>722</v>
      </c>
    </row>
    <row r="628" spans="1:2" x14ac:dyDescent="0.35">
      <c r="A628" s="10">
        <v>55933</v>
      </c>
      <c r="B628" s="13" t="s">
        <v>722</v>
      </c>
    </row>
    <row r="629" spans="1:2" x14ac:dyDescent="0.35">
      <c r="A629" s="10">
        <v>55978</v>
      </c>
      <c r="B629" s="13" t="s">
        <v>723</v>
      </c>
    </row>
    <row r="630" spans="1:2" x14ac:dyDescent="0.35">
      <c r="A630" s="10">
        <v>55995</v>
      </c>
      <c r="B630" s="13" t="s">
        <v>724</v>
      </c>
    </row>
    <row r="631" spans="1:2" x14ac:dyDescent="0.35">
      <c r="A631" s="10">
        <v>56005</v>
      </c>
      <c r="B631" s="13" t="s">
        <v>725</v>
      </c>
    </row>
    <row r="632" spans="1:2" x14ac:dyDescent="0.35">
      <c r="A632" s="10">
        <v>56040</v>
      </c>
      <c r="B632" s="13" t="s">
        <v>726</v>
      </c>
    </row>
    <row r="633" spans="1:2" x14ac:dyDescent="0.35">
      <c r="A633" s="10">
        <v>56134</v>
      </c>
      <c r="B633" s="13" t="s">
        <v>727</v>
      </c>
    </row>
    <row r="634" spans="1:2" x14ac:dyDescent="0.35">
      <c r="A634" s="10">
        <v>56169</v>
      </c>
      <c r="B634" s="13" t="s">
        <v>728</v>
      </c>
    </row>
    <row r="635" spans="1:2" x14ac:dyDescent="0.35">
      <c r="A635" s="10">
        <v>56190</v>
      </c>
      <c r="B635" s="13" t="s">
        <v>729</v>
      </c>
    </row>
    <row r="636" spans="1:2" x14ac:dyDescent="0.35">
      <c r="A636" s="10">
        <v>56203</v>
      </c>
      <c r="B636" s="13" t="s">
        <v>730</v>
      </c>
    </row>
    <row r="637" spans="1:2" x14ac:dyDescent="0.35">
      <c r="A637" s="10">
        <v>56243</v>
      </c>
      <c r="B637" s="13" t="s">
        <v>731</v>
      </c>
    </row>
    <row r="638" spans="1:2" x14ac:dyDescent="0.35">
      <c r="A638" s="10">
        <v>56250</v>
      </c>
      <c r="B638" s="13" t="s">
        <v>721</v>
      </c>
    </row>
    <row r="639" spans="1:2" x14ac:dyDescent="0.35">
      <c r="A639" s="10">
        <v>56289</v>
      </c>
      <c r="B639" s="13" t="s">
        <v>722</v>
      </c>
    </row>
    <row r="640" spans="1:2" x14ac:dyDescent="0.35">
      <c r="A640" s="10">
        <v>56290</v>
      </c>
      <c r="B640" s="13" t="s">
        <v>722</v>
      </c>
    </row>
    <row r="641" spans="1:2" x14ac:dyDescent="0.35">
      <c r="A641" s="10">
        <v>56335</v>
      </c>
      <c r="B641" s="13" t="s">
        <v>723</v>
      </c>
    </row>
    <row r="642" spans="1:2" x14ac:dyDescent="0.35">
      <c r="A642" s="10">
        <v>56360</v>
      </c>
      <c r="B642" s="13" t="s">
        <v>724</v>
      </c>
    </row>
    <row r="643" spans="1:2" x14ac:dyDescent="0.35">
      <c r="A643" s="10">
        <v>56370</v>
      </c>
      <c r="B643" s="13" t="s">
        <v>725</v>
      </c>
    </row>
    <row r="644" spans="1:2" x14ac:dyDescent="0.35">
      <c r="A644" s="10">
        <v>56397</v>
      </c>
      <c r="B644" s="13" t="s">
        <v>726</v>
      </c>
    </row>
    <row r="645" spans="1:2" x14ac:dyDescent="0.35">
      <c r="A645" s="10">
        <v>56499</v>
      </c>
      <c r="B645" s="13" t="s">
        <v>727</v>
      </c>
    </row>
    <row r="646" spans="1:2" x14ac:dyDescent="0.35">
      <c r="A646" s="10">
        <v>56534</v>
      </c>
      <c r="B646" s="13" t="s">
        <v>728</v>
      </c>
    </row>
    <row r="647" spans="1:2" x14ac:dyDescent="0.35">
      <c r="A647" s="10">
        <v>56555</v>
      </c>
      <c r="B647" s="13" t="s">
        <v>729</v>
      </c>
    </row>
    <row r="648" spans="1:2" x14ac:dyDescent="0.35">
      <c r="A648" s="10">
        <v>56568</v>
      </c>
      <c r="B648" s="13" t="s">
        <v>730</v>
      </c>
    </row>
    <row r="649" spans="1:2" x14ac:dyDescent="0.35">
      <c r="A649" s="10">
        <v>56608</v>
      </c>
      <c r="B649" s="13" t="s">
        <v>731</v>
      </c>
    </row>
    <row r="650" spans="1:2" x14ac:dyDescent="0.35">
      <c r="A650" s="10">
        <v>56615</v>
      </c>
      <c r="B650" s="13" t="s">
        <v>721</v>
      </c>
    </row>
    <row r="651" spans="1:2" x14ac:dyDescent="0.35">
      <c r="A651" s="10">
        <v>56674</v>
      </c>
      <c r="B651" s="13" t="s">
        <v>722</v>
      </c>
    </row>
    <row r="652" spans="1:2" x14ac:dyDescent="0.35">
      <c r="A652" s="10">
        <v>56675</v>
      </c>
      <c r="B652" s="13" t="s">
        <v>722</v>
      </c>
    </row>
    <row r="653" spans="1:2" x14ac:dyDescent="0.35">
      <c r="A653" s="10">
        <v>56720</v>
      </c>
      <c r="B653" s="13" t="s">
        <v>723</v>
      </c>
    </row>
    <row r="654" spans="1:2" x14ac:dyDescent="0.35">
      <c r="A654" s="10">
        <v>56725</v>
      </c>
      <c r="B654" s="13" t="s">
        <v>724</v>
      </c>
    </row>
    <row r="655" spans="1:2" x14ac:dyDescent="0.35">
      <c r="A655" s="10">
        <v>56735</v>
      </c>
      <c r="B655" s="13" t="s">
        <v>725</v>
      </c>
    </row>
    <row r="656" spans="1:2" x14ac:dyDescent="0.35">
      <c r="A656" s="10">
        <v>56782</v>
      </c>
      <c r="B656" s="13" t="s">
        <v>726</v>
      </c>
    </row>
    <row r="657" spans="1:2" x14ac:dyDescent="0.35">
      <c r="A657" s="10">
        <v>56864</v>
      </c>
      <c r="B657" s="13" t="s">
        <v>727</v>
      </c>
    </row>
    <row r="658" spans="1:2" x14ac:dyDescent="0.35">
      <c r="A658" s="10">
        <v>56899</v>
      </c>
      <c r="B658" s="13" t="s">
        <v>728</v>
      </c>
    </row>
    <row r="659" spans="1:2" x14ac:dyDescent="0.35">
      <c r="A659" s="10">
        <v>56920</v>
      </c>
      <c r="B659" s="13" t="s">
        <v>729</v>
      </c>
    </row>
    <row r="660" spans="1:2" x14ac:dyDescent="0.35">
      <c r="A660" s="10">
        <v>56933</v>
      </c>
      <c r="B660" s="13" t="s">
        <v>730</v>
      </c>
    </row>
    <row r="661" spans="1:2" x14ac:dyDescent="0.35">
      <c r="A661" s="10">
        <v>56973</v>
      </c>
      <c r="B661" s="13" t="s">
        <v>731</v>
      </c>
    </row>
    <row r="662" spans="1:2" x14ac:dyDescent="0.35">
      <c r="A662" s="10">
        <v>56980</v>
      </c>
      <c r="B662" s="13" t="s">
        <v>721</v>
      </c>
    </row>
    <row r="663" spans="1:2" x14ac:dyDescent="0.35">
      <c r="A663" s="10">
        <v>57024</v>
      </c>
      <c r="B663" s="13" t="s">
        <v>722</v>
      </c>
    </row>
    <row r="664" spans="1:2" x14ac:dyDescent="0.35">
      <c r="A664" s="10">
        <v>57025</v>
      </c>
      <c r="B664" s="13" t="s">
        <v>722</v>
      </c>
    </row>
    <row r="665" spans="1:2" x14ac:dyDescent="0.35">
      <c r="A665" s="10">
        <v>57070</v>
      </c>
      <c r="B665" s="13" t="s">
        <v>723</v>
      </c>
    </row>
    <row r="666" spans="1:2" x14ac:dyDescent="0.35">
      <c r="A666" s="10">
        <v>57091</v>
      </c>
      <c r="B666" s="13" t="s">
        <v>724</v>
      </c>
    </row>
    <row r="667" spans="1:2" x14ac:dyDescent="0.35">
      <c r="A667" s="10">
        <v>57101</v>
      </c>
      <c r="B667" s="13" t="s">
        <v>725</v>
      </c>
    </row>
    <row r="668" spans="1:2" x14ac:dyDescent="0.35">
      <c r="A668" s="10">
        <v>57132</v>
      </c>
      <c r="B668" s="13" t="s">
        <v>726</v>
      </c>
    </row>
    <row r="669" spans="1:2" x14ac:dyDescent="0.35">
      <c r="A669" s="10">
        <v>57230</v>
      </c>
      <c r="B669" s="13" t="s">
        <v>727</v>
      </c>
    </row>
    <row r="670" spans="1:2" x14ac:dyDescent="0.35">
      <c r="A670" s="10">
        <v>57265</v>
      </c>
      <c r="B670" s="13" t="s">
        <v>728</v>
      </c>
    </row>
    <row r="671" spans="1:2" x14ac:dyDescent="0.35">
      <c r="A671" s="10">
        <v>57286</v>
      </c>
      <c r="B671" s="13" t="s">
        <v>729</v>
      </c>
    </row>
    <row r="672" spans="1:2" x14ac:dyDescent="0.35">
      <c r="A672" s="10">
        <v>57299</v>
      </c>
      <c r="B672" s="13" t="s">
        <v>730</v>
      </c>
    </row>
    <row r="673" spans="1:2" x14ac:dyDescent="0.35">
      <c r="A673" s="10">
        <v>57339</v>
      </c>
      <c r="B673" s="13" t="s">
        <v>731</v>
      </c>
    </row>
    <row r="674" spans="1:2" x14ac:dyDescent="0.35">
      <c r="A674" s="10">
        <v>57346</v>
      </c>
      <c r="B674" s="13" t="s">
        <v>721</v>
      </c>
    </row>
    <row r="675" spans="1:2" x14ac:dyDescent="0.35">
      <c r="A675" s="10">
        <v>57409</v>
      </c>
      <c r="B675" s="13" t="s">
        <v>722</v>
      </c>
    </row>
    <row r="676" spans="1:2" x14ac:dyDescent="0.35">
      <c r="A676" s="10">
        <v>57410</v>
      </c>
      <c r="B676" s="13" t="s">
        <v>722</v>
      </c>
    </row>
    <row r="677" spans="1:2" x14ac:dyDescent="0.35">
      <c r="A677" s="10">
        <v>57455</v>
      </c>
      <c r="B677" s="13" t="s">
        <v>723</v>
      </c>
    </row>
    <row r="678" spans="1:2" x14ac:dyDescent="0.35">
      <c r="A678" s="10">
        <v>57456</v>
      </c>
      <c r="B678" s="13" t="s">
        <v>724</v>
      </c>
    </row>
    <row r="679" spans="1:2" x14ac:dyDescent="0.35">
      <c r="A679" s="10">
        <v>57466</v>
      </c>
      <c r="B679" s="13" t="s">
        <v>725</v>
      </c>
    </row>
    <row r="680" spans="1:2" x14ac:dyDescent="0.35">
      <c r="A680" s="10">
        <v>57517</v>
      </c>
      <c r="B680" s="13" t="s">
        <v>726</v>
      </c>
    </row>
    <row r="681" spans="1:2" x14ac:dyDescent="0.35">
      <c r="A681" s="10">
        <v>57595</v>
      </c>
      <c r="B681" s="13" t="s">
        <v>727</v>
      </c>
    </row>
    <row r="682" spans="1:2" x14ac:dyDescent="0.35">
      <c r="A682" s="10">
        <v>57630</v>
      </c>
      <c r="B682" s="13" t="s">
        <v>728</v>
      </c>
    </row>
    <row r="683" spans="1:2" x14ac:dyDescent="0.35">
      <c r="A683" s="10">
        <v>57651</v>
      </c>
      <c r="B683" s="13" t="s">
        <v>729</v>
      </c>
    </row>
    <row r="684" spans="1:2" x14ac:dyDescent="0.35">
      <c r="A684" s="10">
        <v>57664</v>
      </c>
      <c r="B684" s="13" t="s">
        <v>730</v>
      </c>
    </row>
    <row r="685" spans="1:2" x14ac:dyDescent="0.35">
      <c r="A685" s="10">
        <v>57704</v>
      </c>
      <c r="B685" s="13" t="s">
        <v>731</v>
      </c>
    </row>
    <row r="686" spans="1:2" x14ac:dyDescent="0.35">
      <c r="A686" s="10">
        <v>57711</v>
      </c>
      <c r="B686" s="13" t="s">
        <v>721</v>
      </c>
    </row>
    <row r="687" spans="1:2" x14ac:dyDescent="0.35">
      <c r="A687" s="10">
        <v>57766</v>
      </c>
      <c r="B687" s="13" t="s">
        <v>722</v>
      </c>
    </row>
    <row r="688" spans="1:2" x14ac:dyDescent="0.35">
      <c r="A688" s="10">
        <v>57767</v>
      </c>
      <c r="B688" s="13" t="s">
        <v>722</v>
      </c>
    </row>
    <row r="689" spans="1:2" x14ac:dyDescent="0.35">
      <c r="A689" s="10">
        <v>57812</v>
      </c>
      <c r="B689" s="13" t="s">
        <v>723</v>
      </c>
    </row>
    <row r="690" spans="1:2" x14ac:dyDescent="0.35">
      <c r="A690" s="10">
        <v>57821</v>
      </c>
      <c r="B690" s="13" t="s">
        <v>724</v>
      </c>
    </row>
    <row r="691" spans="1:2" x14ac:dyDescent="0.35">
      <c r="A691" s="10">
        <v>57831</v>
      </c>
      <c r="B691" s="13" t="s">
        <v>725</v>
      </c>
    </row>
    <row r="692" spans="1:2" x14ac:dyDescent="0.35">
      <c r="A692" s="10">
        <v>57874</v>
      </c>
      <c r="B692" s="13" t="s">
        <v>726</v>
      </c>
    </row>
    <row r="693" spans="1:2" x14ac:dyDescent="0.35">
      <c r="A693" s="10">
        <v>57960</v>
      </c>
      <c r="B693" s="13" t="s">
        <v>727</v>
      </c>
    </row>
    <row r="694" spans="1:2" x14ac:dyDescent="0.35">
      <c r="A694" s="10">
        <v>57995</v>
      </c>
      <c r="B694" s="13" t="s">
        <v>728</v>
      </c>
    </row>
    <row r="695" spans="1:2" x14ac:dyDescent="0.35">
      <c r="A695" s="10">
        <v>58016</v>
      </c>
      <c r="B695" s="13" t="s">
        <v>729</v>
      </c>
    </row>
    <row r="696" spans="1:2" x14ac:dyDescent="0.35">
      <c r="A696" s="10">
        <v>58029</v>
      </c>
      <c r="B696" s="13" t="s">
        <v>730</v>
      </c>
    </row>
    <row r="697" spans="1:2" x14ac:dyDescent="0.35">
      <c r="A697" s="10">
        <v>58069</v>
      </c>
      <c r="B697" s="13" t="s">
        <v>731</v>
      </c>
    </row>
    <row r="698" spans="1:2" x14ac:dyDescent="0.35">
      <c r="A698" s="10">
        <v>58076</v>
      </c>
      <c r="B698" s="13" t="s">
        <v>721</v>
      </c>
    </row>
    <row r="699" spans="1:2" x14ac:dyDescent="0.35">
      <c r="A699" s="10">
        <v>58116</v>
      </c>
      <c r="B699" s="13" t="s">
        <v>722</v>
      </c>
    </row>
    <row r="700" spans="1:2" x14ac:dyDescent="0.35">
      <c r="A700" s="10">
        <v>58117</v>
      </c>
      <c r="B700" s="13" t="s">
        <v>722</v>
      </c>
    </row>
    <row r="701" spans="1:2" x14ac:dyDescent="0.35">
      <c r="A701" s="10">
        <v>58162</v>
      </c>
      <c r="B701" s="13" t="s">
        <v>723</v>
      </c>
    </row>
    <row r="702" spans="1:2" x14ac:dyDescent="0.35">
      <c r="A702" s="10">
        <v>58186</v>
      </c>
      <c r="B702" s="13" t="s">
        <v>724</v>
      </c>
    </row>
    <row r="703" spans="1:2" x14ac:dyDescent="0.35">
      <c r="A703" s="10">
        <v>58196</v>
      </c>
      <c r="B703" s="13" t="s">
        <v>725</v>
      </c>
    </row>
    <row r="704" spans="1:2" x14ac:dyDescent="0.35">
      <c r="A704" s="10">
        <v>58224</v>
      </c>
      <c r="B704" s="13" t="s">
        <v>726</v>
      </c>
    </row>
    <row r="705" spans="1:2" x14ac:dyDescent="0.35">
      <c r="A705" s="10">
        <v>58325</v>
      </c>
      <c r="B705" s="13" t="s">
        <v>727</v>
      </c>
    </row>
    <row r="706" spans="1:2" x14ac:dyDescent="0.35">
      <c r="A706" s="10">
        <v>58360</v>
      </c>
      <c r="B706" s="13" t="s">
        <v>728</v>
      </c>
    </row>
    <row r="707" spans="1:2" x14ac:dyDescent="0.35">
      <c r="A707" s="10">
        <v>58381</v>
      </c>
      <c r="B707" s="13" t="s">
        <v>729</v>
      </c>
    </row>
    <row r="708" spans="1:2" x14ac:dyDescent="0.35">
      <c r="A708" s="10">
        <v>58394</v>
      </c>
      <c r="B708" s="13" t="s">
        <v>730</v>
      </c>
    </row>
    <row r="709" spans="1:2" x14ac:dyDescent="0.35">
      <c r="A709" s="10">
        <v>58434</v>
      </c>
      <c r="B709" s="13" t="s">
        <v>731</v>
      </c>
    </row>
    <row r="710" spans="1:2" x14ac:dyDescent="0.35">
      <c r="A710" s="10">
        <v>58441</v>
      </c>
      <c r="B710" s="13" t="s">
        <v>721</v>
      </c>
    </row>
    <row r="711" spans="1:2" x14ac:dyDescent="0.35">
      <c r="A711" s="10">
        <v>58501</v>
      </c>
      <c r="B711" s="13" t="s">
        <v>722</v>
      </c>
    </row>
    <row r="712" spans="1:2" x14ac:dyDescent="0.35">
      <c r="A712" s="10">
        <v>58502</v>
      </c>
      <c r="B712" s="13" t="s">
        <v>722</v>
      </c>
    </row>
    <row r="713" spans="1:2" x14ac:dyDescent="0.35">
      <c r="A713" s="10">
        <v>58547</v>
      </c>
      <c r="B713" s="13" t="s">
        <v>723</v>
      </c>
    </row>
    <row r="714" spans="1:2" x14ac:dyDescent="0.35">
      <c r="A714" s="10">
        <v>58552</v>
      </c>
      <c r="B714" s="13" t="s">
        <v>724</v>
      </c>
    </row>
    <row r="715" spans="1:2" x14ac:dyDescent="0.35">
      <c r="A715" s="10">
        <v>58562</v>
      </c>
      <c r="B715" s="13" t="s">
        <v>725</v>
      </c>
    </row>
    <row r="716" spans="1:2" x14ac:dyDescent="0.35">
      <c r="A716" s="10">
        <v>58609</v>
      </c>
      <c r="B716" s="13" t="s">
        <v>726</v>
      </c>
    </row>
    <row r="717" spans="1:2" x14ac:dyDescent="0.35">
      <c r="A717" s="10">
        <v>58691</v>
      </c>
      <c r="B717" s="13" t="s">
        <v>727</v>
      </c>
    </row>
    <row r="718" spans="1:2" x14ac:dyDescent="0.35">
      <c r="A718" s="10">
        <v>58726</v>
      </c>
      <c r="B718" s="13" t="s">
        <v>728</v>
      </c>
    </row>
    <row r="719" spans="1:2" x14ac:dyDescent="0.35">
      <c r="A719" s="10">
        <v>58747</v>
      </c>
      <c r="B719" s="13" t="s">
        <v>729</v>
      </c>
    </row>
    <row r="720" spans="1:2" x14ac:dyDescent="0.35">
      <c r="A720" s="10">
        <v>58760</v>
      </c>
      <c r="B720" s="13" t="s">
        <v>730</v>
      </c>
    </row>
    <row r="721" spans="1:2" x14ac:dyDescent="0.35">
      <c r="A721" s="10">
        <v>58800</v>
      </c>
      <c r="B721" s="13" t="s">
        <v>731</v>
      </c>
    </row>
    <row r="722" spans="1:2" x14ac:dyDescent="0.35">
      <c r="A722" s="10">
        <v>58807</v>
      </c>
      <c r="B722" s="13" t="s">
        <v>721</v>
      </c>
    </row>
    <row r="723" spans="1:2" x14ac:dyDescent="0.35">
      <c r="A723" s="10">
        <v>58858</v>
      </c>
      <c r="B723" s="13" t="s">
        <v>722</v>
      </c>
    </row>
    <row r="724" spans="1:2" x14ac:dyDescent="0.35">
      <c r="A724" s="10">
        <v>58859</v>
      </c>
      <c r="B724" s="13" t="s">
        <v>722</v>
      </c>
    </row>
    <row r="725" spans="1:2" x14ac:dyDescent="0.35">
      <c r="A725" s="10">
        <v>58904</v>
      </c>
      <c r="B725" s="13" t="s">
        <v>723</v>
      </c>
    </row>
    <row r="726" spans="1:2" x14ac:dyDescent="0.35">
      <c r="A726" s="10">
        <v>58917</v>
      </c>
      <c r="B726" s="13" t="s">
        <v>724</v>
      </c>
    </row>
    <row r="727" spans="1:2" x14ac:dyDescent="0.35">
      <c r="A727" s="10">
        <v>58927</v>
      </c>
      <c r="B727" s="13" t="s">
        <v>725</v>
      </c>
    </row>
    <row r="728" spans="1:2" x14ac:dyDescent="0.35">
      <c r="A728" s="10">
        <v>58966</v>
      </c>
      <c r="B728" s="13" t="s">
        <v>726</v>
      </c>
    </row>
    <row r="729" spans="1:2" x14ac:dyDescent="0.35">
      <c r="A729" s="10">
        <v>59056</v>
      </c>
      <c r="B729" s="13" t="s">
        <v>727</v>
      </c>
    </row>
    <row r="730" spans="1:2" x14ac:dyDescent="0.35">
      <c r="A730" s="10">
        <v>59091</v>
      </c>
      <c r="B730" s="13" t="s">
        <v>728</v>
      </c>
    </row>
    <row r="731" spans="1:2" x14ac:dyDescent="0.35">
      <c r="A731" s="10">
        <v>59112</v>
      </c>
      <c r="B731" s="13" t="s">
        <v>729</v>
      </c>
    </row>
    <row r="732" spans="1:2" x14ac:dyDescent="0.35">
      <c r="A732" s="10">
        <v>59125</v>
      </c>
      <c r="B732" s="13" t="s">
        <v>730</v>
      </c>
    </row>
    <row r="733" spans="1:2" x14ac:dyDescent="0.35">
      <c r="A733" s="10">
        <v>59165</v>
      </c>
      <c r="B733" s="13" t="s">
        <v>731</v>
      </c>
    </row>
    <row r="734" spans="1:2" x14ac:dyDescent="0.35">
      <c r="A734" s="10">
        <v>59172</v>
      </c>
      <c r="B734" s="13" t="s">
        <v>721</v>
      </c>
    </row>
    <row r="735" spans="1:2" x14ac:dyDescent="0.35">
      <c r="A735" s="10">
        <v>59208</v>
      </c>
      <c r="B735" s="13" t="s">
        <v>722</v>
      </c>
    </row>
    <row r="736" spans="1:2" x14ac:dyDescent="0.35">
      <c r="A736" s="10">
        <v>59209</v>
      </c>
      <c r="B736" s="13" t="s">
        <v>722</v>
      </c>
    </row>
    <row r="737" spans="1:2" x14ac:dyDescent="0.35">
      <c r="A737" s="10">
        <v>59254</v>
      </c>
      <c r="B737" s="13" t="s">
        <v>723</v>
      </c>
    </row>
    <row r="738" spans="1:2" x14ac:dyDescent="0.35">
      <c r="A738" s="10">
        <v>59282</v>
      </c>
      <c r="B738" s="13" t="s">
        <v>724</v>
      </c>
    </row>
    <row r="739" spans="1:2" x14ac:dyDescent="0.35">
      <c r="A739" s="10">
        <v>59292</v>
      </c>
      <c r="B739" s="13" t="s">
        <v>725</v>
      </c>
    </row>
    <row r="740" spans="1:2" x14ac:dyDescent="0.35">
      <c r="A740" s="10">
        <v>59316</v>
      </c>
      <c r="B740" s="13" t="s">
        <v>726</v>
      </c>
    </row>
    <row r="741" spans="1:2" x14ac:dyDescent="0.35">
      <c r="A741" s="10">
        <v>59421</v>
      </c>
      <c r="B741" s="13" t="s">
        <v>727</v>
      </c>
    </row>
    <row r="742" spans="1:2" x14ac:dyDescent="0.35">
      <c r="A742" s="10">
        <v>59456</v>
      </c>
      <c r="B742" s="13" t="s">
        <v>728</v>
      </c>
    </row>
    <row r="743" spans="1:2" x14ac:dyDescent="0.35">
      <c r="A743" s="10">
        <v>59477</v>
      </c>
      <c r="B743" s="13" t="s">
        <v>729</v>
      </c>
    </row>
    <row r="744" spans="1:2" x14ac:dyDescent="0.35">
      <c r="A744" s="10">
        <v>59490</v>
      </c>
      <c r="B744" s="13" t="s">
        <v>730</v>
      </c>
    </row>
    <row r="745" spans="1:2" x14ac:dyDescent="0.35">
      <c r="A745" s="10">
        <v>59530</v>
      </c>
      <c r="B745" s="13" t="s">
        <v>731</v>
      </c>
    </row>
    <row r="746" spans="1:2" x14ac:dyDescent="0.35">
      <c r="A746" s="10">
        <v>59537</v>
      </c>
      <c r="B746" s="13" t="s">
        <v>721</v>
      </c>
    </row>
    <row r="747" spans="1:2" x14ac:dyDescent="0.35">
      <c r="A747" s="10">
        <v>59593</v>
      </c>
      <c r="B747" s="13" t="s">
        <v>722</v>
      </c>
    </row>
    <row r="748" spans="1:2" x14ac:dyDescent="0.35">
      <c r="A748" s="10">
        <v>59594</v>
      </c>
      <c r="B748" s="13" t="s">
        <v>722</v>
      </c>
    </row>
    <row r="749" spans="1:2" x14ac:dyDescent="0.35">
      <c r="A749" s="10">
        <v>59639</v>
      </c>
      <c r="B749" s="13" t="s">
        <v>723</v>
      </c>
    </row>
    <row r="750" spans="1:2" x14ac:dyDescent="0.35">
      <c r="A750" s="10">
        <v>59647</v>
      </c>
      <c r="B750" s="13" t="s">
        <v>724</v>
      </c>
    </row>
    <row r="751" spans="1:2" x14ac:dyDescent="0.35">
      <c r="A751" s="10">
        <v>59657</v>
      </c>
      <c r="B751" s="13" t="s">
        <v>725</v>
      </c>
    </row>
    <row r="752" spans="1:2" x14ac:dyDescent="0.35">
      <c r="A752" s="10">
        <v>59701</v>
      </c>
      <c r="B752" s="13" t="s">
        <v>726</v>
      </c>
    </row>
    <row r="753" spans="1:2" x14ac:dyDescent="0.35">
      <c r="A753" s="10">
        <v>59786</v>
      </c>
      <c r="B753" s="13" t="s">
        <v>727</v>
      </c>
    </row>
    <row r="754" spans="1:2" x14ac:dyDescent="0.35">
      <c r="A754" s="10">
        <v>59821</v>
      </c>
      <c r="B754" s="13" t="s">
        <v>728</v>
      </c>
    </row>
    <row r="755" spans="1:2" x14ac:dyDescent="0.35">
      <c r="A755" s="10">
        <v>59842</v>
      </c>
      <c r="B755" s="13" t="s">
        <v>729</v>
      </c>
    </row>
    <row r="756" spans="1:2" x14ac:dyDescent="0.35">
      <c r="A756" s="10">
        <v>59855</v>
      </c>
      <c r="B756" s="13" t="s">
        <v>730</v>
      </c>
    </row>
    <row r="757" spans="1:2" x14ac:dyDescent="0.35">
      <c r="A757" s="10">
        <v>59895</v>
      </c>
      <c r="B757" s="13" t="s">
        <v>731</v>
      </c>
    </row>
    <row r="758" spans="1:2" x14ac:dyDescent="0.35">
      <c r="A758" s="10">
        <v>59902</v>
      </c>
      <c r="B758" s="13" t="s">
        <v>721</v>
      </c>
    </row>
    <row r="759" spans="1:2" x14ac:dyDescent="0.35">
      <c r="A759" s="10">
        <v>59950</v>
      </c>
      <c r="B759" s="13" t="s">
        <v>722</v>
      </c>
    </row>
    <row r="760" spans="1:2" x14ac:dyDescent="0.35">
      <c r="A760" s="10">
        <v>59951</v>
      </c>
      <c r="B760" s="13" t="s">
        <v>722</v>
      </c>
    </row>
    <row r="761" spans="1:2" x14ac:dyDescent="0.35">
      <c r="A761" s="10">
        <v>59996</v>
      </c>
      <c r="B761" s="13" t="s">
        <v>723</v>
      </c>
    </row>
    <row r="762" spans="1:2" x14ac:dyDescent="0.35">
      <c r="A762" s="10">
        <v>60013</v>
      </c>
      <c r="B762" s="13" t="s">
        <v>724</v>
      </c>
    </row>
    <row r="763" spans="1:2" x14ac:dyDescent="0.35">
      <c r="A763" s="10">
        <v>60023</v>
      </c>
      <c r="B763" s="13" t="s">
        <v>725</v>
      </c>
    </row>
    <row r="764" spans="1:2" x14ac:dyDescent="0.35">
      <c r="A764" s="10">
        <v>60058</v>
      </c>
      <c r="B764" s="13" t="s">
        <v>726</v>
      </c>
    </row>
    <row r="765" spans="1:2" x14ac:dyDescent="0.35">
      <c r="A765" s="10">
        <v>60152</v>
      </c>
      <c r="B765" s="13" t="s">
        <v>727</v>
      </c>
    </row>
    <row r="766" spans="1:2" x14ac:dyDescent="0.35">
      <c r="A766" s="10">
        <v>60187</v>
      </c>
      <c r="B766" s="13" t="s">
        <v>728</v>
      </c>
    </row>
    <row r="767" spans="1:2" x14ac:dyDescent="0.35">
      <c r="A767" s="10">
        <v>60208</v>
      </c>
      <c r="B767" s="13" t="s">
        <v>729</v>
      </c>
    </row>
    <row r="768" spans="1:2" x14ac:dyDescent="0.35">
      <c r="A768" s="10">
        <v>60221</v>
      </c>
      <c r="B768" s="13" t="s">
        <v>730</v>
      </c>
    </row>
    <row r="769" spans="1:2" x14ac:dyDescent="0.35">
      <c r="A769" s="10">
        <v>60261</v>
      </c>
      <c r="B769" s="13" t="s">
        <v>731</v>
      </c>
    </row>
    <row r="770" spans="1:2" x14ac:dyDescent="0.35">
      <c r="A770" s="10">
        <v>60268</v>
      </c>
      <c r="B770" s="13" t="s">
        <v>721</v>
      </c>
    </row>
    <row r="771" spans="1:2" x14ac:dyDescent="0.35">
      <c r="A771" s="10">
        <v>60307</v>
      </c>
      <c r="B771" s="13" t="s">
        <v>722</v>
      </c>
    </row>
    <row r="772" spans="1:2" x14ac:dyDescent="0.35">
      <c r="A772" s="10">
        <v>60308</v>
      </c>
      <c r="B772" s="13" t="s">
        <v>722</v>
      </c>
    </row>
    <row r="773" spans="1:2" x14ac:dyDescent="0.35">
      <c r="A773" s="10">
        <v>60353</v>
      </c>
      <c r="B773" s="13" t="s">
        <v>723</v>
      </c>
    </row>
    <row r="774" spans="1:2" x14ac:dyDescent="0.35">
      <c r="A774" s="10">
        <v>60378</v>
      </c>
      <c r="B774" s="13" t="s">
        <v>724</v>
      </c>
    </row>
    <row r="775" spans="1:2" x14ac:dyDescent="0.35">
      <c r="A775" s="10">
        <v>60388</v>
      </c>
      <c r="B775" s="13" t="s">
        <v>725</v>
      </c>
    </row>
    <row r="776" spans="1:2" x14ac:dyDescent="0.35">
      <c r="A776" s="10">
        <v>60415</v>
      </c>
      <c r="B776" s="13" t="s">
        <v>726</v>
      </c>
    </row>
    <row r="777" spans="1:2" x14ac:dyDescent="0.35">
      <c r="A777" s="10">
        <v>60517</v>
      </c>
      <c r="B777" s="13" t="s">
        <v>727</v>
      </c>
    </row>
    <row r="778" spans="1:2" x14ac:dyDescent="0.35">
      <c r="A778" s="10">
        <v>60552</v>
      </c>
      <c r="B778" s="13" t="s">
        <v>728</v>
      </c>
    </row>
    <row r="779" spans="1:2" x14ac:dyDescent="0.35">
      <c r="A779" s="10">
        <v>60573</v>
      </c>
      <c r="B779" s="13" t="s">
        <v>729</v>
      </c>
    </row>
    <row r="780" spans="1:2" x14ac:dyDescent="0.35">
      <c r="A780" s="10">
        <v>60586</v>
      </c>
      <c r="B780" s="13" t="s">
        <v>730</v>
      </c>
    </row>
    <row r="781" spans="1:2" x14ac:dyDescent="0.35">
      <c r="A781" s="10">
        <v>60626</v>
      </c>
      <c r="B781" s="13" t="s">
        <v>731</v>
      </c>
    </row>
    <row r="782" spans="1:2" x14ac:dyDescent="0.35">
      <c r="A782" s="10">
        <v>60633</v>
      </c>
      <c r="B782" s="13" t="s">
        <v>721</v>
      </c>
    </row>
    <row r="783" spans="1:2" x14ac:dyDescent="0.35">
      <c r="A783" s="10">
        <v>60685</v>
      </c>
      <c r="B783" s="13" t="s">
        <v>722</v>
      </c>
    </row>
    <row r="784" spans="1:2" x14ac:dyDescent="0.35">
      <c r="A784" s="10">
        <v>60686</v>
      </c>
      <c r="B784" s="13" t="s">
        <v>722</v>
      </c>
    </row>
    <row r="785" spans="1:2" x14ac:dyDescent="0.35">
      <c r="A785" s="10">
        <v>60731</v>
      </c>
      <c r="B785" s="13" t="s">
        <v>723</v>
      </c>
    </row>
    <row r="786" spans="1:2" x14ac:dyDescent="0.35">
      <c r="A786" s="10">
        <v>60743</v>
      </c>
      <c r="B786" s="13" t="s">
        <v>724</v>
      </c>
    </row>
    <row r="787" spans="1:2" x14ac:dyDescent="0.35">
      <c r="A787" s="10">
        <v>60753</v>
      </c>
      <c r="B787" s="13" t="s">
        <v>725</v>
      </c>
    </row>
    <row r="788" spans="1:2" x14ac:dyDescent="0.35">
      <c r="A788" s="10">
        <v>60793</v>
      </c>
      <c r="B788" s="13" t="s">
        <v>726</v>
      </c>
    </row>
    <row r="789" spans="1:2" x14ac:dyDescent="0.35">
      <c r="A789" s="10">
        <v>60882</v>
      </c>
      <c r="B789" s="13" t="s">
        <v>727</v>
      </c>
    </row>
    <row r="790" spans="1:2" x14ac:dyDescent="0.35">
      <c r="A790" s="10">
        <v>60917</v>
      </c>
      <c r="B790" s="13" t="s">
        <v>728</v>
      </c>
    </row>
    <row r="791" spans="1:2" x14ac:dyDescent="0.35">
      <c r="A791" s="10">
        <v>60938</v>
      </c>
      <c r="B791" s="13" t="s">
        <v>729</v>
      </c>
    </row>
    <row r="792" spans="1:2" x14ac:dyDescent="0.35">
      <c r="A792" s="10">
        <v>60951</v>
      </c>
      <c r="B792" s="13" t="s">
        <v>730</v>
      </c>
    </row>
    <row r="793" spans="1:2" x14ac:dyDescent="0.35">
      <c r="A793" s="10">
        <v>60991</v>
      </c>
      <c r="B793" s="13" t="s">
        <v>731</v>
      </c>
    </row>
    <row r="794" spans="1:2" x14ac:dyDescent="0.35">
      <c r="A794" s="10">
        <v>60998</v>
      </c>
      <c r="B794" s="13" t="s">
        <v>721</v>
      </c>
    </row>
    <row r="795" spans="1:2" x14ac:dyDescent="0.35">
      <c r="A795" s="10">
        <v>61042</v>
      </c>
      <c r="B795" s="13" t="s">
        <v>722</v>
      </c>
    </row>
    <row r="796" spans="1:2" x14ac:dyDescent="0.35">
      <c r="A796" s="10">
        <v>61043</v>
      </c>
      <c r="B796" s="13" t="s">
        <v>722</v>
      </c>
    </row>
    <row r="797" spans="1:2" x14ac:dyDescent="0.35">
      <c r="A797" s="10">
        <v>61088</v>
      </c>
      <c r="B797" s="13" t="s">
        <v>723</v>
      </c>
    </row>
    <row r="798" spans="1:2" x14ac:dyDescent="0.35">
      <c r="A798" s="10">
        <v>61108</v>
      </c>
      <c r="B798" s="13" t="s">
        <v>724</v>
      </c>
    </row>
    <row r="799" spans="1:2" x14ac:dyDescent="0.35">
      <c r="A799" s="10">
        <v>61118</v>
      </c>
      <c r="B799" s="13" t="s">
        <v>725</v>
      </c>
    </row>
    <row r="800" spans="1:2" x14ac:dyDescent="0.35">
      <c r="A800" s="10">
        <v>61150</v>
      </c>
      <c r="B800" s="13" t="s">
        <v>726</v>
      </c>
    </row>
    <row r="801" spans="1:2" x14ac:dyDescent="0.35">
      <c r="A801" s="10">
        <v>61247</v>
      </c>
      <c r="B801" s="13" t="s">
        <v>727</v>
      </c>
    </row>
    <row r="802" spans="1:2" x14ac:dyDescent="0.35">
      <c r="A802" s="10">
        <v>61282</v>
      </c>
      <c r="B802" s="13" t="s">
        <v>728</v>
      </c>
    </row>
    <row r="803" spans="1:2" x14ac:dyDescent="0.35">
      <c r="A803" s="10">
        <v>61303</v>
      </c>
      <c r="B803" s="13" t="s">
        <v>729</v>
      </c>
    </row>
    <row r="804" spans="1:2" x14ac:dyDescent="0.35">
      <c r="A804" s="10">
        <v>61316</v>
      </c>
      <c r="B804" s="13" t="s">
        <v>730</v>
      </c>
    </row>
    <row r="805" spans="1:2" x14ac:dyDescent="0.35">
      <c r="A805" s="10">
        <v>61356</v>
      </c>
      <c r="B805" s="13" t="s">
        <v>731</v>
      </c>
    </row>
    <row r="806" spans="1:2" x14ac:dyDescent="0.35">
      <c r="A806" s="10">
        <v>61363</v>
      </c>
      <c r="B806" s="13" t="s">
        <v>721</v>
      </c>
    </row>
    <row r="807" spans="1:2" x14ac:dyDescent="0.35">
      <c r="A807" s="10">
        <v>61427</v>
      </c>
      <c r="B807" s="13" t="s">
        <v>722</v>
      </c>
    </row>
    <row r="808" spans="1:2" x14ac:dyDescent="0.35">
      <c r="A808" s="10">
        <v>61428</v>
      </c>
      <c r="B808" s="13" t="s">
        <v>722</v>
      </c>
    </row>
    <row r="809" spans="1:2" x14ac:dyDescent="0.35">
      <c r="A809" s="10">
        <v>61473</v>
      </c>
      <c r="B809" s="13" t="s">
        <v>723</v>
      </c>
    </row>
    <row r="810" spans="1:2" x14ac:dyDescent="0.35">
      <c r="A810" s="10">
        <v>61474</v>
      </c>
      <c r="B810" s="13" t="s">
        <v>724</v>
      </c>
    </row>
    <row r="811" spans="1:2" x14ac:dyDescent="0.35">
      <c r="A811" s="10">
        <v>61484</v>
      </c>
      <c r="B811" s="13" t="s">
        <v>725</v>
      </c>
    </row>
    <row r="812" spans="1:2" x14ac:dyDescent="0.35">
      <c r="A812" s="10">
        <v>61535</v>
      </c>
      <c r="B812" s="13" t="s">
        <v>726</v>
      </c>
    </row>
    <row r="813" spans="1:2" x14ac:dyDescent="0.35">
      <c r="A813" s="10">
        <v>61613</v>
      </c>
      <c r="B813" s="13" t="s">
        <v>727</v>
      </c>
    </row>
    <row r="814" spans="1:2" x14ac:dyDescent="0.35">
      <c r="A814" s="10">
        <v>61648</v>
      </c>
      <c r="B814" s="13" t="s">
        <v>728</v>
      </c>
    </row>
    <row r="815" spans="1:2" x14ac:dyDescent="0.35">
      <c r="A815" s="10">
        <v>61669</v>
      </c>
      <c r="B815" s="13" t="s">
        <v>729</v>
      </c>
    </row>
    <row r="816" spans="1:2" x14ac:dyDescent="0.35">
      <c r="A816" s="10">
        <v>61682</v>
      </c>
      <c r="B816" s="13" t="s">
        <v>730</v>
      </c>
    </row>
    <row r="817" spans="1:2" x14ac:dyDescent="0.35">
      <c r="A817" s="10">
        <v>61722</v>
      </c>
      <c r="B817" s="13" t="s">
        <v>731</v>
      </c>
    </row>
    <row r="818" spans="1:2" x14ac:dyDescent="0.35">
      <c r="A818" s="10">
        <v>61729</v>
      </c>
      <c r="B818" s="13" t="s">
        <v>721</v>
      </c>
    </row>
    <row r="819" spans="1:2" x14ac:dyDescent="0.35">
      <c r="A819" s="10">
        <v>61784</v>
      </c>
      <c r="B819" s="13" t="s">
        <v>722</v>
      </c>
    </row>
    <row r="820" spans="1:2" x14ac:dyDescent="0.35">
      <c r="A820" s="10">
        <v>61785</v>
      </c>
      <c r="B820" s="13" t="s">
        <v>722</v>
      </c>
    </row>
    <row r="821" spans="1:2" x14ac:dyDescent="0.35">
      <c r="A821" s="10">
        <v>61830</v>
      </c>
      <c r="B821" s="13" t="s">
        <v>723</v>
      </c>
    </row>
    <row r="822" spans="1:2" x14ac:dyDescent="0.35">
      <c r="A822" s="10">
        <v>61839</v>
      </c>
      <c r="B822" s="13" t="s">
        <v>724</v>
      </c>
    </row>
    <row r="823" spans="1:2" x14ac:dyDescent="0.35">
      <c r="A823" s="10">
        <v>61849</v>
      </c>
      <c r="B823" s="13" t="s">
        <v>725</v>
      </c>
    </row>
    <row r="824" spans="1:2" x14ac:dyDescent="0.35">
      <c r="A824" s="10">
        <v>61892</v>
      </c>
      <c r="B824" s="13" t="s">
        <v>726</v>
      </c>
    </row>
    <row r="825" spans="1:2" x14ac:dyDescent="0.35">
      <c r="A825" s="10">
        <v>61978</v>
      </c>
      <c r="B825" s="13" t="s">
        <v>727</v>
      </c>
    </row>
    <row r="826" spans="1:2" x14ac:dyDescent="0.35">
      <c r="A826" s="10">
        <v>62013</v>
      </c>
      <c r="B826" s="13" t="s">
        <v>728</v>
      </c>
    </row>
    <row r="827" spans="1:2" x14ac:dyDescent="0.35">
      <c r="A827" s="10">
        <v>62034</v>
      </c>
      <c r="B827" s="13" t="s">
        <v>729</v>
      </c>
    </row>
    <row r="828" spans="1:2" x14ac:dyDescent="0.35">
      <c r="A828" s="10">
        <v>62047</v>
      </c>
      <c r="B828" s="13" t="s">
        <v>730</v>
      </c>
    </row>
    <row r="829" spans="1:2" x14ac:dyDescent="0.35">
      <c r="A829" s="10">
        <v>62087</v>
      </c>
      <c r="B829" s="13" t="s">
        <v>731</v>
      </c>
    </row>
    <row r="830" spans="1:2" x14ac:dyDescent="0.35">
      <c r="A830" s="10">
        <v>62094</v>
      </c>
      <c r="B830" s="13" t="s">
        <v>721</v>
      </c>
    </row>
    <row r="831" spans="1:2" x14ac:dyDescent="0.35">
      <c r="A831" s="10">
        <v>62134</v>
      </c>
      <c r="B831" s="13" t="s">
        <v>722</v>
      </c>
    </row>
    <row r="832" spans="1:2" x14ac:dyDescent="0.35">
      <c r="A832" s="10">
        <v>62135</v>
      </c>
      <c r="B832" s="13" t="s">
        <v>722</v>
      </c>
    </row>
    <row r="833" spans="1:2" x14ac:dyDescent="0.35">
      <c r="A833" s="10">
        <v>62180</v>
      </c>
      <c r="B833" s="13" t="s">
        <v>723</v>
      </c>
    </row>
    <row r="834" spans="1:2" x14ac:dyDescent="0.35">
      <c r="A834" s="10">
        <v>62204</v>
      </c>
      <c r="B834" s="13" t="s">
        <v>724</v>
      </c>
    </row>
    <row r="835" spans="1:2" x14ac:dyDescent="0.35">
      <c r="A835" s="10">
        <v>62214</v>
      </c>
      <c r="B835" s="13" t="s">
        <v>725</v>
      </c>
    </row>
    <row r="836" spans="1:2" x14ac:dyDescent="0.35">
      <c r="A836" s="10">
        <v>62242</v>
      </c>
      <c r="B836" s="13" t="s">
        <v>726</v>
      </c>
    </row>
    <row r="837" spans="1:2" x14ac:dyDescent="0.35">
      <c r="A837" s="10">
        <v>62343</v>
      </c>
      <c r="B837" s="13" t="s">
        <v>727</v>
      </c>
    </row>
    <row r="838" spans="1:2" x14ac:dyDescent="0.35">
      <c r="A838" s="10">
        <v>62378</v>
      </c>
      <c r="B838" s="13" t="s">
        <v>728</v>
      </c>
    </row>
    <row r="839" spans="1:2" x14ac:dyDescent="0.35">
      <c r="A839" s="10">
        <v>62399</v>
      </c>
      <c r="B839" s="13" t="s">
        <v>729</v>
      </c>
    </row>
    <row r="840" spans="1:2" x14ac:dyDescent="0.35">
      <c r="A840" s="10">
        <v>62412</v>
      </c>
      <c r="B840" s="13" t="s">
        <v>730</v>
      </c>
    </row>
    <row r="841" spans="1:2" x14ac:dyDescent="0.35">
      <c r="A841" s="10">
        <v>62452</v>
      </c>
      <c r="B841" s="13" t="s">
        <v>731</v>
      </c>
    </row>
    <row r="842" spans="1:2" x14ac:dyDescent="0.35">
      <c r="A842" s="10">
        <v>62459</v>
      </c>
      <c r="B842" s="13" t="s">
        <v>721</v>
      </c>
    </row>
    <row r="843" spans="1:2" x14ac:dyDescent="0.35">
      <c r="A843" s="10">
        <v>62519</v>
      </c>
      <c r="B843" s="13" t="s">
        <v>722</v>
      </c>
    </row>
    <row r="844" spans="1:2" x14ac:dyDescent="0.35">
      <c r="A844" s="10">
        <v>62520</v>
      </c>
      <c r="B844" s="13" t="s">
        <v>722</v>
      </c>
    </row>
    <row r="845" spans="1:2" x14ac:dyDescent="0.35">
      <c r="A845" s="10">
        <v>62565</v>
      </c>
      <c r="B845" s="13" t="s">
        <v>723</v>
      </c>
    </row>
    <row r="846" spans="1:2" x14ac:dyDescent="0.35">
      <c r="A846" s="10">
        <v>62569</v>
      </c>
      <c r="B846" s="13" t="s">
        <v>724</v>
      </c>
    </row>
    <row r="847" spans="1:2" x14ac:dyDescent="0.35">
      <c r="A847" s="10">
        <v>62579</v>
      </c>
      <c r="B847" s="13" t="s">
        <v>725</v>
      </c>
    </row>
    <row r="848" spans="1:2" x14ac:dyDescent="0.35">
      <c r="A848" s="10">
        <v>62627</v>
      </c>
      <c r="B848" s="13" t="s">
        <v>726</v>
      </c>
    </row>
    <row r="849" spans="1:2" x14ac:dyDescent="0.35">
      <c r="A849" s="10">
        <v>62708</v>
      </c>
      <c r="B849" s="13" t="s">
        <v>727</v>
      </c>
    </row>
    <row r="850" spans="1:2" x14ac:dyDescent="0.35">
      <c r="A850" s="10">
        <v>62743</v>
      </c>
      <c r="B850" s="13" t="s">
        <v>728</v>
      </c>
    </row>
    <row r="851" spans="1:2" x14ac:dyDescent="0.35">
      <c r="A851" s="10">
        <v>62764</v>
      </c>
      <c r="B851" s="13" t="s">
        <v>729</v>
      </c>
    </row>
    <row r="852" spans="1:2" x14ac:dyDescent="0.35">
      <c r="A852" s="10">
        <v>62777</v>
      </c>
      <c r="B852" s="13" t="s">
        <v>730</v>
      </c>
    </row>
    <row r="853" spans="1:2" x14ac:dyDescent="0.35">
      <c r="A853" s="10">
        <v>62817</v>
      </c>
      <c r="B853" s="13" t="s">
        <v>731</v>
      </c>
    </row>
    <row r="854" spans="1:2" x14ac:dyDescent="0.35">
      <c r="A854" s="10">
        <v>62824</v>
      </c>
      <c r="B854" s="13" t="s">
        <v>721</v>
      </c>
    </row>
    <row r="855" spans="1:2" x14ac:dyDescent="0.35">
      <c r="A855" s="10">
        <v>62876</v>
      </c>
      <c r="B855" s="13" t="s">
        <v>722</v>
      </c>
    </row>
    <row r="856" spans="1:2" x14ac:dyDescent="0.35">
      <c r="A856" s="10">
        <v>62877</v>
      </c>
      <c r="B856" s="13" t="s">
        <v>722</v>
      </c>
    </row>
    <row r="857" spans="1:2" x14ac:dyDescent="0.35">
      <c r="A857" s="10">
        <v>62922</v>
      </c>
      <c r="B857" s="13" t="s">
        <v>723</v>
      </c>
    </row>
    <row r="858" spans="1:2" x14ac:dyDescent="0.35">
      <c r="A858" s="10">
        <v>62935</v>
      </c>
      <c r="B858" s="13" t="s">
        <v>724</v>
      </c>
    </row>
    <row r="859" spans="1:2" x14ac:dyDescent="0.35">
      <c r="A859" s="10">
        <v>62945</v>
      </c>
      <c r="B859" s="13" t="s">
        <v>725</v>
      </c>
    </row>
    <row r="860" spans="1:2" x14ac:dyDescent="0.35">
      <c r="A860" s="10">
        <v>62984</v>
      </c>
      <c r="B860" s="13" t="s">
        <v>726</v>
      </c>
    </row>
    <row r="861" spans="1:2" x14ac:dyDescent="0.35">
      <c r="A861" s="10">
        <v>63074</v>
      </c>
      <c r="B861" s="13" t="s">
        <v>727</v>
      </c>
    </row>
    <row r="862" spans="1:2" x14ac:dyDescent="0.35">
      <c r="A862" s="10">
        <v>63109</v>
      </c>
      <c r="B862" s="13" t="s">
        <v>728</v>
      </c>
    </row>
    <row r="863" spans="1:2" x14ac:dyDescent="0.35">
      <c r="A863" s="10">
        <v>63130</v>
      </c>
      <c r="B863" s="13" t="s">
        <v>729</v>
      </c>
    </row>
    <row r="864" spans="1:2" x14ac:dyDescent="0.35">
      <c r="A864" s="10">
        <v>63143</v>
      </c>
      <c r="B864" s="13" t="s">
        <v>730</v>
      </c>
    </row>
    <row r="865" spans="1:2" x14ac:dyDescent="0.35">
      <c r="A865" s="10">
        <v>63183</v>
      </c>
      <c r="B865" s="13" t="s">
        <v>731</v>
      </c>
    </row>
    <row r="866" spans="1:2" x14ac:dyDescent="0.35">
      <c r="A866" s="10">
        <v>63190</v>
      </c>
      <c r="B866" s="13" t="s">
        <v>721</v>
      </c>
    </row>
    <row r="867" spans="1:2" x14ac:dyDescent="0.35">
      <c r="A867" s="10">
        <v>63226</v>
      </c>
      <c r="B867" s="13" t="s">
        <v>722</v>
      </c>
    </row>
    <row r="868" spans="1:2" x14ac:dyDescent="0.35">
      <c r="A868" s="10">
        <v>63227</v>
      </c>
      <c r="B868" s="13" t="s">
        <v>722</v>
      </c>
    </row>
    <row r="869" spans="1:2" x14ac:dyDescent="0.35">
      <c r="A869" s="10">
        <v>63272</v>
      </c>
      <c r="B869" s="13" t="s">
        <v>723</v>
      </c>
    </row>
    <row r="870" spans="1:2" x14ac:dyDescent="0.35">
      <c r="A870" s="10">
        <v>63300</v>
      </c>
      <c r="B870" s="13" t="s">
        <v>724</v>
      </c>
    </row>
    <row r="871" spans="1:2" x14ac:dyDescent="0.35">
      <c r="A871" s="10">
        <v>63310</v>
      </c>
      <c r="B871" s="13" t="s">
        <v>725</v>
      </c>
    </row>
    <row r="872" spans="1:2" x14ac:dyDescent="0.35">
      <c r="A872" s="10">
        <v>63334</v>
      </c>
      <c r="B872" s="13" t="s">
        <v>726</v>
      </c>
    </row>
    <row r="873" spans="1:2" x14ac:dyDescent="0.35">
      <c r="A873" s="10">
        <v>63439</v>
      </c>
      <c r="B873" s="13" t="s">
        <v>727</v>
      </c>
    </row>
    <row r="874" spans="1:2" x14ac:dyDescent="0.35">
      <c r="A874" s="10">
        <v>63474</v>
      </c>
      <c r="B874" s="13" t="s">
        <v>728</v>
      </c>
    </row>
    <row r="875" spans="1:2" x14ac:dyDescent="0.35">
      <c r="A875" s="10">
        <v>63495</v>
      </c>
      <c r="B875" s="13" t="s">
        <v>729</v>
      </c>
    </row>
    <row r="876" spans="1:2" x14ac:dyDescent="0.35">
      <c r="A876" s="10">
        <v>63508</v>
      </c>
      <c r="B876" s="13" t="s">
        <v>730</v>
      </c>
    </row>
    <row r="877" spans="1:2" x14ac:dyDescent="0.35">
      <c r="A877" s="10">
        <v>63548</v>
      </c>
      <c r="B877" s="13" t="s">
        <v>731</v>
      </c>
    </row>
    <row r="878" spans="1:2" x14ac:dyDescent="0.35">
      <c r="A878" s="10">
        <v>63555</v>
      </c>
      <c r="B878" s="13" t="s">
        <v>721</v>
      </c>
    </row>
    <row r="879" spans="1:2" x14ac:dyDescent="0.35">
      <c r="A879" s="10">
        <v>63611</v>
      </c>
      <c r="B879" s="13" t="s">
        <v>722</v>
      </c>
    </row>
    <row r="880" spans="1:2" x14ac:dyDescent="0.35">
      <c r="A880" s="10">
        <v>63612</v>
      </c>
      <c r="B880" s="13" t="s">
        <v>722</v>
      </c>
    </row>
    <row r="881" spans="1:2" x14ac:dyDescent="0.35">
      <c r="A881" s="10">
        <v>63657</v>
      </c>
      <c r="B881" s="13" t="s">
        <v>723</v>
      </c>
    </row>
    <row r="882" spans="1:2" x14ac:dyDescent="0.35">
      <c r="A882" s="10">
        <v>63665</v>
      </c>
      <c r="B882" s="13" t="s">
        <v>724</v>
      </c>
    </row>
    <row r="883" spans="1:2" x14ac:dyDescent="0.35">
      <c r="A883" s="10">
        <v>63675</v>
      </c>
      <c r="B883" s="13" t="s">
        <v>725</v>
      </c>
    </row>
    <row r="884" spans="1:2" x14ac:dyDescent="0.35">
      <c r="A884" s="10">
        <v>63719</v>
      </c>
      <c r="B884" s="13" t="s">
        <v>726</v>
      </c>
    </row>
    <row r="885" spans="1:2" x14ac:dyDescent="0.35">
      <c r="A885" s="10">
        <v>63804</v>
      </c>
      <c r="B885" s="13" t="s">
        <v>727</v>
      </c>
    </row>
    <row r="886" spans="1:2" x14ac:dyDescent="0.35">
      <c r="A886" s="10">
        <v>63839</v>
      </c>
      <c r="B886" s="13" t="s">
        <v>728</v>
      </c>
    </row>
    <row r="887" spans="1:2" x14ac:dyDescent="0.35">
      <c r="A887" s="10">
        <v>63860</v>
      </c>
      <c r="B887" s="13" t="s">
        <v>729</v>
      </c>
    </row>
    <row r="888" spans="1:2" x14ac:dyDescent="0.35">
      <c r="A888" s="10">
        <v>63873</v>
      </c>
      <c r="B888" s="13" t="s">
        <v>730</v>
      </c>
    </row>
    <row r="889" spans="1:2" x14ac:dyDescent="0.35">
      <c r="A889" s="10">
        <v>63913</v>
      </c>
      <c r="B889" s="13" t="s">
        <v>731</v>
      </c>
    </row>
    <row r="890" spans="1:2" x14ac:dyDescent="0.35">
      <c r="A890" s="10">
        <v>63920</v>
      </c>
      <c r="B890" s="13" t="s">
        <v>721</v>
      </c>
    </row>
    <row r="891" spans="1:2" x14ac:dyDescent="0.35">
      <c r="A891" s="10">
        <v>63968</v>
      </c>
      <c r="B891" s="13" t="s">
        <v>722</v>
      </c>
    </row>
    <row r="892" spans="1:2" x14ac:dyDescent="0.35">
      <c r="A892" s="10">
        <v>63969</v>
      </c>
      <c r="B892" s="13" t="s">
        <v>722</v>
      </c>
    </row>
    <row r="893" spans="1:2" x14ac:dyDescent="0.35">
      <c r="A893" s="10">
        <v>64014</v>
      </c>
      <c r="B893" s="13" t="s">
        <v>723</v>
      </c>
    </row>
    <row r="894" spans="1:2" x14ac:dyDescent="0.35">
      <c r="A894" s="10">
        <v>64030</v>
      </c>
      <c r="B894" s="13" t="s">
        <v>724</v>
      </c>
    </row>
    <row r="895" spans="1:2" x14ac:dyDescent="0.35">
      <c r="A895" s="10">
        <v>64040</v>
      </c>
      <c r="B895" s="13" t="s">
        <v>725</v>
      </c>
    </row>
    <row r="896" spans="1:2" x14ac:dyDescent="0.35">
      <c r="A896" s="10">
        <v>64076</v>
      </c>
      <c r="B896" s="13" t="s">
        <v>726</v>
      </c>
    </row>
    <row r="897" spans="1:2" x14ac:dyDescent="0.35">
      <c r="A897" s="10">
        <v>64169</v>
      </c>
      <c r="B897" s="13" t="s">
        <v>727</v>
      </c>
    </row>
    <row r="898" spans="1:2" x14ac:dyDescent="0.35">
      <c r="A898" s="10">
        <v>64204</v>
      </c>
      <c r="B898" s="13" t="s">
        <v>728</v>
      </c>
    </row>
    <row r="899" spans="1:2" x14ac:dyDescent="0.35">
      <c r="A899" s="10">
        <v>64225</v>
      </c>
      <c r="B899" s="13" t="s">
        <v>729</v>
      </c>
    </row>
    <row r="900" spans="1:2" x14ac:dyDescent="0.35">
      <c r="A900" s="10">
        <v>64238</v>
      </c>
      <c r="B900" s="13" t="s">
        <v>730</v>
      </c>
    </row>
    <row r="901" spans="1:2" x14ac:dyDescent="0.35">
      <c r="A901" s="10">
        <v>64278</v>
      </c>
      <c r="B901" s="13" t="s">
        <v>731</v>
      </c>
    </row>
    <row r="902" spans="1:2" x14ac:dyDescent="0.35">
      <c r="A902" s="10">
        <v>64285</v>
      </c>
      <c r="B902" s="13" t="s">
        <v>721</v>
      </c>
    </row>
    <row r="903" spans="1:2" x14ac:dyDescent="0.35">
      <c r="A903" s="10">
        <v>64346</v>
      </c>
      <c r="B903" s="13" t="s">
        <v>722</v>
      </c>
    </row>
    <row r="904" spans="1:2" x14ac:dyDescent="0.35">
      <c r="A904" s="10">
        <v>64347</v>
      </c>
      <c r="B904" s="13" t="s">
        <v>722</v>
      </c>
    </row>
    <row r="905" spans="1:2" x14ac:dyDescent="0.35">
      <c r="A905" s="10">
        <v>64392</v>
      </c>
      <c r="B905" s="13" t="s">
        <v>723</v>
      </c>
    </row>
    <row r="906" spans="1:2" x14ac:dyDescent="0.35">
      <c r="A906" s="10">
        <v>64396</v>
      </c>
      <c r="B906" s="13" t="s">
        <v>724</v>
      </c>
    </row>
    <row r="907" spans="1:2" x14ac:dyDescent="0.35">
      <c r="A907" s="10">
        <v>64406</v>
      </c>
      <c r="B907" s="13" t="s">
        <v>725</v>
      </c>
    </row>
    <row r="908" spans="1:2" x14ac:dyDescent="0.35">
      <c r="A908" s="10">
        <v>64454</v>
      </c>
      <c r="B908" s="13" t="s">
        <v>726</v>
      </c>
    </row>
    <row r="909" spans="1:2" x14ac:dyDescent="0.35">
      <c r="A909" s="10">
        <v>64535</v>
      </c>
      <c r="B909" s="13" t="s">
        <v>727</v>
      </c>
    </row>
    <row r="910" spans="1:2" x14ac:dyDescent="0.35">
      <c r="A910" s="10">
        <v>64570</v>
      </c>
      <c r="B910" s="13" t="s">
        <v>728</v>
      </c>
    </row>
    <row r="911" spans="1:2" x14ac:dyDescent="0.35">
      <c r="A911" s="10">
        <v>64591</v>
      </c>
      <c r="B911" s="13" t="s">
        <v>729</v>
      </c>
    </row>
    <row r="912" spans="1:2" x14ac:dyDescent="0.35">
      <c r="A912" s="10">
        <v>64604</v>
      </c>
      <c r="B912" s="13" t="s">
        <v>730</v>
      </c>
    </row>
    <row r="913" spans="1:2" x14ac:dyDescent="0.35">
      <c r="A913" s="10">
        <v>64644</v>
      </c>
      <c r="B913" s="13" t="s">
        <v>731</v>
      </c>
    </row>
    <row r="914" spans="1:2" x14ac:dyDescent="0.35">
      <c r="A914" s="10">
        <v>64651</v>
      </c>
      <c r="B914" s="13" t="s">
        <v>721</v>
      </c>
    </row>
    <row r="915" spans="1:2" x14ac:dyDescent="0.35">
      <c r="A915" s="10">
        <v>64703</v>
      </c>
      <c r="B915" s="13" t="s">
        <v>722</v>
      </c>
    </row>
    <row r="916" spans="1:2" x14ac:dyDescent="0.35">
      <c r="A916" s="10">
        <v>64704</v>
      </c>
      <c r="B916" s="13" t="s">
        <v>722</v>
      </c>
    </row>
    <row r="917" spans="1:2" x14ac:dyDescent="0.35">
      <c r="A917" s="10">
        <v>64749</v>
      </c>
      <c r="B917" s="13" t="s">
        <v>723</v>
      </c>
    </row>
    <row r="918" spans="1:2" x14ac:dyDescent="0.35">
      <c r="A918" s="10">
        <v>64761</v>
      </c>
      <c r="B918" s="13" t="s">
        <v>724</v>
      </c>
    </row>
    <row r="919" spans="1:2" x14ac:dyDescent="0.35">
      <c r="A919" s="10">
        <v>64771</v>
      </c>
      <c r="B919" s="13" t="s">
        <v>725</v>
      </c>
    </row>
    <row r="920" spans="1:2" x14ac:dyDescent="0.35">
      <c r="A920" s="10">
        <v>64811</v>
      </c>
      <c r="B920" s="13" t="s">
        <v>726</v>
      </c>
    </row>
    <row r="921" spans="1:2" x14ac:dyDescent="0.35">
      <c r="A921" s="10">
        <v>64900</v>
      </c>
      <c r="B921" s="13" t="s">
        <v>727</v>
      </c>
    </row>
    <row r="922" spans="1:2" x14ac:dyDescent="0.35">
      <c r="A922" s="10">
        <v>64935</v>
      </c>
      <c r="B922" s="13" t="s">
        <v>728</v>
      </c>
    </row>
    <row r="923" spans="1:2" x14ac:dyDescent="0.35">
      <c r="A923" s="10">
        <v>64956</v>
      </c>
      <c r="B923" s="13" t="s">
        <v>729</v>
      </c>
    </row>
    <row r="924" spans="1:2" x14ac:dyDescent="0.35">
      <c r="A924" s="10">
        <v>64969</v>
      </c>
      <c r="B924" s="13" t="s">
        <v>730</v>
      </c>
    </row>
    <row r="925" spans="1:2" x14ac:dyDescent="0.35">
      <c r="A925" s="10">
        <v>65009</v>
      </c>
      <c r="B925" s="13" t="s">
        <v>731</v>
      </c>
    </row>
    <row r="926" spans="1:2" x14ac:dyDescent="0.35">
      <c r="A926" s="10">
        <v>65016</v>
      </c>
      <c r="B926" s="13" t="s">
        <v>721</v>
      </c>
    </row>
    <row r="927" spans="1:2" x14ac:dyDescent="0.35">
      <c r="A927" s="10">
        <v>65060</v>
      </c>
      <c r="B927" s="13" t="s">
        <v>722</v>
      </c>
    </row>
    <row r="928" spans="1:2" x14ac:dyDescent="0.35">
      <c r="A928" s="10">
        <v>65061</v>
      </c>
      <c r="B928" s="13" t="s">
        <v>722</v>
      </c>
    </row>
    <row r="929" spans="1:2" x14ac:dyDescent="0.35">
      <c r="A929" s="10">
        <v>65106</v>
      </c>
      <c r="B929" s="13" t="s">
        <v>723</v>
      </c>
    </row>
    <row r="930" spans="1:2" x14ac:dyDescent="0.35">
      <c r="A930" s="10">
        <v>65126</v>
      </c>
      <c r="B930" s="13" t="s">
        <v>724</v>
      </c>
    </row>
    <row r="931" spans="1:2" x14ac:dyDescent="0.35">
      <c r="A931" s="10">
        <v>65136</v>
      </c>
      <c r="B931" s="13" t="s">
        <v>725</v>
      </c>
    </row>
    <row r="932" spans="1:2" x14ac:dyDescent="0.35">
      <c r="A932" s="10">
        <v>65168</v>
      </c>
      <c r="B932" s="13" t="s">
        <v>726</v>
      </c>
    </row>
    <row r="933" spans="1:2" x14ac:dyDescent="0.35">
      <c r="A933" s="10">
        <v>65265</v>
      </c>
      <c r="B933" s="13" t="s">
        <v>727</v>
      </c>
    </row>
    <row r="934" spans="1:2" x14ac:dyDescent="0.35">
      <c r="A934" s="10">
        <v>65300</v>
      </c>
      <c r="B934" s="13" t="s">
        <v>728</v>
      </c>
    </row>
    <row r="935" spans="1:2" x14ac:dyDescent="0.35">
      <c r="A935" s="10">
        <v>65321</v>
      </c>
      <c r="B935" s="13" t="s">
        <v>729</v>
      </c>
    </row>
    <row r="936" spans="1:2" x14ac:dyDescent="0.35">
      <c r="A936" s="10">
        <v>65334</v>
      </c>
      <c r="B936" s="13" t="s">
        <v>730</v>
      </c>
    </row>
    <row r="937" spans="1:2" x14ac:dyDescent="0.35">
      <c r="A937" s="10">
        <v>65374</v>
      </c>
      <c r="B937" s="13" t="s">
        <v>731</v>
      </c>
    </row>
    <row r="938" spans="1:2" x14ac:dyDescent="0.35">
      <c r="A938" s="10">
        <v>65381</v>
      </c>
      <c r="B938" s="13" t="s">
        <v>721</v>
      </c>
    </row>
    <row r="939" spans="1:2" x14ac:dyDescent="0.35">
      <c r="A939" s="10">
        <v>65445</v>
      </c>
      <c r="B939" s="13" t="s">
        <v>722</v>
      </c>
    </row>
    <row r="940" spans="1:2" x14ac:dyDescent="0.35">
      <c r="A940" s="10">
        <v>65446</v>
      </c>
      <c r="B940" s="13" t="s">
        <v>722</v>
      </c>
    </row>
    <row r="941" spans="1:2" x14ac:dyDescent="0.35">
      <c r="A941" s="10">
        <v>65491</v>
      </c>
      <c r="B941" s="13" t="s">
        <v>723</v>
      </c>
    </row>
    <row r="942" spans="1:2" x14ac:dyDescent="0.35">
      <c r="A942" s="10">
        <v>65491</v>
      </c>
      <c r="B942" s="13" t="s">
        <v>724</v>
      </c>
    </row>
    <row r="943" spans="1:2" x14ac:dyDescent="0.35">
      <c r="A943" s="10">
        <v>65501</v>
      </c>
      <c r="B943" s="13" t="s">
        <v>725</v>
      </c>
    </row>
    <row r="944" spans="1:2" x14ac:dyDescent="0.35">
      <c r="A944" s="10">
        <v>65553</v>
      </c>
      <c r="B944" s="13" t="s">
        <v>726</v>
      </c>
    </row>
    <row r="945" spans="1:2" x14ac:dyDescent="0.35">
      <c r="A945" s="10">
        <v>65630</v>
      </c>
      <c r="B945" s="13" t="s">
        <v>727</v>
      </c>
    </row>
    <row r="946" spans="1:2" x14ac:dyDescent="0.35">
      <c r="A946" s="10">
        <v>65665</v>
      </c>
      <c r="B946" s="13" t="s">
        <v>728</v>
      </c>
    </row>
    <row r="947" spans="1:2" x14ac:dyDescent="0.35">
      <c r="A947" s="10">
        <v>65686</v>
      </c>
      <c r="B947" s="13" t="s">
        <v>729</v>
      </c>
    </row>
    <row r="948" spans="1:2" x14ac:dyDescent="0.35">
      <c r="A948" s="10">
        <v>65699</v>
      </c>
      <c r="B948" s="13" t="s">
        <v>730</v>
      </c>
    </row>
    <row r="949" spans="1:2" x14ac:dyDescent="0.35">
      <c r="A949" s="10">
        <v>65739</v>
      </c>
      <c r="B949" s="13" t="s">
        <v>731</v>
      </c>
    </row>
    <row r="950" spans="1:2" x14ac:dyDescent="0.35">
      <c r="A950" s="10">
        <v>65746</v>
      </c>
      <c r="B950" s="13" t="s">
        <v>721</v>
      </c>
    </row>
    <row r="951" spans="1:2" x14ac:dyDescent="0.35">
      <c r="A951" s="10">
        <v>65795</v>
      </c>
      <c r="B951" s="13" t="s">
        <v>722</v>
      </c>
    </row>
    <row r="952" spans="1:2" x14ac:dyDescent="0.35">
      <c r="A952" s="10">
        <v>65796</v>
      </c>
      <c r="B952" s="13" t="s">
        <v>722</v>
      </c>
    </row>
    <row r="953" spans="1:2" x14ac:dyDescent="0.35">
      <c r="A953" s="10">
        <v>65841</v>
      </c>
      <c r="B953" s="13" t="s">
        <v>723</v>
      </c>
    </row>
    <row r="954" spans="1:2" x14ac:dyDescent="0.35">
      <c r="A954" s="10">
        <v>65857</v>
      </c>
      <c r="B954" s="13" t="s">
        <v>724</v>
      </c>
    </row>
    <row r="955" spans="1:2" x14ac:dyDescent="0.35">
      <c r="A955" s="10">
        <v>65867</v>
      </c>
      <c r="B955" s="13" t="s">
        <v>725</v>
      </c>
    </row>
    <row r="956" spans="1:2" x14ac:dyDescent="0.35">
      <c r="A956" s="10">
        <v>65903</v>
      </c>
      <c r="B956" s="13" t="s">
        <v>726</v>
      </c>
    </row>
    <row r="957" spans="1:2" x14ac:dyDescent="0.35">
      <c r="A957" s="10">
        <v>65996</v>
      </c>
      <c r="B957" s="13" t="s">
        <v>727</v>
      </c>
    </row>
    <row r="958" spans="1:2" x14ac:dyDescent="0.35">
      <c r="A958" s="10">
        <v>66031</v>
      </c>
      <c r="B958" s="13" t="s">
        <v>728</v>
      </c>
    </row>
    <row r="959" spans="1:2" x14ac:dyDescent="0.35">
      <c r="A959" s="10">
        <v>66052</v>
      </c>
      <c r="B959" s="13" t="s">
        <v>729</v>
      </c>
    </row>
    <row r="960" spans="1:2" x14ac:dyDescent="0.35">
      <c r="A960" s="10">
        <v>66065</v>
      </c>
      <c r="B960" s="13" t="s">
        <v>730</v>
      </c>
    </row>
    <row r="961" spans="1:2" x14ac:dyDescent="0.35">
      <c r="A961" s="10">
        <v>66105</v>
      </c>
      <c r="B961" s="13" t="s">
        <v>731</v>
      </c>
    </row>
    <row r="962" spans="1:2" x14ac:dyDescent="0.35">
      <c r="A962" s="10">
        <v>66112</v>
      </c>
      <c r="B962" s="13" t="s">
        <v>721</v>
      </c>
    </row>
    <row r="963" spans="1:2" x14ac:dyDescent="0.35">
      <c r="A963" s="10">
        <v>66152</v>
      </c>
      <c r="B963" s="13" t="s">
        <v>722</v>
      </c>
    </row>
    <row r="964" spans="1:2" x14ac:dyDescent="0.35">
      <c r="A964" s="10">
        <v>66153</v>
      </c>
      <c r="B964" s="13" t="s">
        <v>722</v>
      </c>
    </row>
    <row r="965" spans="1:2" x14ac:dyDescent="0.35">
      <c r="A965" s="10">
        <v>66198</v>
      </c>
      <c r="B965" s="13" t="s">
        <v>723</v>
      </c>
    </row>
    <row r="966" spans="1:2" x14ac:dyDescent="0.35">
      <c r="A966" s="10">
        <v>66222</v>
      </c>
      <c r="B966" s="13" t="s">
        <v>724</v>
      </c>
    </row>
    <row r="967" spans="1:2" x14ac:dyDescent="0.35">
      <c r="A967" s="10">
        <v>66232</v>
      </c>
      <c r="B967" s="13" t="s">
        <v>725</v>
      </c>
    </row>
    <row r="968" spans="1:2" x14ac:dyDescent="0.35">
      <c r="A968" s="10">
        <v>66260</v>
      </c>
      <c r="B968" s="13" t="s">
        <v>726</v>
      </c>
    </row>
    <row r="969" spans="1:2" x14ac:dyDescent="0.35">
      <c r="A969" s="10">
        <v>66361</v>
      </c>
      <c r="B969" s="13" t="s">
        <v>727</v>
      </c>
    </row>
    <row r="970" spans="1:2" x14ac:dyDescent="0.35">
      <c r="A970" s="10">
        <v>66396</v>
      </c>
      <c r="B970" s="13" t="s">
        <v>728</v>
      </c>
    </row>
    <row r="971" spans="1:2" x14ac:dyDescent="0.35">
      <c r="A971" s="10">
        <v>66417</v>
      </c>
      <c r="B971" s="13" t="s">
        <v>729</v>
      </c>
    </row>
    <row r="972" spans="1:2" x14ac:dyDescent="0.35">
      <c r="A972" s="10">
        <v>66430</v>
      </c>
      <c r="B972" s="13" t="s">
        <v>730</v>
      </c>
    </row>
    <row r="973" spans="1:2" x14ac:dyDescent="0.35">
      <c r="A973" s="10">
        <v>66470</v>
      </c>
      <c r="B973" s="13" t="s">
        <v>731</v>
      </c>
    </row>
    <row r="974" spans="1:2" x14ac:dyDescent="0.35">
      <c r="A974" s="10">
        <v>66477</v>
      </c>
      <c r="B974" s="13" t="s">
        <v>721</v>
      </c>
    </row>
    <row r="975" spans="1:2" x14ac:dyDescent="0.35">
      <c r="A975" s="10">
        <v>66537</v>
      </c>
      <c r="B975" s="13" t="s">
        <v>722</v>
      </c>
    </row>
    <row r="976" spans="1:2" x14ac:dyDescent="0.35">
      <c r="A976" s="10">
        <v>66538</v>
      </c>
      <c r="B976" s="13" t="s">
        <v>722</v>
      </c>
    </row>
    <row r="977" spans="1:2" x14ac:dyDescent="0.35">
      <c r="A977" s="10">
        <v>66583</v>
      </c>
      <c r="B977" s="13" t="s">
        <v>723</v>
      </c>
    </row>
    <row r="978" spans="1:2" x14ac:dyDescent="0.35">
      <c r="A978" s="10">
        <v>66587</v>
      </c>
      <c r="B978" s="13" t="s">
        <v>724</v>
      </c>
    </row>
    <row r="979" spans="1:2" x14ac:dyDescent="0.35">
      <c r="A979" s="10">
        <v>66597</v>
      </c>
      <c r="B979" s="13" t="s">
        <v>725</v>
      </c>
    </row>
    <row r="980" spans="1:2" x14ac:dyDescent="0.35">
      <c r="A980" s="10">
        <v>66645</v>
      </c>
      <c r="B980" s="13" t="s">
        <v>726</v>
      </c>
    </row>
    <row r="981" spans="1:2" x14ac:dyDescent="0.35">
      <c r="A981" s="10">
        <v>66726</v>
      </c>
      <c r="B981" s="13" t="s">
        <v>727</v>
      </c>
    </row>
    <row r="982" spans="1:2" x14ac:dyDescent="0.35">
      <c r="A982" s="10">
        <v>66761</v>
      </c>
      <c r="B982" s="13" t="s">
        <v>728</v>
      </c>
    </row>
    <row r="983" spans="1:2" x14ac:dyDescent="0.35">
      <c r="A983" s="10">
        <v>66782</v>
      </c>
      <c r="B983" s="13" t="s">
        <v>729</v>
      </c>
    </row>
    <row r="984" spans="1:2" x14ac:dyDescent="0.35">
      <c r="A984" s="10">
        <v>66795</v>
      </c>
      <c r="B984" s="13" t="s">
        <v>730</v>
      </c>
    </row>
    <row r="985" spans="1:2" x14ac:dyDescent="0.35">
      <c r="A985" s="10">
        <v>66835</v>
      </c>
      <c r="B985" s="13" t="s">
        <v>731</v>
      </c>
    </row>
    <row r="986" spans="1:2" x14ac:dyDescent="0.35">
      <c r="A986" s="10">
        <v>66842</v>
      </c>
      <c r="B986" s="13" t="s">
        <v>721</v>
      </c>
    </row>
    <row r="987" spans="1:2" x14ac:dyDescent="0.35">
      <c r="A987" s="10">
        <v>66887</v>
      </c>
      <c r="B987" s="13" t="s">
        <v>722</v>
      </c>
    </row>
    <row r="988" spans="1:2" x14ac:dyDescent="0.35">
      <c r="A988" s="10">
        <v>66888</v>
      </c>
      <c r="B988" s="13" t="s">
        <v>722</v>
      </c>
    </row>
    <row r="989" spans="1:2" x14ac:dyDescent="0.35">
      <c r="A989" s="10">
        <v>66933</v>
      </c>
      <c r="B989" s="13" t="s">
        <v>723</v>
      </c>
    </row>
    <row r="990" spans="1:2" x14ac:dyDescent="0.35">
      <c r="A990" s="10">
        <v>66952</v>
      </c>
      <c r="B990" s="13" t="s">
        <v>724</v>
      </c>
    </row>
    <row r="991" spans="1:2" x14ac:dyDescent="0.35">
      <c r="A991" s="10">
        <v>66962</v>
      </c>
      <c r="B991" s="13" t="s">
        <v>725</v>
      </c>
    </row>
    <row r="992" spans="1:2" x14ac:dyDescent="0.35">
      <c r="A992" s="10">
        <v>66995</v>
      </c>
      <c r="B992" s="13" t="s">
        <v>726</v>
      </c>
    </row>
    <row r="993" spans="1:2" x14ac:dyDescent="0.35">
      <c r="A993" s="10">
        <v>67091</v>
      </c>
      <c r="B993" s="13" t="s">
        <v>727</v>
      </c>
    </row>
    <row r="994" spans="1:2" x14ac:dyDescent="0.35">
      <c r="A994" s="10">
        <v>67126</v>
      </c>
      <c r="B994" s="13" t="s">
        <v>728</v>
      </c>
    </row>
    <row r="995" spans="1:2" x14ac:dyDescent="0.35">
      <c r="A995" s="10">
        <v>67147</v>
      </c>
      <c r="B995" s="13" t="s">
        <v>729</v>
      </c>
    </row>
    <row r="996" spans="1:2" x14ac:dyDescent="0.35">
      <c r="A996" s="10">
        <v>67160</v>
      </c>
      <c r="B996" s="13" t="s">
        <v>730</v>
      </c>
    </row>
    <row r="997" spans="1:2" x14ac:dyDescent="0.35">
      <c r="A997" s="10">
        <v>67200</v>
      </c>
      <c r="B997" s="13" t="s">
        <v>731</v>
      </c>
    </row>
    <row r="998" spans="1:2" x14ac:dyDescent="0.35">
      <c r="A998" s="10">
        <v>67207</v>
      </c>
      <c r="B998" s="13" t="s">
        <v>721</v>
      </c>
    </row>
    <row r="999" spans="1:2" x14ac:dyDescent="0.35">
      <c r="A999" s="10">
        <v>67244</v>
      </c>
      <c r="B999" s="13" t="s">
        <v>722</v>
      </c>
    </row>
    <row r="1000" spans="1:2" x14ac:dyDescent="0.35">
      <c r="A1000" s="10">
        <v>67245</v>
      </c>
      <c r="B1000" s="13" t="s">
        <v>722</v>
      </c>
    </row>
    <row r="1001" spans="1:2" x14ac:dyDescent="0.35">
      <c r="A1001" s="10">
        <v>67290</v>
      </c>
      <c r="B1001" s="13" t="s">
        <v>723</v>
      </c>
    </row>
    <row r="1002" spans="1:2" x14ac:dyDescent="0.35">
      <c r="A1002" s="10">
        <v>67318</v>
      </c>
      <c r="B1002" s="13" t="s">
        <v>724</v>
      </c>
    </row>
    <row r="1003" spans="1:2" x14ac:dyDescent="0.35">
      <c r="A1003" s="10">
        <v>67328</v>
      </c>
      <c r="B1003" s="13" t="s">
        <v>725</v>
      </c>
    </row>
    <row r="1004" spans="1:2" x14ac:dyDescent="0.35">
      <c r="A1004" s="10">
        <v>67352</v>
      </c>
      <c r="B1004" s="13" t="s">
        <v>726</v>
      </c>
    </row>
    <row r="1005" spans="1:2" x14ac:dyDescent="0.35">
      <c r="A1005" s="10">
        <v>67457</v>
      </c>
      <c r="B1005" s="13" t="s">
        <v>727</v>
      </c>
    </row>
    <row r="1006" spans="1:2" x14ac:dyDescent="0.35">
      <c r="A1006" s="10">
        <v>67492</v>
      </c>
      <c r="B1006" s="13" t="s">
        <v>728</v>
      </c>
    </row>
    <row r="1007" spans="1:2" x14ac:dyDescent="0.35">
      <c r="A1007" s="10">
        <v>67513</v>
      </c>
      <c r="B1007" s="13" t="s">
        <v>729</v>
      </c>
    </row>
    <row r="1008" spans="1:2" x14ac:dyDescent="0.35">
      <c r="A1008" s="10">
        <v>67526</v>
      </c>
      <c r="B1008" s="13" t="s">
        <v>730</v>
      </c>
    </row>
    <row r="1009" spans="1:2" x14ac:dyDescent="0.35">
      <c r="A1009" s="10">
        <v>67566</v>
      </c>
      <c r="B1009" s="13" t="s">
        <v>731</v>
      </c>
    </row>
    <row r="1010" spans="1:2" x14ac:dyDescent="0.35">
      <c r="A1010" s="10">
        <v>67573</v>
      </c>
      <c r="B1010" s="13" t="s">
        <v>721</v>
      </c>
    </row>
    <row r="1011" spans="1:2" x14ac:dyDescent="0.35">
      <c r="A1011" s="10">
        <v>67629</v>
      </c>
      <c r="B1011" s="13" t="s">
        <v>722</v>
      </c>
    </row>
    <row r="1012" spans="1:2" x14ac:dyDescent="0.35">
      <c r="A1012" s="10">
        <v>67630</v>
      </c>
      <c r="B1012" s="13" t="s">
        <v>722</v>
      </c>
    </row>
    <row r="1013" spans="1:2" x14ac:dyDescent="0.35">
      <c r="A1013" s="10">
        <v>67675</v>
      </c>
      <c r="B1013" s="13" t="s">
        <v>723</v>
      </c>
    </row>
    <row r="1014" spans="1:2" x14ac:dyDescent="0.35">
      <c r="A1014" s="10">
        <v>67683</v>
      </c>
      <c r="B1014" s="13" t="s">
        <v>724</v>
      </c>
    </row>
    <row r="1015" spans="1:2" x14ac:dyDescent="0.35">
      <c r="A1015" s="10">
        <v>67693</v>
      </c>
      <c r="B1015" s="13" t="s">
        <v>725</v>
      </c>
    </row>
    <row r="1016" spans="1:2" x14ac:dyDescent="0.35">
      <c r="A1016" s="10">
        <v>67737</v>
      </c>
      <c r="B1016" s="13" t="s">
        <v>726</v>
      </c>
    </row>
    <row r="1017" spans="1:2" x14ac:dyDescent="0.35">
      <c r="A1017" s="10">
        <v>67822</v>
      </c>
      <c r="B1017" s="13" t="s">
        <v>727</v>
      </c>
    </row>
    <row r="1018" spans="1:2" x14ac:dyDescent="0.35">
      <c r="A1018" s="10">
        <v>67857</v>
      </c>
      <c r="B1018" s="13" t="s">
        <v>728</v>
      </c>
    </row>
    <row r="1019" spans="1:2" x14ac:dyDescent="0.35">
      <c r="A1019" s="10">
        <v>67878</v>
      </c>
      <c r="B1019" s="13" t="s">
        <v>729</v>
      </c>
    </row>
    <row r="1020" spans="1:2" x14ac:dyDescent="0.35">
      <c r="A1020" s="10">
        <v>67891</v>
      </c>
      <c r="B1020" s="13" t="s">
        <v>730</v>
      </c>
    </row>
    <row r="1021" spans="1:2" x14ac:dyDescent="0.35">
      <c r="A1021" s="10">
        <v>67931</v>
      </c>
      <c r="B1021" s="13" t="s">
        <v>731</v>
      </c>
    </row>
    <row r="1022" spans="1:2" x14ac:dyDescent="0.35">
      <c r="A1022" s="10">
        <v>67938</v>
      </c>
      <c r="B1022" s="13" t="s">
        <v>721</v>
      </c>
    </row>
    <row r="1023" spans="1:2" x14ac:dyDescent="0.35">
      <c r="A1023" s="10">
        <v>67979</v>
      </c>
      <c r="B1023" s="13" t="s">
        <v>722</v>
      </c>
    </row>
    <row r="1024" spans="1:2" x14ac:dyDescent="0.35">
      <c r="A1024" s="10">
        <v>67980</v>
      </c>
      <c r="B1024" s="13" t="s">
        <v>722</v>
      </c>
    </row>
    <row r="1025" spans="1:2" x14ac:dyDescent="0.35">
      <c r="A1025" s="10">
        <v>68025</v>
      </c>
      <c r="B1025" s="13" t="s">
        <v>723</v>
      </c>
    </row>
    <row r="1026" spans="1:2" x14ac:dyDescent="0.35">
      <c r="A1026" s="10">
        <v>68048</v>
      </c>
      <c r="B1026" s="13" t="s">
        <v>724</v>
      </c>
    </row>
    <row r="1027" spans="1:2" x14ac:dyDescent="0.35">
      <c r="A1027" s="10">
        <v>68058</v>
      </c>
      <c r="B1027" s="13" t="s">
        <v>725</v>
      </c>
    </row>
    <row r="1028" spans="1:2" x14ac:dyDescent="0.35">
      <c r="A1028" s="10">
        <v>68087</v>
      </c>
      <c r="B1028" s="13" t="s">
        <v>726</v>
      </c>
    </row>
    <row r="1029" spans="1:2" x14ac:dyDescent="0.35">
      <c r="A1029" s="10">
        <v>68187</v>
      </c>
      <c r="B1029" s="13" t="s">
        <v>727</v>
      </c>
    </row>
    <row r="1030" spans="1:2" x14ac:dyDescent="0.35">
      <c r="A1030" s="10">
        <v>68222</v>
      </c>
      <c r="B1030" s="13" t="s">
        <v>728</v>
      </c>
    </row>
    <row r="1031" spans="1:2" x14ac:dyDescent="0.35">
      <c r="A1031" s="10">
        <v>68243</v>
      </c>
      <c r="B1031" s="13" t="s">
        <v>729</v>
      </c>
    </row>
    <row r="1032" spans="1:2" x14ac:dyDescent="0.35">
      <c r="A1032" s="10">
        <v>68256</v>
      </c>
      <c r="B1032" s="13" t="s">
        <v>730</v>
      </c>
    </row>
    <row r="1033" spans="1:2" x14ac:dyDescent="0.35">
      <c r="A1033" s="10">
        <v>68296</v>
      </c>
      <c r="B1033" s="13" t="s">
        <v>731</v>
      </c>
    </row>
    <row r="1034" spans="1:2" x14ac:dyDescent="0.35">
      <c r="A1034" s="10">
        <v>68303</v>
      </c>
      <c r="B1034" s="13" t="s">
        <v>721</v>
      </c>
    </row>
    <row r="1035" spans="1:2" x14ac:dyDescent="0.35">
      <c r="A1035" s="10">
        <v>68364</v>
      </c>
      <c r="B1035" s="13" t="s">
        <v>722</v>
      </c>
    </row>
    <row r="1036" spans="1:2" x14ac:dyDescent="0.35">
      <c r="A1036" s="10">
        <v>68365</v>
      </c>
      <c r="B1036" s="13" t="s">
        <v>722</v>
      </c>
    </row>
    <row r="1037" spans="1:2" x14ac:dyDescent="0.35">
      <c r="A1037" s="10">
        <v>68410</v>
      </c>
      <c r="B1037" s="13" t="s">
        <v>723</v>
      </c>
    </row>
    <row r="1038" spans="1:2" x14ac:dyDescent="0.35">
      <c r="A1038" s="10">
        <v>68413</v>
      </c>
      <c r="B1038" s="13" t="s">
        <v>724</v>
      </c>
    </row>
    <row r="1039" spans="1:2" x14ac:dyDescent="0.35">
      <c r="A1039" s="10">
        <v>68423</v>
      </c>
      <c r="B1039" s="13" t="s">
        <v>725</v>
      </c>
    </row>
    <row r="1040" spans="1:2" x14ac:dyDescent="0.35">
      <c r="A1040" s="10">
        <v>68472</v>
      </c>
      <c r="B1040" s="13" t="s">
        <v>726</v>
      </c>
    </row>
    <row r="1041" spans="1:2" x14ac:dyDescent="0.35">
      <c r="A1041" s="10">
        <v>68552</v>
      </c>
      <c r="B1041" s="13" t="s">
        <v>727</v>
      </c>
    </row>
    <row r="1042" spans="1:2" x14ac:dyDescent="0.35">
      <c r="A1042" s="10">
        <v>68587</v>
      </c>
      <c r="B1042" s="13" t="s">
        <v>728</v>
      </c>
    </row>
    <row r="1043" spans="1:2" x14ac:dyDescent="0.35">
      <c r="A1043" s="10">
        <v>68608</v>
      </c>
      <c r="B1043" s="13" t="s">
        <v>729</v>
      </c>
    </row>
    <row r="1044" spans="1:2" x14ac:dyDescent="0.35">
      <c r="A1044" s="10">
        <v>68621</v>
      </c>
      <c r="B1044" s="13" t="s">
        <v>730</v>
      </c>
    </row>
    <row r="1045" spans="1:2" x14ac:dyDescent="0.35">
      <c r="A1045" s="10">
        <v>68661</v>
      </c>
      <c r="B1045" s="13" t="s">
        <v>731</v>
      </c>
    </row>
    <row r="1046" spans="1:2" x14ac:dyDescent="0.35">
      <c r="A1046" s="10">
        <v>68668</v>
      </c>
      <c r="B1046" s="13" t="s">
        <v>721</v>
      </c>
    </row>
    <row r="1047" spans="1:2" x14ac:dyDescent="0.35">
      <c r="A1047" s="10">
        <v>68721</v>
      </c>
      <c r="B1047" s="13" t="s">
        <v>722</v>
      </c>
    </row>
    <row r="1048" spans="1:2" x14ac:dyDescent="0.35">
      <c r="A1048" s="10">
        <v>68722</v>
      </c>
      <c r="B1048" s="13" t="s">
        <v>722</v>
      </c>
    </row>
    <row r="1049" spans="1:2" x14ac:dyDescent="0.35">
      <c r="A1049" s="10">
        <v>68767</v>
      </c>
      <c r="B1049" s="13" t="s">
        <v>723</v>
      </c>
    </row>
    <row r="1050" spans="1:2" x14ac:dyDescent="0.35">
      <c r="A1050" s="10">
        <v>68779</v>
      </c>
      <c r="B1050" s="13" t="s">
        <v>724</v>
      </c>
    </row>
    <row r="1051" spans="1:2" x14ac:dyDescent="0.35">
      <c r="A1051" s="10">
        <v>68789</v>
      </c>
      <c r="B1051" s="13" t="s">
        <v>725</v>
      </c>
    </row>
    <row r="1052" spans="1:2" x14ac:dyDescent="0.35">
      <c r="A1052" s="10">
        <v>68829</v>
      </c>
      <c r="B1052" s="13" t="s">
        <v>726</v>
      </c>
    </row>
    <row r="1053" spans="1:2" x14ac:dyDescent="0.35">
      <c r="A1053" s="10">
        <v>68918</v>
      </c>
      <c r="B1053" s="13" t="s">
        <v>727</v>
      </c>
    </row>
    <row r="1054" spans="1:2" x14ac:dyDescent="0.35">
      <c r="A1054" s="10">
        <v>68953</v>
      </c>
      <c r="B1054" s="13" t="s">
        <v>728</v>
      </c>
    </row>
    <row r="1055" spans="1:2" x14ac:dyDescent="0.35">
      <c r="A1055" s="10">
        <v>68974</v>
      </c>
      <c r="B1055" s="13" t="s">
        <v>729</v>
      </c>
    </row>
    <row r="1056" spans="1:2" x14ac:dyDescent="0.35">
      <c r="A1056" s="10">
        <v>68987</v>
      </c>
      <c r="B1056" s="13" t="s">
        <v>730</v>
      </c>
    </row>
    <row r="1057" spans="1:2" x14ac:dyDescent="0.35">
      <c r="A1057" s="10">
        <v>69027</v>
      </c>
      <c r="B1057" s="13" t="s">
        <v>731</v>
      </c>
    </row>
    <row r="1058" spans="1:2" x14ac:dyDescent="0.35">
      <c r="A1058" s="10">
        <v>69034</v>
      </c>
      <c r="B1058" s="13" t="s">
        <v>721</v>
      </c>
    </row>
    <row r="1059" spans="1:2" x14ac:dyDescent="0.35">
      <c r="A1059" s="10">
        <v>69078</v>
      </c>
      <c r="B1059" s="13" t="s">
        <v>722</v>
      </c>
    </row>
    <row r="1060" spans="1:2" x14ac:dyDescent="0.35">
      <c r="A1060" s="10">
        <v>69079</v>
      </c>
      <c r="B1060" s="13" t="s">
        <v>722</v>
      </c>
    </row>
    <row r="1061" spans="1:2" x14ac:dyDescent="0.35">
      <c r="A1061" s="10">
        <v>69124</v>
      </c>
      <c r="B1061" s="13" t="s">
        <v>723</v>
      </c>
    </row>
    <row r="1062" spans="1:2" x14ac:dyDescent="0.35">
      <c r="A1062" s="10">
        <v>69144</v>
      </c>
      <c r="B1062" s="13" t="s">
        <v>724</v>
      </c>
    </row>
    <row r="1063" spans="1:2" x14ac:dyDescent="0.35">
      <c r="A1063" s="10">
        <v>69154</v>
      </c>
      <c r="B1063" s="13" t="s">
        <v>725</v>
      </c>
    </row>
    <row r="1064" spans="1:2" x14ac:dyDescent="0.35">
      <c r="A1064" s="10">
        <v>69186</v>
      </c>
      <c r="B1064" s="13" t="s">
        <v>726</v>
      </c>
    </row>
    <row r="1065" spans="1:2" x14ac:dyDescent="0.35">
      <c r="A1065" s="10">
        <v>69283</v>
      </c>
      <c r="B1065" s="13" t="s">
        <v>727</v>
      </c>
    </row>
    <row r="1066" spans="1:2" x14ac:dyDescent="0.35">
      <c r="A1066" s="10">
        <v>69318</v>
      </c>
      <c r="B1066" s="13" t="s">
        <v>728</v>
      </c>
    </row>
    <row r="1067" spans="1:2" x14ac:dyDescent="0.35">
      <c r="A1067" s="10">
        <v>69339</v>
      </c>
      <c r="B1067" s="13" t="s">
        <v>729</v>
      </c>
    </row>
    <row r="1068" spans="1:2" x14ac:dyDescent="0.35">
      <c r="A1068" s="10">
        <v>69352</v>
      </c>
      <c r="B1068" s="13" t="s">
        <v>730</v>
      </c>
    </row>
    <row r="1069" spans="1:2" x14ac:dyDescent="0.35">
      <c r="A1069" s="10">
        <v>69392</v>
      </c>
      <c r="B1069" s="13" t="s">
        <v>731</v>
      </c>
    </row>
    <row r="1070" spans="1:2" x14ac:dyDescent="0.35">
      <c r="A1070" s="10">
        <v>69399</v>
      </c>
      <c r="B1070" s="13" t="s">
        <v>721</v>
      </c>
    </row>
    <row r="1071" spans="1:2" x14ac:dyDescent="0.35">
      <c r="A1071" s="10">
        <v>69456</v>
      </c>
      <c r="B1071" s="13" t="s">
        <v>722</v>
      </c>
    </row>
    <row r="1072" spans="1:2" x14ac:dyDescent="0.35">
      <c r="A1072" s="10">
        <v>69457</v>
      </c>
      <c r="B1072" s="13" t="s">
        <v>722</v>
      </c>
    </row>
    <row r="1073" spans="1:2" x14ac:dyDescent="0.35">
      <c r="A1073" s="10">
        <v>69502</v>
      </c>
      <c r="B1073" s="13" t="s">
        <v>723</v>
      </c>
    </row>
    <row r="1074" spans="1:2" x14ac:dyDescent="0.35">
      <c r="A1074" s="10">
        <v>69509</v>
      </c>
      <c r="B1074" s="13" t="s">
        <v>724</v>
      </c>
    </row>
    <row r="1075" spans="1:2" x14ac:dyDescent="0.35">
      <c r="A1075" s="10">
        <v>69519</v>
      </c>
      <c r="B1075" s="13" t="s">
        <v>725</v>
      </c>
    </row>
    <row r="1076" spans="1:2" x14ac:dyDescent="0.35">
      <c r="A1076" s="10">
        <v>69564</v>
      </c>
      <c r="B1076" s="13" t="s">
        <v>726</v>
      </c>
    </row>
    <row r="1077" spans="1:2" x14ac:dyDescent="0.35">
      <c r="A1077" s="10">
        <v>69648</v>
      </c>
      <c r="B1077" s="13" t="s">
        <v>727</v>
      </c>
    </row>
    <row r="1078" spans="1:2" x14ac:dyDescent="0.35">
      <c r="A1078" s="10">
        <v>69683</v>
      </c>
      <c r="B1078" s="13" t="s">
        <v>728</v>
      </c>
    </row>
    <row r="1079" spans="1:2" x14ac:dyDescent="0.35">
      <c r="A1079" s="10">
        <v>69704</v>
      </c>
      <c r="B1079" s="13" t="s">
        <v>729</v>
      </c>
    </row>
    <row r="1080" spans="1:2" x14ac:dyDescent="0.35">
      <c r="A1080" s="10">
        <v>69717</v>
      </c>
      <c r="B1080" s="13" t="s">
        <v>730</v>
      </c>
    </row>
    <row r="1081" spans="1:2" x14ac:dyDescent="0.35">
      <c r="A1081" s="10">
        <v>69757</v>
      </c>
      <c r="B1081" s="13" t="s">
        <v>731</v>
      </c>
    </row>
    <row r="1082" spans="1:2" x14ac:dyDescent="0.35">
      <c r="A1082" s="10">
        <v>69764</v>
      </c>
      <c r="B1082" s="13" t="s">
        <v>721</v>
      </c>
    </row>
    <row r="1083" spans="1:2" x14ac:dyDescent="0.35">
      <c r="A1083" s="10">
        <v>69813</v>
      </c>
      <c r="B1083" s="13" t="s">
        <v>722</v>
      </c>
    </row>
    <row r="1084" spans="1:2" x14ac:dyDescent="0.35">
      <c r="A1084" s="10">
        <v>69814</v>
      </c>
      <c r="B1084" s="13" t="s">
        <v>722</v>
      </c>
    </row>
    <row r="1085" spans="1:2" x14ac:dyDescent="0.35">
      <c r="A1085" s="10">
        <v>69859</v>
      </c>
      <c r="B1085" s="13" t="s">
        <v>723</v>
      </c>
    </row>
    <row r="1086" spans="1:2" x14ac:dyDescent="0.35">
      <c r="A1086" s="10">
        <v>69874</v>
      </c>
      <c r="B1086" s="13" t="s">
        <v>724</v>
      </c>
    </row>
    <row r="1087" spans="1:2" x14ac:dyDescent="0.35">
      <c r="A1087" s="10">
        <v>69884</v>
      </c>
      <c r="B1087" s="13" t="s">
        <v>725</v>
      </c>
    </row>
    <row r="1088" spans="1:2" x14ac:dyDescent="0.35">
      <c r="A1088" s="10">
        <v>69921</v>
      </c>
      <c r="B1088" s="13" t="s">
        <v>726</v>
      </c>
    </row>
    <row r="1089" spans="1:2" x14ac:dyDescent="0.35">
      <c r="A1089" s="10">
        <v>70013</v>
      </c>
      <c r="B1089" s="13" t="s">
        <v>727</v>
      </c>
    </row>
    <row r="1090" spans="1:2" x14ac:dyDescent="0.35">
      <c r="A1090" s="10">
        <v>70048</v>
      </c>
      <c r="B1090" s="13" t="s">
        <v>728</v>
      </c>
    </row>
    <row r="1091" spans="1:2" x14ac:dyDescent="0.35">
      <c r="A1091" s="10">
        <v>70069</v>
      </c>
      <c r="B1091" s="13" t="s">
        <v>729</v>
      </c>
    </row>
    <row r="1092" spans="1:2" x14ac:dyDescent="0.35">
      <c r="A1092" s="10">
        <v>70082</v>
      </c>
      <c r="B1092" s="13" t="s">
        <v>730</v>
      </c>
    </row>
    <row r="1093" spans="1:2" x14ac:dyDescent="0.35">
      <c r="A1093" s="10">
        <v>70122</v>
      </c>
      <c r="B1093" s="13" t="s">
        <v>731</v>
      </c>
    </row>
    <row r="1094" spans="1:2" x14ac:dyDescent="0.35">
      <c r="A1094" s="10">
        <v>70129</v>
      </c>
      <c r="B1094" s="13" t="s">
        <v>721</v>
      </c>
    </row>
    <row r="1095" spans="1:2" x14ac:dyDescent="0.35">
      <c r="A1095" s="10">
        <v>70170</v>
      </c>
      <c r="B1095" s="13" t="s">
        <v>722</v>
      </c>
    </row>
    <row r="1096" spans="1:2" x14ac:dyDescent="0.35">
      <c r="A1096" s="10">
        <v>70171</v>
      </c>
      <c r="B1096" s="13" t="s">
        <v>722</v>
      </c>
    </row>
    <row r="1097" spans="1:2" x14ac:dyDescent="0.35">
      <c r="A1097" s="10">
        <v>70216</v>
      </c>
      <c r="B1097" s="13" t="s">
        <v>723</v>
      </c>
    </row>
    <row r="1098" spans="1:2" x14ac:dyDescent="0.35">
      <c r="A1098" s="10">
        <v>70240</v>
      </c>
      <c r="B1098" s="13" t="s">
        <v>724</v>
      </c>
    </row>
    <row r="1099" spans="1:2" x14ac:dyDescent="0.35">
      <c r="A1099" s="10">
        <v>70250</v>
      </c>
      <c r="B1099" s="13" t="s">
        <v>725</v>
      </c>
    </row>
    <row r="1100" spans="1:2" x14ac:dyDescent="0.35">
      <c r="A1100" s="10">
        <v>70278</v>
      </c>
      <c r="B1100" s="13" t="s">
        <v>726</v>
      </c>
    </row>
    <row r="1101" spans="1:2" x14ac:dyDescent="0.35">
      <c r="A1101" s="10">
        <v>70379</v>
      </c>
      <c r="B1101" s="13" t="s">
        <v>727</v>
      </c>
    </row>
    <row r="1102" spans="1:2" x14ac:dyDescent="0.35">
      <c r="A1102" s="10">
        <v>70414</v>
      </c>
      <c r="B1102" s="13" t="s">
        <v>728</v>
      </c>
    </row>
    <row r="1103" spans="1:2" x14ac:dyDescent="0.35">
      <c r="A1103" s="10">
        <v>70435</v>
      </c>
      <c r="B1103" s="13" t="s">
        <v>729</v>
      </c>
    </row>
    <row r="1104" spans="1:2" x14ac:dyDescent="0.35">
      <c r="A1104" s="10">
        <v>70448</v>
      </c>
      <c r="B1104" s="13" t="s">
        <v>730</v>
      </c>
    </row>
    <row r="1105" spans="1:2" x14ac:dyDescent="0.35">
      <c r="A1105" s="10">
        <v>70488</v>
      </c>
      <c r="B1105" s="13" t="s">
        <v>731</v>
      </c>
    </row>
    <row r="1106" spans="1:2" x14ac:dyDescent="0.35">
      <c r="A1106" s="10">
        <v>70495</v>
      </c>
      <c r="B1106" s="13" t="s">
        <v>721</v>
      </c>
    </row>
    <row r="1107" spans="1:2" x14ac:dyDescent="0.35">
      <c r="A1107" s="10">
        <v>70548</v>
      </c>
      <c r="B1107" s="13" t="s">
        <v>722</v>
      </c>
    </row>
    <row r="1108" spans="1:2" x14ac:dyDescent="0.35">
      <c r="A1108" s="10">
        <v>70549</v>
      </c>
      <c r="B1108" s="13" t="s">
        <v>722</v>
      </c>
    </row>
    <row r="1109" spans="1:2" x14ac:dyDescent="0.35">
      <c r="A1109" s="10">
        <v>70594</v>
      </c>
      <c r="B1109" s="13" t="s">
        <v>723</v>
      </c>
    </row>
    <row r="1110" spans="1:2" x14ac:dyDescent="0.35">
      <c r="A1110" s="10">
        <v>70605</v>
      </c>
      <c r="B1110" s="13" t="s">
        <v>724</v>
      </c>
    </row>
    <row r="1111" spans="1:2" x14ac:dyDescent="0.35">
      <c r="A1111" s="10">
        <v>70615</v>
      </c>
      <c r="B1111" s="13" t="s">
        <v>725</v>
      </c>
    </row>
    <row r="1112" spans="1:2" x14ac:dyDescent="0.35">
      <c r="A1112" s="10">
        <v>70656</v>
      </c>
      <c r="B1112" s="13" t="s">
        <v>726</v>
      </c>
    </row>
    <row r="1113" spans="1:2" x14ac:dyDescent="0.35">
      <c r="A1113" s="10">
        <v>70744</v>
      </c>
      <c r="B1113" s="13" t="s">
        <v>727</v>
      </c>
    </row>
    <row r="1114" spans="1:2" x14ac:dyDescent="0.35">
      <c r="A1114" s="10">
        <v>70779</v>
      </c>
      <c r="B1114" s="13" t="s">
        <v>728</v>
      </c>
    </row>
    <row r="1115" spans="1:2" x14ac:dyDescent="0.35">
      <c r="A1115" s="10">
        <v>70800</v>
      </c>
      <c r="B1115" s="13" t="s">
        <v>729</v>
      </c>
    </row>
    <row r="1116" spans="1:2" x14ac:dyDescent="0.35">
      <c r="A1116" s="10">
        <v>70813</v>
      </c>
      <c r="B1116" s="13" t="s">
        <v>730</v>
      </c>
    </row>
    <row r="1117" spans="1:2" x14ac:dyDescent="0.35">
      <c r="A1117" s="10">
        <v>70853</v>
      </c>
      <c r="B1117" s="13" t="s">
        <v>731</v>
      </c>
    </row>
    <row r="1118" spans="1:2" x14ac:dyDescent="0.35">
      <c r="A1118" s="10">
        <v>70860</v>
      </c>
      <c r="B1118" s="13" t="s">
        <v>721</v>
      </c>
    </row>
    <row r="1119" spans="1:2" x14ac:dyDescent="0.35">
      <c r="A1119" s="10">
        <v>70905</v>
      </c>
      <c r="B1119" s="13" t="s">
        <v>722</v>
      </c>
    </row>
    <row r="1120" spans="1:2" x14ac:dyDescent="0.35">
      <c r="A1120" s="10">
        <v>70906</v>
      </c>
      <c r="B1120" s="13" t="s">
        <v>722</v>
      </c>
    </row>
    <row r="1121" spans="1:2" x14ac:dyDescent="0.35">
      <c r="A1121" s="10">
        <v>70951</v>
      </c>
      <c r="B1121" s="13" t="s">
        <v>723</v>
      </c>
    </row>
    <row r="1122" spans="1:2" x14ac:dyDescent="0.35">
      <c r="A1122" s="10">
        <v>70970</v>
      </c>
      <c r="B1122" s="13" t="s">
        <v>724</v>
      </c>
    </row>
    <row r="1123" spans="1:2" x14ac:dyDescent="0.35">
      <c r="A1123" s="10">
        <v>70980</v>
      </c>
      <c r="B1123" s="13" t="s">
        <v>725</v>
      </c>
    </row>
    <row r="1124" spans="1:2" x14ac:dyDescent="0.35">
      <c r="A1124" s="10">
        <v>71013</v>
      </c>
      <c r="B1124" s="13" t="s">
        <v>726</v>
      </c>
    </row>
    <row r="1125" spans="1:2" x14ac:dyDescent="0.35">
      <c r="A1125" s="10">
        <v>71109</v>
      </c>
      <c r="B1125" s="13" t="s">
        <v>727</v>
      </c>
    </row>
    <row r="1126" spans="1:2" x14ac:dyDescent="0.35">
      <c r="A1126" s="10">
        <v>71144</v>
      </c>
      <c r="B1126" s="13" t="s">
        <v>728</v>
      </c>
    </row>
    <row r="1127" spans="1:2" x14ac:dyDescent="0.35">
      <c r="A1127" s="10">
        <v>71165</v>
      </c>
      <c r="B1127" s="13" t="s">
        <v>729</v>
      </c>
    </row>
    <row r="1128" spans="1:2" x14ac:dyDescent="0.35">
      <c r="A1128" s="10">
        <v>71178</v>
      </c>
      <c r="B1128" s="13" t="s">
        <v>730</v>
      </c>
    </row>
    <row r="1129" spans="1:2" x14ac:dyDescent="0.35">
      <c r="A1129" s="10">
        <v>71218</v>
      </c>
      <c r="B1129" s="13" t="s">
        <v>731</v>
      </c>
    </row>
    <row r="1130" spans="1:2" x14ac:dyDescent="0.35">
      <c r="A1130" s="10">
        <v>71225</v>
      </c>
      <c r="B1130" s="13" t="s">
        <v>721</v>
      </c>
    </row>
    <row r="1131" spans="1:2" x14ac:dyDescent="0.35">
      <c r="A1131" s="10">
        <v>71290</v>
      </c>
      <c r="B1131" s="13" t="s">
        <v>722</v>
      </c>
    </row>
    <row r="1132" spans="1:2" x14ac:dyDescent="0.35">
      <c r="A1132" s="10">
        <v>71291</v>
      </c>
      <c r="B1132" s="13" t="s">
        <v>722</v>
      </c>
    </row>
    <row r="1133" spans="1:2" x14ac:dyDescent="0.35">
      <c r="A1133" s="10">
        <v>71335</v>
      </c>
      <c r="B1133" s="13" t="s">
        <v>724</v>
      </c>
    </row>
    <row r="1134" spans="1:2" x14ac:dyDescent="0.35">
      <c r="A1134" s="10">
        <v>71336</v>
      </c>
      <c r="B1134" s="13" t="s">
        <v>723</v>
      </c>
    </row>
    <row r="1135" spans="1:2" x14ac:dyDescent="0.35">
      <c r="A1135" s="10">
        <v>71345</v>
      </c>
      <c r="B1135" s="13" t="s">
        <v>725</v>
      </c>
    </row>
    <row r="1136" spans="1:2" x14ac:dyDescent="0.35">
      <c r="A1136" s="10">
        <v>71398</v>
      </c>
      <c r="B1136" s="13" t="s">
        <v>726</v>
      </c>
    </row>
    <row r="1137" spans="1:2" x14ac:dyDescent="0.35">
      <c r="A1137" s="10">
        <v>71474</v>
      </c>
      <c r="B1137" s="13" t="s">
        <v>727</v>
      </c>
    </row>
    <row r="1138" spans="1:2" x14ac:dyDescent="0.35">
      <c r="A1138" s="10">
        <v>71509</v>
      </c>
      <c r="B1138" s="13" t="s">
        <v>728</v>
      </c>
    </row>
    <row r="1139" spans="1:2" x14ac:dyDescent="0.35">
      <c r="A1139" s="10">
        <v>71530</v>
      </c>
      <c r="B1139" s="13" t="s">
        <v>729</v>
      </c>
    </row>
    <row r="1140" spans="1:2" x14ac:dyDescent="0.35">
      <c r="A1140" s="10">
        <v>71543</v>
      </c>
      <c r="B1140" s="13" t="s">
        <v>730</v>
      </c>
    </row>
    <row r="1141" spans="1:2" x14ac:dyDescent="0.35">
      <c r="A1141" s="10">
        <v>71583</v>
      </c>
      <c r="B1141" s="13" t="s">
        <v>731</v>
      </c>
    </row>
    <row r="1142" spans="1:2" x14ac:dyDescent="0.35">
      <c r="A1142" s="10">
        <v>71590</v>
      </c>
      <c r="B1142" s="13" t="s">
        <v>721</v>
      </c>
    </row>
    <row r="1143" spans="1:2" x14ac:dyDescent="0.35">
      <c r="A1143" s="10">
        <v>71647</v>
      </c>
      <c r="B1143" s="13" t="s">
        <v>722</v>
      </c>
    </row>
    <row r="1144" spans="1:2" x14ac:dyDescent="0.35">
      <c r="A1144" s="10">
        <v>71648</v>
      </c>
      <c r="B1144" s="13" t="s">
        <v>722</v>
      </c>
    </row>
    <row r="1145" spans="1:2" x14ac:dyDescent="0.35">
      <c r="A1145" s="10">
        <v>71693</v>
      </c>
      <c r="B1145" s="13" t="s">
        <v>723</v>
      </c>
    </row>
    <row r="1146" spans="1:2" x14ac:dyDescent="0.35">
      <c r="A1146" s="10">
        <v>71701</v>
      </c>
      <c r="B1146" s="13" t="s">
        <v>724</v>
      </c>
    </row>
    <row r="1147" spans="1:2" x14ac:dyDescent="0.35">
      <c r="A1147" s="10">
        <v>71711</v>
      </c>
      <c r="B1147" s="13" t="s">
        <v>725</v>
      </c>
    </row>
    <row r="1148" spans="1:2" x14ac:dyDescent="0.35">
      <c r="A1148" s="10">
        <v>71755</v>
      </c>
      <c r="B1148" s="13" t="s">
        <v>726</v>
      </c>
    </row>
    <row r="1149" spans="1:2" x14ac:dyDescent="0.35">
      <c r="A1149" s="10">
        <v>71840</v>
      </c>
      <c r="B1149" s="13" t="s">
        <v>727</v>
      </c>
    </row>
    <row r="1150" spans="1:2" x14ac:dyDescent="0.35">
      <c r="A1150" s="10">
        <v>71875</v>
      </c>
      <c r="B1150" s="13" t="s">
        <v>728</v>
      </c>
    </row>
    <row r="1151" spans="1:2" x14ac:dyDescent="0.35">
      <c r="A1151" s="10">
        <v>71896</v>
      </c>
      <c r="B1151" s="13" t="s">
        <v>729</v>
      </c>
    </row>
    <row r="1152" spans="1:2" x14ac:dyDescent="0.35">
      <c r="A1152" s="10">
        <v>71909</v>
      </c>
      <c r="B1152" s="13" t="s">
        <v>730</v>
      </c>
    </row>
    <row r="1153" spans="1:2" x14ac:dyDescent="0.35">
      <c r="A1153" s="10">
        <v>71949</v>
      </c>
      <c r="B1153" s="13" t="s">
        <v>731</v>
      </c>
    </row>
    <row r="1154" spans="1:2" x14ac:dyDescent="0.35">
      <c r="A1154" s="10">
        <v>71956</v>
      </c>
      <c r="B1154" s="13" t="s">
        <v>721</v>
      </c>
    </row>
    <row r="1155" spans="1:2" x14ac:dyDescent="0.35">
      <c r="A1155" s="10">
        <v>71997</v>
      </c>
      <c r="B1155" s="13" t="s">
        <v>722</v>
      </c>
    </row>
    <row r="1156" spans="1:2" x14ac:dyDescent="0.35">
      <c r="A1156" s="10">
        <v>71998</v>
      </c>
      <c r="B1156" s="13" t="s">
        <v>722</v>
      </c>
    </row>
    <row r="1157" spans="1:2" x14ac:dyDescent="0.35">
      <c r="A1157" s="10">
        <v>72043</v>
      </c>
      <c r="B1157" s="13" t="s">
        <v>723</v>
      </c>
    </row>
    <row r="1158" spans="1:2" x14ac:dyDescent="0.35">
      <c r="A1158" s="10">
        <v>72066</v>
      </c>
      <c r="B1158" s="13" t="s">
        <v>724</v>
      </c>
    </row>
    <row r="1159" spans="1:2" x14ac:dyDescent="0.35">
      <c r="A1159" s="10">
        <v>72076</v>
      </c>
      <c r="B1159" s="13" t="s">
        <v>725</v>
      </c>
    </row>
    <row r="1160" spans="1:2" x14ac:dyDescent="0.35">
      <c r="A1160" s="10">
        <v>72105</v>
      </c>
      <c r="B1160" s="13" t="s">
        <v>726</v>
      </c>
    </row>
    <row r="1161" spans="1:2" x14ac:dyDescent="0.35">
      <c r="A1161" s="10">
        <v>72205</v>
      </c>
      <c r="B1161" s="13" t="s">
        <v>727</v>
      </c>
    </row>
    <row r="1162" spans="1:2" x14ac:dyDescent="0.35">
      <c r="A1162" s="10">
        <v>72240</v>
      </c>
      <c r="B1162" s="13" t="s">
        <v>728</v>
      </c>
    </row>
    <row r="1163" spans="1:2" x14ac:dyDescent="0.35">
      <c r="A1163" s="10">
        <v>72261</v>
      </c>
      <c r="B1163" s="13" t="s">
        <v>729</v>
      </c>
    </row>
    <row r="1164" spans="1:2" x14ac:dyDescent="0.35">
      <c r="A1164" s="10">
        <v>72274</v>
      </c>
      <c r="B1164" s="13" t="s">
        <v>730</v>
      </c>
    </row>
    <row r="1165" spans="1:2" x14ac:dyDescent="0.35">
      <c r="A1165" s="10">
        <v>72314</v>
      </c>
      <c r="B1165" s="13" t="s">
        <v>731</v>
      </c>
    </row>
    <row r="1166" spans="1:2" x14ac:dyDescent="0.35">
      <c r="A1166" s="10">
        <v>72321</v>
      </c>
      <c r="B1166" s="13" t="s">
        <v>721</v>
      </c>
    </row>
    <row r="1167" spans="1:2" x14ac:dyDescent="0.35">
      <c r="A1167" s="10">
        <v>72382</v>
      </c>
      <c r="B1167" s="13" t="s">
        <v>722</v>
      </c>
    </row>
    <row r="1168" spans="1:2" x14ac:dyDescent="0.35">
      <c r="A1168" s="10">
        <v>72383</v>
      </c>
      <c r="B1168" s="13" t="s">
        <v>722</v>
      </c>
    </row>
    <row r="1169" spans="1:2" x14ac:dyDescent="0.35">
      <c r="A1169" s="10">
        <v>72428</v>
      </c>
      <c r="B1169" s="13" t="s">
        <v>723</v>
      </c>
    </row>
    <row r="1170" spans="1:2" x14ac:dyDescent="0.35">
      <c r="A1170" s="10">
        <v>72431</v>
      </c>
      <c r="B1170" s="13" t="s">
        <v>724</v>
      </c>
    </row>
    <row r="1171" spans="1:2" x14ac:dyDescent="0.35">
      <c r="A1171" s="10">
        <v>72441</v>
      </c>
      <c r="B1171" s="13" t="s">
        <v>725</v>
      </c>
    </row>
    <row r="1172" spans="1:2" x14ac:dyDescent="0.35">
      <c r="A1172" s="10">
        <v>72490</v>
      </c>
      <c r="B1172" s="13" t="s">
        <v>726</v>
      </c>
    </row>
    <row r="1173" spans="1:2" x14ac:dyDescent="0.35">
      <c r="A1173" s="10">
        <v>72570</v>
      </c>
      <c r="B1173" s="13" t="s">
        <v>727</v>
      </c>
    </row>
    <row r="1174" spans="1:2" x14ac:dyDescent="0.35">
      <c r="A1174" s="10">
        <v>72605</v>
      </c>
      <c r="B1174" s="13" t="s">
        <v>728</v>
      </c>
    </row>
    <row r="1175" spans="1:2" x14ac:dyDescent="0.35">
      <c r="A1175" s="10">
        <v>72626</v>
      </c>
      <c r="B1175" s="13" t="s">
        <v>729</v>
      </c>
    </row>
    <row r="1176" spans="1:2" x14ac:dyDescent="0.35">
      <c r="A1176" s="10">
        <v>72639</v>
      </c>
      <c r="B1176" s="13" t="s">
        <v>730</v>
      </c>
    </row>
    <row r="1177" spans="1:2" x14ac:dyDescent="0.35">
      <c r="A1177" s="10">
        <v>72679</v>
      </c>
      <c r="B1177" s="13" t="s">
        <v>731</v>
      </c>
    </row>
    <row r="1178" spans="1:2" x14ac:dyDescent="0.35">
      <c r="A1178" s="10">
        <v>72686</v>
      </c>
      <c r="B1178" s="13" t="s">
        <v>721</v>
      </c>
    </row>
    <row r="1179" spans="1:2" x14ac:dyDescent="0.35">
      <c r="A1179" s="10">
        <v>72739</v>
      </c>
      <c r="B1179" s="13" t="s">
        <v>722</v>
      </c>
    </row>
    <row r="1180" spans="1:2" x14ac:dyDescent="0.35">
      <c r="A1180" s="10">
        <v>72740</v>
      </c>
      <c r="B1180" s="13" t="s">
        <v>722</v>
      </c>
    </row>
    <row r="1181" spans="1:2" x14ac:dyDescent="0.35">
      <c r="A1181" s="10">
        <v>72785</v>
      </c>
      <c r="B1181" s="13" t="s">
        <v>723</v>
      </c>
    </row>
    <row r="1182" spans="1:2" x14ac:dyDescent="0.35">
      <c r="A1182" s="10">
        <v>72796</v>
      </c>
      <c r="B1182" s="13" t="s">
        <v>724</v>
      </c>
    </row>
    <row r="1183" spans="1:2" x14ac:dyDescent="0.35">
      <c r="A1183" s="10">
        <v>72806</v>
      </c>
      <c r="B1183" s="13" t="s">
        <v>725</v>
      </c>
    </row>
    <row r="1184" spans="1:2" x14ac:dyDescent="0.35">
      <c r="A1184" s="10">
        <v>72847</v>
      </c>
      <c r="B1184" s="13" t="s">
        <v>726</v>
      </c>
    </row>
    <row r="1185" spans="1:2" x14ac:dyDescent="0.35">
      <c r="A1185" s="10">
        <v>72935</v>
      </c>
      <c r="B1185" s="13" t="s">
        <v>727</v>
      </c>
    </row>
    <row r="1186" spans="1:2" x14ac:dyDescent="0.35">
      <c r="A1186" s="10">
        <v>72970</v>
      </c>
      <c r="B1186" s="13" t="s">
        <v>728</v>
      </c>
    </row>
    <row r="1187" spans="1:2" x14ac:dyDescent="0.35">
      <c r="A1187" s="10">
        <v>72991</v>
      </c>
      <c r="B1187" s="13" t="s">
        <v>729</v>
      </c>
    </row>
    <row r="1188" spans="1:2" x14ac:dyDescent="0.35">
      <c r="A1188" s="10">
        <v>73004</v>
      </c>
      <c r="B1188" s="13" t="s">
        <v>730</v>
      </c>
    </row>
    <row r="1189" spans="1:2" x14ac:dyDescent="0.35">
      <c r="A1189" s="10">
        <v>73044</v>
      </c>
      <c r="B1189" s="13" t="s">
        <v>731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D384D-3E1E-4999-A45B-9E7186EDDF62}">
  <dimension ref="A1:Y3102"/>
  <sheetViews>
    <sheetView showGridLines="0" topLeftCell="A171" workbookViewId="0">
      <selection activeCell="F179" sqref="F179"/>
    </sheetView>
  </sheetViews>
  <sheetFormatPr defaultRowHeight="14.5" x14ac:dyDescent="0.35"/>
  <cols>
    <col min="1" max="1" width="10.453125" bestFit="1" customWidth="1"/>
    <col min="2" max="2" width="11.1796875" bestFit="1" customWidth="1"/>
    <col min="6" max="6" width="8.26953125" customWidth="1"/>
    <col min="7" max="12" width="11.36328125" customWidth="1"/>
    <col min="15" max="15" width="17.26953125" bestFit="1" customWidth="1"/>
    <col min="16" max="16" width="18.6328125" bestFit="1" customWidth="1"/>
    <col min="17" max="17" width="24" bestFit="1" customWidth="1"/>
    <col min="19" max="19" width="17.26953125" bestFit="1" customWidth="1"/>
    <col min="20" max="20" width="18.6328125" bestFit="1" customWidth="1"/>
    <col min="21" max="21" width="24" bestFit="1" customWidth="1"/>
    <col min="23" max="23" width="17.26953125" bestFit="1" customWidth="1"/>
    <col min="24" max="24" width="18.6328125" bestFit="1" customWidth="1"/>
    <col min="25" max="25" width="24" bestFit="1" customWidth="1"/>
  </cols>
  <sheetData>
    <row r="1" spans="1:25" x14ac:dyDescent="0.35">
      <c r="A1" t="s">
        <v>719</v>
      </c>
      <c r="B1" t="s">
        <v>764</v>
      </c>
    </row>
    <row r="2" spans="1:25" x14ac:dyDescent="0.35">
      <c r="A2" s="7">
        <v>44929</v>
      </c>
      <c r="B2" s="43">
        <v>257</v>
      </c>
      <c r="C2">
        <f>YEAR(A2)</f>
        <v>2023</v>
      </c>
    </row>
    <row r="3" spans="1:25" x14ac:dyDescent="0.35">
      <c r="A3" s="7">
        <v>44925</v>
      </c>
      <c r="B3" s="43">
        <v>256</v>
      </c>
      <c r="C3">
        <f t="shared" ref="C3:C66" si="0">YEAR(A3)</f>
        <v>2022</v>
      </c>
      <c r="M3" s="51" t="s">
        <v>765</v>
      </c>
    </row>
    <row r="4" spans="1:25" x14ac:dyDescent="0.35">
      <c r="A4" s="7">
        <v>44924</v>
      </c>
      <c r="B4" s="43">
        <v>260</v>
      </c>
      <c r="C4">
        <f t="shared" si="0"/>
        <v>2022</v>
      </c>
    </row>
    <row r="5" spans="1:25" x14ac:dyDescent="0.35">
      <c r="A5" s="7">
        <v>44923</v>
      </c>
      <c r="B5" s="43">
        <v>255</v>
      </c>
      <c r="C5">
        <f t="shared" si="0"/>
        <v>2022</v>
      </c>
    </row>
    <row r="6" spans="1:25" x14ac:dyDescent="0.35">
      <c r="A6" s="7">
        <v>44922</v>
      </c>
      <c r="B6" s="43">
        <v>258</v>
      </c>
      <c r="C6">
        <f t="shared" si="0"/>
        <v>2022</v>
      </c>
    </row>
    <row r="7" spans="1:25" x14ac:dyDescent="0.35">
      <c r="A7" s="7">
        <v>44918</v>
      </c>
      <c r="B7" s="43">
        <v>263</v>
      </c>
      <c r="C7">
        <f t="shared" si="0"/>
        <v>2022</v>
      </c>
    </row>
    <row r="8" spans="1:25" x14ac:dyDescent="0.35">
      <c r="A8" s="7">
        <v>44917</v>
      </c>
      <c r="B8" s="43">
        <v>265</v>
      </c>
      <c r="C8">
        <f t="shared" si="0"/>
        <v>2022</v>
      </c>
      <c r="O8" s="57" t="s">
        <v>3</v>
      </c>
      <c r="P8" t="s">
        <v>25</v>
      </c>
      <c r="S8" s="57" t="s">
        <v>3</v>
      </c>
      <c r="T8" t="s">
        <v>34</v>
      </c>
    </row>
    <row r="9" spans="1:25" x14ac:dyDescent="0.35">
      <c r="A9" s="7">
        <v>44916</v>
      </c>
      <c r="B9" s="43">
        <v>267</v>
      </c>
      <c r="C9">
        <f t="shared" si="0"/>
        <v>2022</v>
      </c>
    </row>
    <row r="10" spans="1:25" x14ac:dyDescent="0.35">
      <c r="A10" s="7">
        <v>44915</v>
      </c>
      <c r="B10" s="43">
        <v>275</v>
      </c>
      <c r="C10">
        <f t="shared" si="0"/>
        <v>2022</v>
      </c>
      <c r="O10" s="57" t="s">
        <v>769</v>
      </c>
      <c r="P10" t="s">
        <v>770</v>
      </c>
      <c r="Q10" t="s">
        <v>824</v>
      </c>
      <c r="S10" s="57" t="s">
        <v>769</v>
      </c>
      <c r="T10" t="s">
        <v>770</v>
      </c>
      <c r="U10" t="s">
        <v>824</v>
      </c>
      <c r="W10" s="57" t="s">
        <v>769</v>
      </c>
      <c r="X10" t="s">
        <v>770</v>
      </c>
      <c r="Y10" t="s">
        <v>824</v>
      </c>
    </row>
    <row r="11" spans="1:25" x14ac:dyDescent="0.35">
      <c r="A11" s="7">
        <v>44914</v>
      </c>
      <c r="B11" s="43">
        <v>276</v>
      </c>
      <c r="C11">
        <f t="shared" si="0"/>
        <v>2022</v>
      </c>
      <c r="O11" s="59" t="s">
        <v>811</v>
      </c>
      <c r="P11" s="9">
        <v>1.9708044443907492E-2</v>
      </c>
      <c r="Q11" s="4">
        <v>22</v>
      </c>
      <c r="S11" s="59" t="s">
        <v>811</v>
      </c>
      <c r="T11" s="9">
        <v>2.1951690174985359E-2</v>
      </c>
      <c r="U11" s="4">
        <v>11</v>
      </c>
      <c r="W11" s="59" t="s">
        <v>811</v>
      </c>
      <c r="X11" s="9">
        <v>2.0455926354266782E-2</v>
      </c>
      <c r="Y11" s="4">
        <v>33</v>
      </c>
    </row>
    <row r="12" spans="1:25" x14ac:dyDescent="0.35">
      <c r="A12" s="7">
        <v>44911</v>
      </c>
      <c r="B12" s="43">
        <v>274</v>
      </c>
      <c r="C12">
        <f t="shared" si="0"/>
        <v>2022</v>
      </c>
      <c r="O12" s="115">
        <v>1.64</v>
      </c>
      <c r="P12" s="9">
        <v>1.4499999999999999E-2</v>
      </c>
      <c r="Q12" s="4">
        <v>1</v>
      </c>
      <c r="S12" s="115">
        <v>1.56</v>
      </c>
      <c r="T12" s="9">
        <v>9.0513681464847728E-3</v>
      </c>
      <c r="U12" s="4">
        <v>1</v>
      </c>
      <c r="W12" s="115">
        <v>1.56</v>
      </c>
      <c r="X12" s="9">
        <v>9.0513681464847728E-3</v>
      </c>
      <c r="Y12" s="4">
        <v>1</v>
      </c>
    </row>
    <row r="13" spans="1:25" x14ac:dyDescent="0.35">
      <c r="A13" s="7">
        <v>44910</v>
      </c>
      <c r="B13" s="43">
        <v>267</v>
      </c>
      <c r="C13">
        <f t="shared" si="0"/>
        <v>2022</v>
      </c>
      <c r="O13" s="115">
        <v>1.65</v>
      </c>
      <c r="P13" s="9">
        <v>1.3500000000000002E-2</v>
      </c>
      <c r="Q13" s="4">
        <v>1</v>
      </c>
      <c r="S13" s="115">
        <v>1.63</v>
      </c>
      <c r="T13" s="9">
        <v>3.1506175639021139E-2</v>
      </c>
      <c r="U13" s="4">
        <v>1</v>
      </c>
      <c r="W13" s="115">
        <v>1.63</v>
      </c>
      <c r="X13" s="9">
        <v>3.1506175639021139E-2</v>
      </c>
      <c r="Y13" s="4">
        <v>1</v>
      </c>
    </row>
    <row r="14" spans="1:25" x14ac:dyDescent="0.35">
      <c r="A14" s="7">
        <v>44909</v>
      </c>
      <c r="B14" s="43">
        <v>260</v>
      </c>
      <c r="C14">
        <f t="shared" si="0"/>
        <v>2022</v>
      </c>
      <c r="O14" s="115">
        <v>1.67</v>
      </c>
      <c r="P14" s="9">
        <v>3.2268739043169389E-2</v>
      </c>
      <c r="Q14" s="4">
        <v>2</v>
      </c>
      <c r="S14" s="115">
        <v>1.68</v>
      </c>
      <c r="T14" s="9">
        <v>3.4402015156534849E-2</v>
      </c>
      <c r="U14" s="4">
        <v>2</v>
      </c>
      <c r="W14" s="115">
        <v>1.64</v>
      </c>
      <c r="X14" s="9">
        <v>1.4499999999999999E-2</v>
      </c>
      <c r="Y14" s="4">
        <v>1</v>
      </c>
    </row>
    <row r="15" spans="1:25" x14ac:dyDescent="0.35">
      <c r="A15" s="7">
        <v>44908</v>
      </c>
      <c r="B15" s="43">
        <v>251</v>
      </c>
      <c r="C15">
        <f t="shared" si="0"/>
        <v>2022</v>
      </c>
      <c r="O15" s="115">
        <v>1.7</v>
      </c>
      <c r="P15" s="9">
        <v>1.4113794056904994E-2</v>
      </c>
      <c r="Q15" s="4">
        <v>2</v>
      </c>
      <c r="S15" s="115">
        <v>1.74</v>
      </c>
      <c r="T15" s="9">
        <v>1.3764071088895621E-2</v>
      </c>
      <c r="U15" s="4">
        <v>3</v>
      </c>
      <c r="W15" s="115">
        <v>1.65</v>
      </c>
      <c r="X15" s="9">
        <v>1.3500000000000002E-2</v>
      </c>
      <c r="Y15" s="4">
        <v>1</v>
      </c>
    </row>
    <row r="16" spans="1:25" x14ac:dyDescent="0.35">
      <c r="A16" s="7">
        <v>44907</v>
      </c>
      <c r="B16" s="43">
        <v>254</v>
      </c>
      <c r="C16">
        <f t="shared" si="0"/>
        <v>2022</v>
      </c>
      <c r="O16" s="115">
        <v>1.73</v>
      </c>
      <c r="P16" s="9">
        <v>1.6500000000000001E-2</v>
      </c>
      <c r="Q16" s="4">
        <v>2</v>
      </c>
      <c r="S16" s="115">
        <v>1.75</v>
      </c>
      <c r="T16" s="9">
        <v>3.4752467849390567E-2</v>
      </c>
      <c r="U16" s="4">
        <v>2</v>
      </c>
      <c r="W16" s="115">
        <v>1.67</v>
      </c>
      <c r="X16" s="9">
        <v>3.2268739043169389E-2</v>
      </c>
      <c r="Y16" s="4">
        <v>2</v>
      </c>
    </row>
    <row r="17" spans="1:25" x14ac:dyDescent="0.35">
      <c r="A17" s="7">
        <v>44904</v>
      </c>
      <c r="B17" s="43">
        <v>244</v>
      </c>
      <c r="C17">
        <f t="shared" si="0"/>
        <v>2022</v>
      </c>
      <c r="O17" s="115">
        <v>1.74</v>
      </c>
      <c r="P17" s="9">
        <v>2.959836153967476E-2</v>
      </c>
      <c r="Q17" s="4">
        <v>1</v>
      </c>
      <c r="S17" s="115">
        <v>1.76</v>
      </c>
      <c r="T17" s="9">
        <v>1.1553595392548743E-2</v>
      </c>
      <c r="U17" s="4">
        <v>1</v>
      </c>
      <c r="W17" s="115">
        <v>1.68</v>
      </c>
      <c r="X17" s="9">
        <v>3.4402015156534849E-2</v>
      </c>
      <c r="Y17" s="4">
        <v>2</v>
      </c>
    </row>
    <row r="18" spans="1:25" x14ac:dyDescent="0.35">
      <c r="A18" s="7">
        <v>44903</v>
      </c>
      <c r="B18" s="43">
        <v>252</v>
      </c>
      <c r="C18">
        <f t="shared" si="0"/>
        <v>2022</v>
      </c>
      <c r="O18" s="115">
        <v>1.75</v>
      </c>
      <c r="P18" s="9">
        <v>1.921851896337547E-2</v>
      </c>
      <c r="Q18" s="4">
        <v>3</v>
      </c>
      <c r="S18" s="115">
        <v>1.97</v>
      </c>
      <c r="T18" s="9">
        <v>9.7562734682465901E-3</v>
      </c>
      <c r="U18" s="4">
        <v>1</v>
      </c>
      <c r="W18" s="115">
        <v>1.7</v>
      </c>
      <c r="X18" s="9">
        <v>1.4113794056904994E-2</v>
      </c>
      <c r="Y18" s="4">
        <v>2</v>
      </c>
    </row>
    <row r="19" spans="1:25" x14ac:dyDescent="0.35">
      <c r="A19" s="7">
        <v>44902</v>
      </c>
      <c r="B19" s="43">
        <v>260</v>
      </c>
      <c r="C19">
        <f t="shared" si="0"/>
        <v>2022</v>
      </c>
      <c r="O19" s="115">
        <v>1.76</v>
      </c>
      <c r="P19" s="9">
        <v>2.3E-2</v>
      </c>
      <c r="Q19" s="4">
        <v>1</v>
      </c>
      <c r="S19" s="59" t="s">
        <v>812</v>
      </c>
      <c r="T19" s="9">
        <v>2.5070410595335553E-2</v>
      </c>
      <c r="U19" s="4">
        <v>16</v>
      </c>
      <c r="W19" s="115">
        <v>1.73</v>
      </c>
      <c r="X19" s="9">
        <v>1.6500000000000001E-2</v>
      </c>
      <c r="Y19" s="4">
        <v>2</v>
      </c>
    </row>
    <row r="20" spans="1:25" x14ac:dyDescent="0.35">
      <c r="A20" s="7">
        <v>44901</v>
      </c>
      <c r="B20" s="43">
        <v>256</v>
      </c>
      <c r="C20">
        <f t="shared" si="0"/>
        <v>2022</v>
      </c>
      <c r="O20" s="115">
        <v>1.77</v>
      </c>
      <c r="P20" s="9">
        <v>3.3896976234699429E-2</v>
      </c>
      <c r="Q20" s="4">
        <v>1</v>
      </c>
      <c r="S20" s="115">
        <v>1.63</v>
      </c>
      <c r="T20" s="9">
        <v>2.5937831332745409E-2</v>
      </c>
      <c r="U20" s="4">
        <v>1</v>
      </c>
      <c r="W20" s="115">
        <v>1.74</v>
      </c>
      <c r="X20" s="9">
        <v>1.7722643701590407E-2</v>
      </c>
      <c r="Y20" s="4">
        <v>4</v>
      </c>
    </row>
    <row r="21" spans="1:25" x14ac:dyDescent="0.35">
      <c r="A21" s="7">
        <v>44900</v>
      </c>
      <c r="B21" s="43">
        <v>244</v>
      </c>
      <c r="C21">
        <f t="shared" si="0"/>
        <v>2022</v>
      </c>
      <c r="O21" s="115">
        <v>1.81</v>
      </c>
      <c r="P21" s="9">
        <v>1.7597398896003959E-2</v>
      </c>
      <c r="Q21" s="4">
        <v>1</v>
      </c>
      <c r="S21" s="115">
        <v>1.65</v>
      </c>
      <c r="T21" s="9">
        <v>1.4076687668435506E-2</v>
      </c>
      <c r="U21" s="4">
        <v>2</v>
      </c>
      <c r="W21" s="115">
        <v>1.75</v>
      </c>
      <c r="X21" s="9">
        <v>2.5432098517781509E-2</v>
      </c>
      <c r="Y21" s="4">
        <v>5</v>
      </c>
    </row>
    <row r="22" spans="1:25" x14ac:dyDescent="0.35">
      <c r="A22" s="7">
        <v>44897</v>
      </c>
      <c r="B22" s="43">
        <v>248</v>
      </c>
      <c r="C22">
        <f t="shared" si="0"/>
        <v>2022</v>
      </c>
      <c r="O22" s="115">
        <v>2.11</v>
      </c>
      <c r="P22" s="9">
        <v>2.2499999999999999E-2</v>
      </c>
      <c r="Q22" s="4">
        <v>2</v>
      </c>
      <c r="S22" s="115">
        <v>1.83</v>
      </c>
      <c r="T22" s="9">
        <v>4.6449956257304081E-2</v>
      </c>
      <c r="U22" s="4">
        <v>2</v>
      </c>
      <c r="W22" s="115">
        <v>1.76</v>
      </c>
      <c r="X22" s="9">
        <v>1.7276797696274371E-2</v>
      </c>
      <c r="Y22" s="4">
        <v>2</v>
      </c>
    </row>
    <row r="23" spans="1:25" x14ac:dyDescent="0.35">
      <c r="A23" s="7">
        <v>44896</v>
      </c>
      <c r="B23" s="43">
        <v>253</v>
      </c>
      <c r="C23">
        <f t="shared" si="0"/>
        <v>2022</v>
      </c>
      <c r="O23" s="115">
        <v>2.12</v>
      </c>
      <c r="P23" s="9">
        <v>1.4999999999999999E-2</v>
      </c>
      <c r="Q23" s="4">
        <v>2</v>
      </c>
      <c r="S23" s="115">
        <v>1.96</v>
      </c>
      <c r="T23" s="9">
        <v>3.7635157834776889E-2</v>
      </c>
      <c r="U23" s="4">
        <v>1</v>
      </c>
      <c r="W23" s="115">
        <v>1.77</v>
      </c>
      <c r="X23" s="9">
        <v>3.3896976234699429E-2</v>
      </c>
      <c r="Y23" s="4">
        <v>1</v>
      </c>
    </row>
    <row r="24" spans="1:25" x14ac:dyDescent="0.35">
      <c r="A24" s="7">
        <v>44895</v>
      </c>
      <c r="B24" s="43">
        <v>251</v>
      </c>
      <c r="C24">
        <f t="shared" si="0"/>
        <v>2022</v>
      </c>
      <c r="F24" s="96"/>
      <c r="G24" s="123" t="s">
        <v>25</v>
      </c>
      <c r="H24" s="124"/>
      <c r="I24" s="123" t="s">
        <v>34</v>
      </c>
      <c r="J24" s="124"/>
      <c r="K24" s="123" t="s">
        <v>775</v>
      </c>
      <c r="L24" s="124"/>
      <c r="O24" s="115">
        <v>2.14</v>
      </c>
      <c r="P24" s="9">
        <v>1.9763618005311328E-2</v>
      </c>
      <c r="Q24" s="4">
        <v>1</v>
      </c>
      <c r="S24" s="115">
        <v>2.0099999999999998</v>
      </c>
      <c r="T24" s="9">
        <v>4.9572591876259953E-2</v>
      </c>
      <c r="U24" s="4">
        <v>2</v>
      </c>
      <c r="W24" s="115">
        <v>1.81</v>
      </c>
      <c r="X24" s="9">
        <v>1.7597398896003959E-2</v>
      </c>
      <c r="Y24" s="4">
        <v>1</v>
      </c>
    </row>
    <row r="25" spans="1:25" ht="29" x14ac:dyDescent="0.35">
      <c r="A25" s="7">
        <v>44894</v>
      </c>
      <c r="B25" s="43">
        <v>251</v>
      </c>
      <c r="C25">
        <f t="shared" si="0"/>
        <v>2022</v>
      </c>
      <c r="F25" s="109"/>
      <c r="G25" s="116" t="s">
        <v>786</v>
      </c>
      <c r="H25" s="117" t="s">
        <v>788</v>
      </c>
      <c r="I25" s="116" t="s">
        <v>786</v>
      </c>
      <c r="J25" s="117" t="s">
        <v>788</v>
      </c>
      <c r="K25" s="116" t="s">
        <v>786</v>
      </c>
      <c r="L25" s="117" t="s">
        <v>788</v>
      </c>
      <c r="O25" s="115">
        <v>2.2000000000000002</v>
      </c>
      <c r="P25" s="9">
        <v>1.15E-2</v>
      </c>
      <c r="Q25" s="4">
        <v>1</v>
      </c>
      <c r="S25" s="115">
        <v>2.0499999999999998</v>
      </c>
      <c r="T25" s="9">
        <v>4.015736044542062E-2</v>
      </c>
      <c r="U25" s="4">
        <v>1</v>
      </c>
      <c r="W25" s="115">
        <v>1.97</v>
      </c>
      <c r="X25" s="9">
        <v>9.7562734682465901E-3</v>
      </c>
      <c r="Y25" s="4">
        <v>1</v>
      </c>
    </row>
    <row r="26" spans="1:25" x14ac:dyDescent="0.35">
      <c r="A26" s="7">
        <v>44893</v>
      </c>
      <c r="B26" s="43">
        <v>270</v>
      </c>
      <c r="C26">
        <f t="shared" si="0"/>
        <v>2022</v>
      </c>
      <c r="F26" s="5">
        <v>2011</v>
      </c>
      <c r="G26" s="83">
        <f t="shared" ref="G26:G36" si="1">+GETPIVOTDATA("Contagem de RiscoPaís (%)",$O$10,"Anos",$F26)</f>
        <v>22</v>
      </c>
      <c r="H26" s="118">
        <f t="shared" ref="H26:H36" si="2">+GETPIVOTDATA("Média de Spread DI+",$O$10,"Anos",$F26)</f>
        <v>1.9708044443907492E-2</v>
      </c>
      <c r="I26" s="83">
        <f>+GETPIVOTDATA("Contagem de RiscoPaís (%)",$S$10,"Anos",$F26)</f>
        <v>11</v>
      </c>
      <c r="J26" s="121">
        <f>+GETPIVOTDATA("Média de Spread DI+",$S$10,"Anos",$F26)</f>
        <v>2.1951690174985359E-2</v>
      </c>
      <c r="K26" s="83">
        <f t="shared" ref="K26:K36" si="3">+GETPIVOTDATA("Contagem de RiscoPaís (%)",$W$10,"Anos",$F26)</f>
        <v>33</v>
      </c>
      <c r="L26" s="121">
        <f t="shared" ref="L26:L36" si="4">+GETPIVOTDATA("Média de Spread DI+",$W$10,"Anos",$F26)</f>
        <v>2.0455926354266782E-2</v>
      </c>
      <c r="O26" s="115">
        <v>2.23</v>
      </c>
      <c r="P26" s="9">
        <v>1.18E-2</v>
      </c>
      <c r="Q26" s="4">
        <v>1</v>
      </c>
      <c r="S26" s="115">
        <v>2.0699999999999998</v>
      </c>
      <c r="T26" s="9">
        <v>2.3966635794522739E-2</v>
      </c>
      <c r="U26" s="4">
        <v>1</v>
      </c>
      <c r="W26" s="115">
        <v>2.11</v>
      </c>
      <c r="X26" s="9">
        <v>2.2499999999999999E-2</v>
      </c>
      <c r="Y26" s="4">
        <v>2</v>
      </c>
    </row>
    <row r="27" spans="1:25" x14ac:dyDescent="0.35">
      <c r="A27" s="7">
        <v>44890</v>
      </c>
      <c r="B27" s="43">
        <v>270</v>
      </c>
      <c r="C27">
        <f t="shared" si="0"/>
        <v>2022</v>
      </c>
      <c r="F27" s="5">
        <f>+F26+1</f>
        <v>2012</v>
      </c>
      <c r="G27" s="94">
        <f t="shared" si="1"/>
        <v>30</v>
      </c>
      <c r="H27" s="119">
        <f t="shared" si="2"/>
        <v>1.7604535686037977E-2</v>
      </c>
      <c r="I27" s="94">
        <f>+GETPIVOTDATA("Contagem de RiscoPaís (%)",$S$10,"Anos",$F27)</f>
        <v>16</v>
      </c>
      <c r="J27" s="21">
        <f>+GETPIVOTDATA("Média de Spread DI+",$S$10,"Anos",$F27)</f>
        <v>2.5070410595335553E-2</v>
      </c>
      <c r="K27" s="94">
        <f t="shared" si="3"/>
        <v>46</v>
      </c>
      <c r="L27" s="21">
        <f t="shared" si="4"/>
        <v>2.0201361741445833E-2</v>
      </c>
      <c r="O27" s="59" t="s">
        <v>812</v>
      </c>
      <c r="P27" s="9">
        <v>1.7604535686037977E-2</v>
      </c>
      <c r="Q27" s="4">
        <v>30</v>
      </c>
      <c r="S27" s="115">
        <v>2.1</v>
      </c>
      <c r="T27" s="9">
        <v>-1.6560968277125609E-3</v>
      </c>
      <c r="U27" s="4">
        <v>2</v>
      </c>
      <c r="W27" s="115">
        <v>2.12</v>
      </c>
      <c r="X27" s="9">
        <v>1.4999999999999999E-2</v>
      </c>
      <c r="Y27" s="4">
        <v>2</v>
      </c>
    </row>
    <row r="28" spans="1:25" x14ac:dyDescent="0.35">
      <c r="A28" s="7">
        <v>44888</v>
      </c>
      <c r="B28" s="43">
        <v>269</v>
      </c>
      <c r="C28">
        <f t="shared" si="0"/>
        <v>2022</v>
      </c>
      <c r="F28" s="5">
        <f t="shared" ref="F28:F36" si="5">+F27+1</f>
        <v>2013</v>
      </c>
      <c r="G28" s="94">
        <f t="shared" si="1"/>
        <v>30</v>
      </c>
      <c r="H28" s="119">
        <f t="shared" si="2"/>
        <v>1.4150084750291067E-2</v>
      </c>
      <c r="I28" s="94">
        <f>+GETPIVOTDATA("Contagem de RiscoPaís (%)",$S$10,"Anos",$F28)</f>
        <v>9</v>
      </c>
      <c r="J28" s="21">
        <f>+GETPIVOTDATA("Média de Spread DI+",$S$10,"Anos",$F28)</f>
        <v>3.4964969937233588E-2</v>
      </c>
      <c r="K28" s="94">
        <f t="shared" si="3"/>
        <v>39</v>
      </c>
      <c r="L28" s="21">
        <f t="shared" si="4"/>
        <v>1.8953519793431649E-2</v>
      </c>
      <c r="O28" s="115">
        <v>1.43</v>
      </c>
      <c r="P28" s="9">
        <v>1.2730955404316341E-2</v>
      </c>
      <c r="Q28" s="4">
        <v>3</v>
      </c>
      <c r="S28" s="115">
        <v>2.13</v>
      </c>
      <c r="T28" s="9">
        <v>1.8972618106170458E-2</v>
      </c>
      <c r="U28" s="4">
        <v>1</v>
      </c>
      <c r="W28" s="115">
        <v>2.14</v>
      </c>
      <c r="X28" s="9">
        <v>1.9763618005311328E-2</v>
      </c>
      <c r="Y28" s="4">
        <v>1</v>
      </c>
    </row>
    <row r="29" spans="1:25" x14ac:dyDescent="0.35">
      <c r="A29" s="7">
        <v>44887</v>
      </c>
      <c r="B29" s="43">
        <v>265</v>
      </c>
      <c r="C29">
        <f t="shared" si="0"/>
        <v>2022</v>
      </c>
      <c r="F29" s="5">
        <f t="shared" si="5"/>
        <v>2014</v>
      </c>
      <c r="G29" s="94">
        <f t="shared" si="1"/>
        <v>33</v>
      </c>
      <c r="H29" s="119">
        <f t="shared" si="2"/>
        <v>1.615333971844329E-2</v>
      </c>
      <c r="I29" s="94">
        <f>+GETPIVOTDATA("Contagem de RiscoPaís (%)",$S$10,"Anos",$F29)</f>
        <v>15</v>
      </c>
      <c r="J29" s="21">
        <f>+GETPIVOTDATA("Média de Spread DI+",$S$10,"Anos",$F29)</f>
        <v>2.058334377644826E-2</v>
      </c>
      <c r="K29" s="94">
        <f t="shared" si="3"/>
        <v>48</v>
      </c>
      <c r="L29" s="21">
        <f t="shared" si="4"/>
        <v>1.7537715986569839E-2</v>
      </c>
      <c r="O29" s="115">
        <v>1.55</v>
      </c>
      <c r="P29" s="9">
        <v>2.0470889916603629E-2</v>
      </c>
      <c r="Q29" s="4">
        <v>2</v>
      </c>
      <c r="S29" s="115">
        <v>2.1800000000000002</v>
      </c>
      <c r="T29" s="9">
        <v>1.6699915905651563E-2</v>
      </c>
      <c r="U29" s="4">
        <v>1</v>
      </c>
      <c r="W29" s="115">
        <v>2.2000000000000002</v>
      </c>
      <c r="X29" s="9">
        <v>1.15E-2</v>
      </c>
      <c r="Y29" s="4">
        <v>1</v>
      </c>
    </row>
    <row r="30" spans="1:25" x14ac:dyDescent="0.35">
      <c r="A30" s="7">
        <v>44886</v>
      </c>
      <c r="B30" s="43">
        <v>268</v>
      </c>
      <c r="C30">
        <f t="shared" si="0"/>
        <v>2022</v>
      </c>
      <c r="F30" s="5">
        <f t="shared" si="5"/>
        <v>2015</v>
      </c>
      <c r="G30" s="94">
        <f t="shared" si="1"/>
        <v>16</v>
      </c>
      <c r="H30" s="119">
        <f t="shared" si="2"/>
        <v>1.8462085991510654E-2</v>
      </c>
      <c r="I30" s="94">
        <v>0</v>
      </c>
      <c r="J30" s="21">
        <v>0</v>
      </c>
      <c r="K30" s="94">
        <f t="shared" si="3"/>
        <v>16</v>
      </c>
      <c r="L30" s="21">
        <f t="shared" si="4"/>
        <v>1.8462085991510658E-2</v>
      </c>
      <c r="O30" s="115">
        <v>1.56</v>
      </c>
      <c r="P30" s="9">
        <v>1.7820376526369006E-2</v>
      </c>
      <c r="Q30" s="4">
        <v>1</v>
      </c>
      <c r="S30" s="115">
        <v>2.21</v>
      </c>
      <c r="T30" s="9">
        <v>1.9452624262604967E-2</v>
      </c>
      <c r="U30" s="4">
        <v>1</v>
      </c>
      <c r="W30" s="115">
        <v>2.23</v>
      </c>
      <c r="X30" s="9">
        <v>1.18E-2</v>
      </c>
      <c r="Y30" s="4">
        <v>1</v>
      </c>
    </row>
    <row r="31" spans="1:25" x14ac:dyDescent="0.35">
      <c r="A31" s="7">
        <v>44883</v>
      </c>
      <c r="B31" s="43">
        <v>271</v>
      </c>
      <c r="C31">
        <f t="shared" si="0"/>
        <v>2022</v>
      </c>
      <c r="F31" s="5">
        <f t="shared" si="5"/>
        <v>2016</v>
      </c>
      <c r="G31" s="94">
        <f t="shared" si="1"/>
        <v>13</v>
      </c>
      <c r="H31" s="119">
        <f t="shared" si="2"/>
        <v>2.4552226082105187E-2</v>
      </c>
      <c r="I31" s="94">
        <f t="shared" ref="I31:I36" si="6">+GETPIVOTDATA("Contagem de RiscoPaís (%)",$S$10,"Anos",$F31)</f>
        <v>12</v>
      </c>
      <c r="J31" s="21">
        <f t="shared" ref="J31:J36" si="7">+GETPIVOTDATA("Média de Spread DI+",$S$10,"Anos",$F31)</f>
        <v>2.042055115885107E-2</v>
      </c>
      <c r="K31" s="94">
        <f t="shared" si="3"/>
        <v>25</v>
      </c>
      <c r="L31" s="21">
        <f t="shared" si="4"/>
        <v>2.2569022118943211E-2</v>
      </c>
      <c r="O31" s="115">
        <v>1.57</v>
      </c>
      <c r="P31" s="9">
        <v>0.03</v>
      </c>
      <c r="Q31" s="4">
        <v>1</v>
      </c>
      <c r="S31" s="115">
        <v>2.33</v>
      </c>
      <c r="T31" s="9">
        <v>1.4181478949022441E-3</v>
      </c>
      <c r="U31" s="4">
        <v>1</v>
      </c>
      <c r="W31" s="59" t="s">
        <v>812</v>
      </c>
      <c r="X31" s="9">
        <v>2.0201361741445833E-2</v>
      </c>
      <c r="Y31" s="4">
        <v>46</v>
      </c>
    </row>
    <row r="32" spans="1:25" x14ac:dyDescent="0.35">
      <c r="A32" s="7">
        <v>44882</v>
      </c>
      <c r="B32" s="43">
        <v>278</v>
      </c>
      <c r="C32">
        <f t="shared" si="0"/>
        <v>2022</v>
      </c>
      <c r="F32" s="5">
        <f t="shared" si="5"/>
        <v>2017</v>
      </c>
      <c r="G32" s="94">
        <f t="shared" si="1"/>
        <v>24</v>
      </c>
      <c r="H32" s="119">
        <f t="shared" si="2"/>
        <v>2.2018620519072746E-2</v>
      </c>
      <c r="I32" s="94">
        <f t="shared" si="6"/>
        <v>22</v>
      </c>
      <c r="J32" s="21">
        <f t="shared" si="7"/>
        <v>2.2778585488238249E-2</v>
      </c>
      <c r="K32" s="94">
        <f t="shared" si="3"/>
        <v>46</v>
      </c>
      <c r="L32" s="21">
        <f t="shared" si="4"/>
        <v>2.238208202606495E-2</v>
      </c>
      <c r="O32" s="115">
        <v>1.62</v>
      </c>
      <c r="P32" s="9">
        <v>1.8931863397624652E-2</v>
      </c>
      <c r="Q32" s="4">
        <v>3</v>
      </c>
      <c r="S32" s="59" t="s">
        <v>813</v>
      </c>
      <c r="T32" s="9">
        <v>3.4964969937233588E-2</v>
      </c>
      <c r="U32" s="4">
        <v>9</v>
      </c>
      <c r="W32" s="115">
        <v>1.43</v>
      </c>
      <c r="X32" s="9">
        <v>1.2730955404316341E-2</v>
      </c>
      <c r="Y32" s="4">
        <v>3</v>
      </c>
    </row>
    <row r="33" spans="1:25" x14ac:dyDescent="0.35">
      <c r="A33" s="7">
        <v>44881</v>
      </c>
      <c r="B33" s="43">
        <v>270</v>
      </c>
      <c r="C33">
        <f t="shared" si="0"/>
        <v>2022</v>
      </c>
      <c r="F33" s="5">
        <f t="shared" si="5"/>
        <v>2018</v>
      </c>
      <c r="G33" s="94">
        <f t="shared" si="1"/>
        <v>33</v>
      </c>
      <c r="H33" s="119">
        <f t="shared" si="2"/>
        <v>1.9371953400028976E-2</v>
      </c>
      <c r="I33" s="94">
        <f t="shared" si="6"/>
        <v>14</v>
      </c>
      <c r="J33" s="21">
        <f t="shared" si="7"/>
        <v>2.9291172480376222E-2</v>
      </c>
      <c r="K33" s="94">
        <f t="shared" si="3"/>
        <v>47</v>
      </c>
      <c r="L33" s="21">
        <f t="shared" si="4"/>
        <v>2.2326614402685598E-2</v>
      </c>
      <c r="O33" s="115">
        <v>1.64</v>
      </c>
      <c r="P33" s="9">
        <v>2.343930710942525E-2</v>
      </c>
      <c r="Q33" s="4">
        <v>1</v>
      </c>
      <c r="S33" s="115">
        <v>1.51</v>
      </c>
      <c r="T33" s="9">
        <v>7.405760536218442E-2</v>
      </c>
      <c r="U33" s="4">
        <v>1</v>
      </c>
      <c r="W33" s="115">
        <v>1.55</v>
      </c>
      <c r="X33" s="9">
        <v>2.0470889916603629E-2</v>
      </c>
      <c r="Y33" s="4">
        <v>2</v>
      </c>
    </row>
    <row r="34" spans="1:25" x14ac:dyDescent="0.35">
      <c r="A34" s="7">
        <v>44880</v>
      </c>
      <c r="B34" s="43">
        <v>265</v>
      </c>
      <c r="C34">
        <f t="shared" si="0"/>
        <v>2022</v>
      </c>
      <c r="F34" s="5">
        <f t="shared" si="5"/>
        <v>2019</v>
      </c>
      <c r="G34" s="94">
        <f t="shared" si="1"/>
        <v>58</v>
      </c>
      <c r="H34" s="119">
        <f t="shared" si="2"/>
        <v>1.1767801835272805E-2</v>
      </c>
      <c r="I34" s="94">
        <f t="shared" si="6"/>
        <v>22</v>
      </c>
      <c r="J34" s="21">
        <f t="shared" si="7"/>
        <v>3.1931242670229773E-2</v>
      </c>
      <c r="K34" s="94">
        <f t="shared" si="3"/>
        <v>80</v>
      </c>
      <c r="L34" s="21">
        <f t="shared" si="4"/>
        <v>1.7312748064885971E-2</v>
      </c>
      <c r="O34" s="115">
        <v>1.69</v>
      </c>
      <c r="P34" s="9">
        <v>1.525815947977135E-2</v>
      </c>
      <c r="Q34" s="4">
        <v>3</v>
      </c>
      <c r="S34" s="115">
        <v>1.55</v>
      </c>
      <c r="T34" s="9">
        <v>5.5562967942878738E-2</v>
      </c>
      <c r="U34" s="4">
        <v>2</v>
      </c>
      <c r="W34" s="115">
        <v>1.56</v>
      </c>
      <c r="X34" s="9">
        <v>1.7820376526369006E-2</v>
      </c>
      <c r="Y34" s="4">
        <v>1</v>
      </c>
    </row>
    <row r="35" spans="1:25" x14ac:dyDescent="0.35">
      <c r="A35" s="7">
        <v>44879</v>
      </c>
      <c r="B35" s="43">
        <v>277</v>
      </c>
      <c r="C35">
        <f t="shared" si="0"/>
        <v>2022</v>
      </c>
      <c r="F35" s="5">
        <f t="shared" si="5"/>
        <v>2020</v>
      </c>
      <c r="G35" s="94">
        <f t="shared" si="1"/>
        <v>48</v>
      </c>
      <c r="H35" s="119">
        <f t="shared" si="2"/>
        <v>3.0044816770591481E-2</v>
      </c>
      <c r="I35" s="94">
        <f t="shared" si="6"/>
        <v>20</v>
      </c>
      <c r="J35" s="21">
        <f t="shared" si="7"/>
        <v>3.5289143011228999E-2</v>
      </c>
      <c r="K35" s="94">
        <f t="shared" si="3"/>
        <v>68</v>
      </c>
      <c r="L35" s="21">
        <f t="shared" si="4"/>
        <v>3.1587265664896641E-2</v>
      </c>
      <c r="O35" s="115">
        <v>1.71</v>
      </c>
      <c r="P35" s="9">
        <v>8.52775741801645E-3</v>
      </c>
      <c r="Q35" s="4">
        <v>1</v>
      </c>
      <c r="S35" s="115">
        <v>1.74</v>
      </c>
      <c r="T35" s="9">
        <v>1.3971262331763379E-2</v>
      </c>
      <c r="U35" s="4">
        <v>2</v>
      </c>
      <c r="W35" s="115">
        <v>1.57</v>
      </c>
      <c r="X35" s="9">
        <v>0.03</v>
      </c>
      <c r="Y35" s="4">
        <v>1</v>
      </c>
    </row>
    <row r="36" spans="1:25" x14ac:dyDescent="0.35">
      <c r="A36" s="7">
        <v>44875</v>
      </c>
      <c r="B36" s="43">
        <v>286</v>
      </c>
      <c r="C36">
        <f t="shared" si="0"/>
        <v>2022</v>
      </c>
      <c r="F36" s="96">
        <f t="shared" si="5"/>
        <v>2021</v>
      </c>
      <c r="G36" s="85">
        <f t="shared" si="1"/>
        <v>46</v>
      </c>
      <c r="H36" s="120">
        <f t="shared" si="2"/>
        <v>2.3518189576395999E-2</v>
      </c>
      <c r="I36" s="85">
        <f t="shared" si="6"/>
        <v>19</v>
      </c>
      <c r="J36" s="110">
        <f t="shared" si="7"/>
        <v>3.1187036337008988E-2</v>
      </c>
      <c r="K36" s="85">
        <f t="shared" si="3"/>
        <v>65</v>
      </c>
      <c r="L36" s="110">
        <f t="shared" si="4"/>
        <v>2.5759852475652115E-2</v>
      </c>
      <c r="O36" s="115">
        <v>1.81</v>
      </c>
      <c r="P36" s="9">
        <v>1.6247324630025539E-2</v>
      </c>
      <c r="Q36" s="4">
        <v>2</v>
      </c>
      <c r="S36" s="115">
        <v>1.76</v>
      </c>
      <c r="T36" s="9">
        <v>1.5936850257503465E-2</v>
      </c>
      <c r="U36" s="4">
        <v>2</v>
      </c>
      <c r="W36" s="115">
        <v>1.62</v>
      </c>
      <c r="X36" s="9">
        <v>1.8931863397624652E-2</v>
      </c>
      <c r="Y36" s="4">
        <v>3</v>
      </c>
    </row>
    <row r="37" spans="1:25" x14ac:dyDescent="0.35">
      <c r="A37" s="7">
        <v>44874</v>
      </c>
      <c r="B37" s="43">
        <v>279</v>
      </c>
      <c r="C37">
        <f t="shared" si="0"/>
        <v>2022</v>
      </c>
      <c r="F37" s="5" t="s">
        <v>775</v>
      </c>
      <c r="G37" s="83">
        <f>+GETPIVOTDATA("Contagem de RiscoPaís (%)",$O$10)</f>
        <v>353</v>
      </c>
      <c r="H37" s="21">
        <f>+GETPIVOTDATA("Média de Spread DI+",$O$10)</f>
        <v>1.9569659782161831E-2</v>
      </c>
      <c r="I37" s="122">
        <f>+GETPIVOTDATA("Contagem de RiscoPaís (%)",$S$10)</f>
        <v>160</v>
      </c>
      <c r="J37" s="21">
        <f>+GETPIVOTDATA("Média de Spread DI+",$S$10)</f>
        <v>2.7644411539234758E-2</v>
      </c>
      <c r="K37" s="122">
        <f>+GETPIVOTDATA("Contagem de RiscoPaís (%)",$W$10)</f>
        <v>513</v>
      </c>
      <c r="L37" s="21">
        <f>+GETPIVOTDATA("Média de Spread DI+",$W$10)</f>
        <v>2.2088100875985749E-2</v>
      </c>
      <c r="O37" s="115">
        <v>2.0299999999999998</v>
      </c>
      <c r="P37" s="9">
        <v>3.6207747256298294E-2</v>
      </c>
      <c r="Q37" s="4">
        <v>3</v>
      </c>
      <c r="S37" s="115">
        <v>1.78</v>
      </c>
      <c r="T37" s="9">
        <v>4.1188055372809451E-4</v>
      </c>
      <c r="U37" s="4">
        <v>1</v>
      </c>
      <c r="W37" s="115">
        <v>1.63</v>
      </c>
      <c r="X37" s="9">
        <v>2.5937831332745409E-2</v>
      </c>
      <c r="Y37" s="4">
        <v>1</v>
      </c>
    </row>
    <row r="38" spans="1:25" x14ac:dyDescent="0.35">
      <c r="A38" s="7">
        <v>44873</v>
      </c>
      <c r="B38" s="43">
        <v>264</v>
      </c>
      <c r="C38">
        <f t="shared" si="0"/>
        <v>2022</v>
      </c>
      <c r="O38" s="115">
        <v>2.0499999999999998</v>
      </c>
      <c r="P38" s="9">
        <v>9.3934705331873373E-3</v>
      </c>
      <c r="Q38" s="4">
        <v>4</v>
      </c>
      <c r="S38" s="115">
        <v>2.13</v>
      </c>
      <c r="T38" s="9">
        <v>6.9273082454898605E-2</v>
      </c>
      <c r="U38" s="4">
        <v>1</v>
      </c>
      <c r="W38" s="115">
        <v>1.64</v>
      </c>
      <c r="X38" s="9">
        <v>2.343930710942525E-2</v>
      </c>
      <c r="Y38" s="4">
        <v>1</v>
      </c>
    </row>
    <row r="39" spans="1:25" x14ac:dyDescent="0.35">
      <c r="A39" s="7">
        <v>44872</v>
      </c>
      <c r="B39" s="43">
        <v>252</v>
      </c>
      <c r="C39">
        <f t="shared" si="0"/>
        <v>2022</v>
      </c>
      <c r="O39" s="115">
        <v>2.13</v>
      </c>
      <c r="P39" s="9">
        <v>1.1600929832616116E-2</v>
      </c>
      <c r="Q39" s="4">
        <v>2</v>
      </c>
      <c r="S39" s="59" t="s">
        <v>814</v>
      </c>
      <c r="T39" s="9">
        <v>2.058334377644826E-2</v>
      </c>
      <c r="U39" s="4">
        <v>15</v>
      </c>
      <c r="W39" s="115">
        <v>1.65</v>
      </c>
      <c r="X39" s="9">
        <v>1.4076687668435506E-2</v>
      </c>
      <c r="Y39" s="4">
        <v>2</v>
      </c>
    </row>
    <row r="40" spans="1:25" x14ac:dyDescent="0.35">
      <c r="A40" s="7">
        <v>44869</v>
      </c>
      <c r="B40" s="43">
        <v>259</v>
      </c>
      <c r="C40">
        <f t="shared" si="0"/>
        <v>2022</v>
      </c>
      <c r="O40" s="115">
        <v>2.14</v>
      </c>
      <c r="P40" s="9">
        <v>1.9581088218107286E-2</v>
      </c>
      <c r="Q40" s="4">
        <v>1</v>
      </c>
      <c r="S40" s="115">
        <v>2.0499999999999998</v>
      </c>
      <c r="T40" s="9">
        <v>1.4190824862453599E-2</v>
      </c>
      <c r="U40" s="4">
        <v>1</v>
      </c>
      <c r="W40" s="115">
        <v>1.69</v>
      </c>
      <c r="X40" s="9">
        <v>1.525815947977135E-2</v>
      </c>
      <c r="Y40" s="4">
        <v>3</v>
      </c>
    </row>
    <row r="41" spans="1:25" x14ac:dyDescent="0.35">
      <c r="A41" s="7">
        <v>44868</v>
      </c>
      <c r="B41" s="43">
        <v>263</v>
      </c>
      <c r="C41">
        <f t="shared" si="0"/>
        <v>2022</v>
      </c>
      <c r="O41" s="115">
        <v>2.1800000000000002</v>
      </c>
      <c r="P41" s="9">
        <v>1.3334596901974803E-2</v>
      </c>
      <c r="Q41" s="4">
        <v>2</v>
      </c>
      <c r="S41" s="115">
        <v>2.0699999999999998</v>
      </c>
      <c r="T41" s="9">
        <v>2.0028542206127042E-2</v>
      </c>
      <c r="U41" s="4">
        <v>2</v>
      </c>
      <c r="W41" s="115">
        <v>1.71</v>
      </c>
      <c r="X41" s="9">
        <v>8.52775741801645E-3</v>
      </c>
      <c r="Y41" s="4">
        <v>1</v>
      </c>
    </row>
    <row r="42" spans="1:25" x14ac:dyDescent="0.35">
      <c r="A42" s="7">
        <v>44867</v>
      </c>
      <c r="B42" s="43">
        <v>260</v>
      </c>
      <c r="C42">
        <f t="shared" si="0"/>
        <v>2022</v>
      </c>
      <c r="O42" s="115">
        <v>2.29</v>
      </c>
      <c r="P42" s="9">
        <v>1.8500000000000003E-2</v>
      </c>
      <c r="Q42" s="4">
        <v>1</v>
      </c>
      <c r="S42" s="115">
        <v>2.13</v>
      </c>
      <c r="T42" s="9">
        <v>3.7178928481767404E-2</v>
      </c>
      <c r="U42" s="4">
        <v>1</v>
      </c>
      <c r="W42" s="115">
        <v>1.81</v>
      </c>
      <c r="X42" s="9">
        <v>1.6247324630025539E-2</v>
      </c>
      <c r="Y42" s="4">
        <v>2</v>
      </c>
    </row>
    <row r="43" spans="1:25" x14ac:dyDescent="0.35">
      <c r="A43" s="7">
        <v>44866</v>
      </c>
      <c r="B43" s="43">
        <v>261</v>
      </c>
      <c r="C43">
        <f t="shared" si="0"/>
        <v>2022</v>
      </c>
      <c r="O43" s="59" t="s">
        <v>813</v>
      </c>
      <c r="P43" s="9">
        <v>1.4150084750291067E-2</v>
      </c>
      <c r="Q43" s="4">
        <v>30</v>
      </c>
      <c r="S43" s="115">
        <v>2.14</v>
      </c>
      <c r="T43" s="9">
        <v>1.2104777773477515E-2</v>
      </c>
      <c r="U43" s="4">
        <v>2</v>
      </c>
      <c r="W43" s="115">
        <v>1.83</v>
      </c>
      <c r="X43" s="9">
        <v>4.6449956257304081E-2</v>
      </c>
      <c r="Y43" s="4">
        <v>2</v>
      </c>
    </row>
    <row r="44" spans="1:25" x14ac:dyDescent="0.35">
      <c r="A44" s="7">
        <v>44862</v>
      </c>
      <c r="B44" s="43">
        <v>255</v>
      </c>
      <c r="C44">
        <f t="shared" si="0"/>
        <v>2022</v>
      </c>
      <c r="O44" s="115">
        <v>1.53</v>
      </c>
      <c r="P44" s="9">
        <v>0.03</v>
      </c>
      <c r="Q44" s="4">
        <v>1</v>
      </c>
      <c r="S44" s="115">
        <v>2.15</v>
      </c>
      <c r="T44" s="9">
        <v>3.0723252824105263E-3</v>
      </c>
      <c r="U44" s="4">
        <v>1</v>
      </c>
      <c r="W44" s="115">
        <v>1.96</v>
      </c>
      <c r="X44" s="9">
        <v>3.7635157834776889E-2</v>
      </c>
      <c r="Y44" s="4">
        <v>1</v>
      </c>
    </row>
    <row r="45" spans="1:25" x14ac:dyDescent="0.35">
      <c r="A45" s="7">
        <v>44861</v>
      </c>
      <c r="B45" s="43">
        <v>272</v>
      </c>
      <c r="C45">
        <f t="shared" si="0"/>
        <v>2022</v>
      </c>
      <c r="O45" s="115">
        <v>1.58</v>
      </c>
      <c r="P45" s="9">
        <v>8.6412575531910011E-3</v>
      </c>
      <c r="Q45" s="4">
        <v>3</v>
      </c>
      <c r="S45" s="115">
        <v>2.1800000000000002</v>
      </c>
      <c r="T45" s="9">
        <v>4.9276563587330902E-2</v>
      </c>
      <c r="U45" s="4">
        <v>1</v>
      </c>
      <c r="W45" s="115">
        <v>2.0099999999999998</v>
      </c>
      <c r="X45" s="9">
        <v>4.9572591876259953E-2</v>
      </c>
      <c r="Y45" s="4">
        <v>2</v>
      </c>
    </row>
    <row r="46" spans="1:25" x14ac:dyDescent="0.35">
      <c r="A46" s="7">
        <v>44860</v>
      </c>
      <c r="B46" s="43">
        <v>259</v>
      </c>
      <c r="C46">
        <f t="shared" si="0"/>
        <v>2022</v>
      </c>
      <c r="O46" s="115">
        <v>1.69</v>
      </c>
      <c r="P46" s="9">
        <v>1.0154394942621438E-2</v>
      </c>
      <c r="Q46" s="4">
        <v>1</v>
      </c>
      <c r="S46" s="115">
        <v>2.19</v>
      </c>
      <c r="T46" s="9">
        <v>1.6306716609078009E-2</v>
      </c>
      <c r="U46" s="4">
        <v>1</v>
      </c>
      <c r="W46" s="115">
        <v>2.0299999999999998</v>
      </c>
      <c r="X46" s="9">
        <v>3.6207747256298294E-2</v>
      </c>
      <c r="Y46" s="4">
        <v>3</v>
      </c>
    </row>
    <row r="47" spans="1:25" x14ac:dyDescent="0.35">
      <c r="A47" s="7">
        <v>44859</v>
      </c>
      <c r="B47" s="43">
        <v>253</v>
      </c>
      <c r="C47">
        <f t="shared" si="0"/>
        <v>2022</v>
      </c>
      <c r="O47" s="115">
        <v>1.79</v>
      </c>
      <c r="P47" s="9">
        <v>0.03</v>
      </c>
      <c r="Q47" s="4">
        <v>1</v>
      </c>
      <c r="S47" s="115">
        <v>2.21</v>
      </c>
      <c r="T47" s="9">
        <v>3.5467931354284499E-2</v>
      </c>
      <c r="U47" s="4">
        <v>1</v>
      </c>
      <c r="W47" s="115">
        <v>2.0499999999999998</v>
      </c>
      <c r="X47" s="9">
        <v>1.5546248515633996E-2</v>
      </c>
      <c r="Y47" s="4">
        <v>5</v>
      </c>
    </row>
    <row r="48" spans="1:25" x14ac:dyDescent="0.35">
      <c r="A48" s="7">
        <v>44858</v>
      </c>
      <c r="B48" s="43">
        <v>246</v>
      </c>
      <c r="C48">
        <f t="shared" si="0"/>
        <v>2022</v>
      </c>
      <c r="O48" s="115">
        <v>1.89</v>
      </c>
      <c r="P48" s="9">
        <v>7.4999999999999997E-3</v>
      </c>
      <c r="Q48" s="4">
        <v>1</v>
      </c>
      <c r="S48" s="115">
        <v>2.4</v>
      </c>
      <c r="T48" s="9">
        <v>1.8333647565602296E-2</v>
      </c>
      <c r="U48" s="4">
        <v>4</v>
      </c>
      <c r="W48" s="115">
        <v>2.0699999999999998</v>
      </c>
      <c r="X48" s="9">
        <v>2.3966635794522739E-2</v>
      </c>
      <c r="Y48" s="4">
        <v>1</v>
      </c>
    </row>
    <row r="49" spans="1:25" x14ac:dyDescent="0.35">
      <c r="A49" s="7">
        <v>44856</v>
      </c>
      <c r="B49" s="43">
        <v>246</v>
      </c>
      <c r="C49">
        <f t="shared" si="0"/>
        <v>2022</v>
      </c>
      <c r="O49" s="115">
        <v>1.91</v>
      </c>
      <c r="P49" s="9">
        <v>1.6241191687475311E-2</v>
      </c>
      <c r="Q49" s="4">
        <v>2</v>
      </c>
      <c r="S49" s="115">
        <v>2.78</v>
      </c>
      <c r="T49" s="9">
        <v>1.5655636247780658E-2</v>
      </c>
      <c r="U49" s="4">
        <v>1</v>
      </c>
      <c r="W49" s="115">
        <v>2.1</v>
      </c>
      <c r="X49" s="9">
        <v>-1.6560968277125609E-3</v>
      </c>
      <c r="Y49" s="4">
        <v>2</v>
      </c>
    </row>
    <row r="50" spans="1:25" x14ac:dyDescent="0.35">
      <c r="A50" s="7">
        <v>44855</v>
      </c>
      <c r="B50" s="43">
        <v>255</v>
      </c>
      <c r="C50">
        <f t="shared" si="0"/>
        <v>2022</v>
      </c>
      <c r="O50" s="115">
        <v>2.0699999999999998</v>
      </c>
      <c r="P50" s="9">
        <v>8.5093875999187104E-3</v>
      </c>
      <c r="Q50" s="4">
        <v>3</v>
      </c>
      <c r="S50" s="59" t="s">
        <v>815</v>
      </c>
      <c r="T50" s="9">
        <v>2.042055115885107E-2</v>
      </c>
      <c r="U50" s="4">
        <v>12</v>
      </c>
      <c r="W50" s="115">
        <v>2.13</v>
      </c>
      <c r="X50" s="9">
        <v>1.4058159257134231E-2</v>
      </c>
      <c r="Y50" s="4">
        <v>3</v>
      </c>
    </row>
    <row r="51" spans="1:25" x14ac:dyDescent="0.35">
      <c r="A51" s="7">
        <v>44854</v>
      </c>
      <c r="B51" s="43">
        <v>264</v>
      </c>
      <c r="C51">
        <f t="shared" si="0"/>
        <v>2022</v>
      </c>
      <c r="O51" s="115">
        <v>2.15</v>
      </c>
      <c r="P51" s="9">
        <v>2.0465598430974351E-2</v>
      </c>
      <c r="Q51" s="4">
        <v>1</v>
      </c>
      <c r="S51" s="115">
        <v>3.16</v>
      </c>
      <c r="T51" s="9">
        <v>1.2194609831299053E-2</v>
      </c>
      <c r="U51" s="4">
        <v>1</v>
      </c>
      <c r="W51" s="115">
        <v>2.14</v>
      </c>
      <c r="X51" s="9">
        <v>1.9581088218107286E-2</v>
      </c>
      <c r="Y51" s="4">
        <v>1</v>
      </c>
    </row>
    <row r="52" spans="1:25" x14ac:dyDescent="0.35">
      <c r="A52" s="7">
        <v>44853</v>
      </c>
      <c r="B52" s="43">
        <v>276</v>
      </c>
      <c r="C52">
        <f t="shared" si="0"/>
        <v>2022</v>
      </c>
      <c r="O52" s="115">
        <v>2.16</v>
      </c>
      <c r="P52" s="9">
        <v>1.0762774016311602E-2</v>
      </c>
      <c r="Q52" s="4">
        <v>3</v>
      </c>
      <c r="S52" s="115">
        <v>3.17</v>
      </c>
      <c r="T52" s="9">
        <v>8.3817677559336889E-3</v>
      </c>
      <c r="U52" s="4">
        <v>1</v>
      </c>
      <c r="W52" s="115">
        <v>2.1800000000000002</v>
      </c>
      <c r="X52" s="9">
        <v>1.4456369903200391E-2</v>
      </c>
      <c r="Y52" s="4">
        <v>3</v>
      </c>
    </row>
    <row r="53" spans="1:25" x14ac:dyDescent="0.35">
      <c r="A53" s="7">
        <v>44852</v>
      </c>
      <c r="B53" s="43">
        <v>278</v>
      </c>
      <c r="C53">
        <f t="shared" si="0"/>
        <v>2022</v>
      </c>
      <c r="O53" s="115">
        <v>2.19</v>
      </c>
      <c r="P53" s="9">
        <v>2.3E-2</v>
      </c>
      <c r="Q53" s="4">
        <v>1</v>
      </c>
      <c r="S53" s="115">
        <v>3.18</v>
      </c>
      <c r="T53" s="9">
        <v>-3.8286906505957674E-4</v>
      </c>
      <c r="U53" s="4">
        <v>1</v>
      </c>
      <c r="W53" s="115">
        <v>2.21</v>
      </c>
      <c r="X53" s="9">
        <v>1.9452624262604967E-2</v>
      </c>
      <c r="Y53" s="4">
        <v>1</v>
      </c>
    </row>
    <row r="54" spans="1:25" x14ac:dyDescent="0.35">
      <c r="A54" s="7">
        <v>44851</v>
      </c>
      <c r="B54" s="43">
        <v>283</v>
      </c>
      <c r="C54">
        <f t="shared" si="0"/>
        <v>2022</v>
      </c>
      <c r="O54" s="115">
        <v>2.2400000000000002</v>
      </c>
      <c r="P54" s="9">
        <v>1.6886565366395979E-2</v>
      </c>
      <c r="Q54" s="4">
        <v>6</v>
      </c>
      <c r="S54" s="115">
        <v>3.28</v>
      </c>
      <c r="T54" s="9">
        <v>1.7976200985041269E-2</v>
      </c>
      <c r="U54" s="4">
        <v>1</v>
      </c>
      <c r="W54" s="115">
        <v>2.29</v>
      </c>
      <c r="X54" s="9">
        <v>1.8500000000000003E-2</v>
      </c>
      <c r="Y54" s="4">
        <v>1</v>
      </c>
    </row>
    <row r="55" spans="1:25" x14ac:dyDescent="0.35">
      <c r="A55" s="7">
        <v>44848</v>
      </c>
      <c r="B55" s="43">
        <v>288</v>
      </c>
      <c r="C55">
        <f t="shared" si="0"/>
        <v>2022</v>
      </c>
      <c r="O55" s="115">
        <v>2.29</v>
      </c>
      <c r="P55" s="9">
        <v>8.5000000000000006E-3</v>
      </c>
      <c r="Q55" s="4">
        <v>1</v>
      </c>
      <c r="S55" s="115">
        <v>3.31</v>
      </c>
      <c r="T55" s="9">
        <v>6.5381578677621288E-3</v>
      </c>
      <c r="U55" s="4">
        <v>1</v>
      </c>
      <c r="W55" s="115">
        <v>2.33</v>
      </c>
      <c r="X55" s="9">
        <v>1.4181478949022441E-3</v>
      </c>
      <c r="Y55" s="4">
        <v>1</v>
      </c>
    </row>
    <row r="56" spans="1:25" x14ac:dyDescent="0.35">
      <c r="A56" s="7">
        <v>44847</v>
      </c>
      <c r="B56" s="43">
        <v>291</v>
      </c>
      <c r="C56">
        <f t="shared" si="0"/>
        <v>2022</v>
      </c>
      <c r="O56" s="115">
        <v>2.33</v>
      </c>
      <c r="P56" s="9">
        <v>7.5441064164305741E-3</v>
      </c>
      <c r="Q56" s="4">
        <v>1</v>
      </c>
      <c r="S56" s="115">
        <v>3.32</v>
      </c>
      <c r="T56" s="9">
        <v>1.4865820908918748E-2</v>
      </c>
      <c r="U56" s="4">
        <v>1</v>
      </c>
      <c r="W56" s="59" t="s">
        <v>813</v>
      </c>
      <c r="X56" s="9">
        <v>1.8953519793431649E-2</v>
      </c>
      <c r="Y56" s="4">
        <v>39</v>
      </c>
    </row>
    <row r="57" spans="1:25" x14ac:dyDescent="0.35">
      <c r="A57" s="7">
        <v>44846</v>
      </c>
      <c r="B57" s="43">
        <v>288</v>
      </c>
      <c r="C57">
        <f t="shared" si="0"/>
        <v>2022</v>
      </c>
      <c r="O57" s="115">
        <v>2.36</v>
      </c>
      <c r="P57" s="9">
        <v>1.0989691938876599E-2</v>
      </c>
      <c r="Q57" s="4">
        <v>1</v>
      </c>
      <c r="S57" s="115">
        <v>3.71</v>
      </c>
      <c r="T57" s="9">
        <v>3.2679352680916152E-2</v>
      </c>
      <c r="U57" s="4">
        <v>1</v>
      </c>
      <c r="W57" s="115">
        <v>1.51</v>
      </c>
      <c r="X57" s="9">
        <v>7.405760536218442E-2</v>
      </c>
      <c r="Y57" s="4">
        <v>1</v>
      </c>
    </row>
    <row r="58" spans="1:25" x14ac:dyDescent="0.35">
      <c r="A58" s="7">
        <v>44845</v>
      </c>
      <c r="B58" s="43">
        <v>282</v>
      </c>
      <c r="C58">
        <f t="shared" si="0"/>
        <v>2022</v>
      </c>
      <c r="O58" s="115">
        <v>2.38</v>
      </c>
      <c r="P58" s="9">
        <v>9.840006657273942E-3</v>
      </c>
      <c r="Q58" s="4">
        <v>1</v>
      </c>
      <c r="S58" s="115">
        <v>3.8</v>
      </c>
      <c r="T58" s="9">
        <v>1.8362899748158856E-2</v>
      </c>
      <c r="U58" s="4">
        <v>1</v>
      </c>
      <c r="W58" s="115">
        <v>1.53</v>
      </c>
      <c r="X58" s="9">
        <v>0.03</v>
      </c>
      <c r="Y58" s="4">
        <v>1</v>
      </c>
    </row>
    <row r="59" spans="1:25" x14ac:dyDescent="0.35">
      <c r="A59" s="7">
        <v>44841</v>
      </c>
      <c r="B59" s="43">
        <v>276</v>
      </c>
      <c r="C59">
        <f t="shared" si="0"/>
        <v>2022</v>
      </c>
      <c r="O59" s="115">
        <v>2.42</v>
      </c>
      <c r="P59" s="9">
        <v>1.3258711060067339E-2</v>
      </c>
      <c r="Q59" s="4">
        <v>1</v>
      </c>
      <c r="S59" s="115">
        <v>3.83</v>
      </c>
      <c r="T59" s="9">
        <v>1.8286108583573712E-2</v>
      </c>
      <c r="U59" s="4">
        <v>1</v>
      </c>
      <c r="W59" s="115">
        <v>1.55</v>
      </c>
      <c r="X59" s="9">
        <v>5.5562967942878738E-2</v>
      </c>
      <c r="Y59" s="4">
        <v>2</v>
      </c>
    </row>
    <row r="60" spans="1:25" x14ac:dyDescent="0.35">
      <c r="A60" s="7">
        <v>44840</v>
      </c>
      <c r="B60" s="43">
        <v>271</v>
      </c>
      <c r="C60">
        <f t="shared" si="0"/>
        <v>2022</v>
      </c>
      <c r="O60" s="115">
        <v>2.4700000000000002</v>
      </c>
      <c r="P60" s="9">
        <v>0.02</v>
      </c>
      <c r="Q60" s="4">
        <v>1</v>
      </c>
      <c r="S60" s="115">
        <v>3.97</v>
      </c>
      <c r="T60" s="9">
        <v>3.810395056627236E-2</v>
      </c>
      <c r="U60" s="4">
        <v>2</v>
      </c>
      <c r="W60" s="115">
        <v>1.58</v>
      </c>
      <c r="X60" s="9">
        <v>8.6412575531910011E-3</v>
      </c>
      <c r="Y60" s="4">
        <v>3</v>
      </c>
    </row>
    <row r="61" spans="1:25" x14ac:dyDescent="0.35">
      <c r="A61" s="7">
        <v>44839</v>
      </c>
      <c r="B61" s="43">
        <v>272</v>
      </c>
      <c r="C61">
        <f t="shared" si="0"/>
        <v>2022</v>
      </c>
      <c r="O61" s="115">
        <v>2.5499999999999998</v>
      </c>
      <c r="P61" s="9">
        <v>1.5707999980897322E-2</v>
      </c>
      <c r="Q61" s="4">
        <v>1</v>
      </c>
      <c r="S61" s="115">
        <v>3.99</v>
      </c>
      <c r="T61" s="9">
        <v>3.9936663477124101E-2</v>
      </c>
      <c r="U61" s="4">
        <v>1</v>
      </c>
      <c r="W61" s="115">
        <v>1.69</v>
      </c>
      <c r="X61" s="9">
        <v>1.0154394942621438E-2</v>
      </c>
      <c r="Y61" s="4">
        <v>1</v>
      </c>
    </row>
    <row r="62" spans="1:25" x14ac:dyDescent="0.35">
      <c r="A62" s="7">
        <v>44838</v>
      </c>
      <c r="B62" s="43">
        <v>266</v>
      </c>
      <c r="C62">
        <f t="shared" si="0"/>
        <v>2022</v>
      </c>
      <c r="O62" s="59" t="s">
        <v>814</v>
      </c>
      <c r="P62" s="9">
        <v>1.615333971844329E-2</v>
      </c>
      <c r="Q62" s="4">
        <v>33</v>
      </c>
      <c r="S62" s="59" t="s">
        <v>816</v>
      </c>
      <c r="T62" s="9">
        <v>2.2778585488238249E-2</v>
      </c>
      <c r="U62" s="4">
        <v>22</v>
      </c>
      <c r="W62" s="115">
        <v>1.74</v>
      </c>
      <c r="X62" s="9">
        <v>1.3971262331763379E-2</v>
      </c>
      <c r="Y62" s="4">
        <v>2</v>
      </c>
    </row>
    <row r="63" spans="1:25" x14ac:dyDescent="0.35">
      <c r="A63" s="7">
        <v>44837</v>
      </c>
      <c r="B63" s="43">
        <v>280</v>
      </c>
      <c r="C63">
        <f t="shared" si="0"/>
        <v>2022</v>
      </c>
      <c r="O63" s="115">
        <v>2.0299999999999998</v>
      </c>
      <c r="P63" s="9">
        <v>1.8268855625225067E-2</v>
      </c>
      <c r="Q63" s="4">
        <v>2</v>
      </c>
      <c r="S63" s="115">
        <v>2.34</v>
      </c>
      <c r="T63" s="9">
        <v>1.4292337371786923E-2</v>
      </c>
      <c r="U63" s="4">
        <v>2</v>
      </c>
      <c r="W63" s="115">
        <v>1.76</v>
      </c>
      <c r="X63" s="9">
        <v>1.5936850257503465E-2</v>
      </c>
      <c r="Y63" s="4">
        <v>2</v>
      </c>
    </row>
    <row r="64" spans="1:25" x14ac:dyDescent="0.35">
      <c r="A64" s="7">
        <v>44834</v>
      </c>
      <c r="B64" s="43">
        <v>288</v>
      </c>
      <c r="C64">
        <f t="shared" si="0"/>
        <v>2022</v>
      </c>
      <c r="O64" s="115">
        <v>2.0499999999999998</v>
      </c>
      <c r="P64" s="9">
        <v>1.1446510668741812E-2</v>
      </c>
      <c r="Q64" s="4">
        <v>4</v>
      </c>
      <c r="S64" s="115">
        <v>2.36</v>
      </c>
      <c r="T64" s="9">
        <v>5.5905388633823883E-2</v>
      </c>
      <c r="U64" s="4">
        <v>1</v>
      </c>
      <c r="W64" s="115">
        <v>1.78</v>
      </c>
      <c r="X64" s="9">
        <v>4.1188055372809451E-4</v>
      </c>
      <c r="Y64" s="4">
        <v>1</v>
      </c>
    </row>
    <row r="65" spans="1:25" x14ac:dyDescent="0.35">
      <c r="A65" s="7">
        <v>44833</v>
      </c>
      <c r="B65" s="43">
        <v>301</v>
      </c>
      <c r="C65">
        <f t="shared" si="0"/>
        <v>2022</v>
      </c>
      <c r="O65" s="115">
        <v>2.08</v>
      </c>
      <c r="P65" s="9">
        <v>1.9469587161062892E-2</v>
      </c>
      <c r="Q65" s="4">
        <v>4</v>
      </c>
      <c r="S65" s="115">
        <v>2.39</v>
      </c>
      <c r="T65" s="9">
        <v>3.3622968399086073E-2</v>
      </c>
      <c r="U65" s="4">
        <v>1</v>
      </c>
      <c r="W65" s="115">
        <v>1.79</v>
      </c>
      <c r="X65" s="9">
        <v>0.03</v>
      </c>
      <c r="Y65" s="4">
        <v>1</v>
      </c>
    </row>
    <row r="66" spans="1:25" x14ac:dyDescent="0.35">
      <c r="A66" s="7">
        <v>44832</v>
      </c>
      <c r="B66" s="43">
        <v>299</v>
      </c>
      <c r="C66">
        <f t="shared" si="0"/>
        <v>2022</v>
      </c>
      <c r="O66" s="115">
        <v>2.12</v>
      </c>
      <c r="P66" s="9">
        <v>3.1475868118271078E-2</v>
      </c>
      <c r="Q66" s="4">
        <v>1</v>
      </c>
      <c r="S66" s="115">
        <v>2.42</v>
      </c>
      <c r="T66" s="9">
        <v>4.7873274823730716E-2</v>
      </c>
      <c r="U66" s="4">
        <v>1</v>
      </c>
      <c r="W66" s="115">
        <v>1.89</v>
      </c>
      <c r="X66" s="9">
        <v>7.4999999999999997E-3</v>
      </c>
      <c r="Y66" s="4">
        <v>1</v>
      </c>
    </row>
    <row r="67" spans="1:25" x14ac:dyDescent="0.35">
      <c r="A67" s="7">
        <v>44831</v>
      </c>
      <c r="B67" s="43">
        <v>297</v>
      </c>
      <c r="C67">
        <f t="shared" ref="C67:C130" si="8">YEAR(A67)</f>
        <v>2022</v>
      </c>
      <c r="O67" s="115">
        <v>2.16</v>
      </c>
      <c r="P67" s="9">
        <v>5.5261974590611537E-3</v>
      </c>
      <c r="Q67" s="4">
        <v>1</v>
      </c>
      <c r="S67" s="115">
        <v>2.48</v>
      </c>
      <c r="T67" s="9">
        <v>8.780983649368931E-3</v>
      </c>
      <c r="U67" s="4">
        <v>3</v>
      </c>
      <c r="W67" s="115">
        <v>1.91</v>
      </c>
      <c r="X67" s="9">
        <v>1.6241191687475311E-2</v>
      </c>
      <c r="Y67" s="4">
        <v>2</v>
      </c>
    </row>
    <row r="68" spans="1:25" x14ac:dyDescent="0.35">
      <c r="A68" s="7">
        <v>44830</v>
      </c>
      <c r="B68" s="43">
        <v>292</v>
      </c>
      <c r="C68">
        <f t="shared" si="8"/>
        <v>2022</v>
      </c>
      <c r="O68" s="115">
        <v>2.2000000000000002</v>
      </c>
      <c r="P68" s="9">
        <v>1.2548325769659373E-2</v>
      </c>
      <c r="Q68" s="4">
        <v>1</v>
      </c>
      <c r="S68" s="115">
        <v>2.52</v>
      </c>
      <c r="T68" s="9">
        <v>7.9904938668893255E-3</v>
      </c>
      <c r="U68" s="4">
        <v>1</v>
      </c>
      <c r="W68" s="115">
        <v>2.0699999999999998</v>
      </c>
      <c r="X68" s="9">
        <v>8.5093875999187104E-3</v>
      </c>
      <c r="Y68" s="4">
        <v>3</v>
      </c>
    </row>
    <row r="69" spans="1:25" x14ac:dyDescent="0.35">
      <c r="A69" s="7">
        <v>44827</v>
      </c>
      <c r="B69" s="43">
        <v>278</v>
      </c>
      <c r="C69">
        <f t="shared" si="8"/>
        <v>2022</v>
      </c>
      <c r="O69" s="115">
        <v>2.2200000000000002</v>
      </c>
      <c r="P69" s="9">
        <v>9.3593869528827093E-3</v>
      </c>
      <c r="Q69" s="4">
        <v>2</v>
      </c>
      <c r="S69" s="115">
        <v>2.54</v>
      </c>
      <c r="T69" s="9">
        <v>2.2628024356858401E-2</v>
      </c>
      <c r="U69" s="4">
        <v>1</v>
      </c>
      <c r="W69" s="115">
        <v>2.13</v>
      </c>
      <c r="X69" s="9">
        <v>6.9273082454898605E-2</v>
      </c>
      <c r="Y69" s="4">
        <v>1</v>
      </c>
    </row>
    <row r="70" spans="1:25" x14ac:dyDescent="0.35">
      <c r="A70" s="7">
        <v>44826</v>
      </c>
      <c r="B70" s="43">
        <v>266</v>
      </c>
      <c r="C70">
        <f t="shared" si="8"/>
        <v>2022</v>
      </c>
      <c r="O70" s="115">
        <v>2.2999999999999998</v>
      </c>
      <c r="P70" s="9">
        <v>8.79967786004659E-3</v>
      </c>
      <c r="Q70" s="4">
        <v>1</v>
      </c>
      <c r="S70" s="115">
        <v>2.5499999999999998</v>
      </c>
      <c r="T70" s="9">
        <v>1.8243284135623039E-2</v>
      </c>
      <c r="U70" s="4">
        <v>1</v>
      </c>
      <c r="W70" s="115">
        <v>2.15</v>
      </c>
      <c r="X70" s="9">
        <v>2.0465598430974351E-2</v>
      </c>
      <c r="Y70" s="4">
        <v>1</v>
      </c>
    </row>
    <row r="71" spans="1:25" x14ac:dyDescent="0.35">
      <c r="A71" s="7">
        <v>44825</v>
      </c>
      <c r="B71" s="43">
        <v>270</v>
      </c>
      <c r="C71">
        <f t="shared" si="8"/>
        <v>2022</v>
      </c>
      <c r="O71" s="115">
        <v>2.33</v>
      </c>
      <c r="P71" s="9">
        <v>3.5820001863068891E-2</v>
      </c>
      <c r="Q71" s="4">
        <v>1</v>
      </c>
      <c r="S71" s="115">
        <v>2.56</v>
      </c>
      <c r="T71" s="9">
        <v>2.4523133066644442E-2</v>
      </c>
      <c r="U71" s="4">
        <v>2</v>
      </c>
      <c r="W71" s="115">
        <v>2.16</v>
      </c>
      <c r="X71" s="9">
        <v>1.0762774016311602E-2</v>
      </c>
      <c r="Y71" s="4">
        <v>3</v>
      </c>
    </row>
    <row r="72" spans="1:25" x14ac:dyDescent="0.35">
      <c r="A72" s="7">
        <v>44824</v>
      </c>
      <c r="B72" s="43">
        <v>270</v>
      </c>
      <c r="C72">
        <f t="shared" si="8"/>
        <v>2022</v>
      </c>
      <c r="O72" s="115">
        <v>2.37</v>
      </c>
      <c r="P72" s="9">
        <v>1.9018154910432673E-2</v>
      </c>
      <c r="Q72" s="4">
        <v>1</v>
      </c>
      <c r="S72" s="115">
        <v>2.6</v>
      </c>
      <c r="T72" s="9">
        <v>2.5456269519021468E-2</v>
      </c>
      <c r="U72" s="4">
        <v>2</v>
      </c>
      <c r="W72" s="115">
        <v>2.19</v>
      </c>
      <c r="X72" s="9">
        <v>2.3E-2</v>
      </c>
      <c r="Y72" s="4">
        <v>1</v>
      </c>
    </row>
    <row r="73" spans="1:25" x14ac:dyDescent="0.35">
      <c r="A73" s="7">
        <v>44823</v>
      </c>
      <c r="B73" s="43">
        <v>266</v>
      </c>
      <c r="C73">
        <f t="shared" si="8"/>
        <v>2022</v>
      </c>
      <c r="O73" s="115">
        <v>2.4300000000000002</v>
      </c>
      <c r="P73" s="9">
        <v>9.6483163046282017E-4</v>
      </c>
      <c r="Q73" s="4">
        <v>4</v>
      </c>
      <c r="S73" s="115">
        <v>2.69</v>
      </c>
      <c r="T73" s="9">
        <v>3.5294796357836722E-2</v>
      </c>
      <c r="U73" s="4">
        <v>1</v>
      </c>
      <c r="W73" s="115">
        <v>2.2400000000000002</v>
      </c>
      <c r="X73" s="9">
        <v>1.6886565366395979E-2</v>
      </c>
      <c r="Y73" s="4">
        <v>6</v>
      </c>
    </row>
    <row r="74" spans="1:25" x14ac:dyDescent="0.35">
      <c r="A74" s="7">
        <v>44820</v>
      </c>
      <c r="B74" s="43">
        <v>269</v>
      </c>
      <c r="C74">
        <f t="shared" si="8"/>
        <v>2022</v>
      </c>
      <c r="O74" s="115">
        <v>2.44</v>
      </c>
      <c r="P74" s="9">
        <v>9.2276265571988644E-3</v>
      </c>
      <c r="Q74" s="4">
        <v>3</v>
      </c>
      <c r="S74" s="115">
        <v>2.74</v>
      </c>
      <c r="T74" s="9">
        <v>3.1304109926429291E-2</v>
      </c>
      <c r="U74" s="4">
        <v>1</v>
      </c>
      <c r="W74" s="115">
        <v>2.29</v>
      </c>
      <c r="X74" s="9">
        <v>8.5000000000000006E-3</v>
      </c>
      <c r="Y74" s="4">
        <v>1</v>
      </c>
    </row>
    <row r="75" spans="1:25" x14ac:dyDescent="0.35">
      <c r="A75" s="7">
        <v>44819</v>
      </c>
      <c r="B75" s="43">
        <v>261</v>
      </c>
      <c r="C75">
        <f t="shared" si="8"/>
        <v>2022</v>
      </c>
      <c r="O75" s="115">
        <v>2.4500000000000002</v>
      </c>
      <c r="P75" s="9">
        <v>3.2994459263425861E-2</v>
      </c>
      <c r="Q75" s="4">
        <v>3</v>
      </c>
      <c r="S75" s="115">
        <v>2.82</v>
      </c>
      <c r="T75" s="9">
        <v>2.3935428779805406E-2</v>
      </c>
      <c r="U75" s="4">
        <v>3</v>
      </c>
      <c r="W75" s="115">
        <v>2.33</v>
      </c>
      <c r="X75" s="9">
        <v>7.5441064164305741E-3</v>
      </c>
      <c r="Y75" s="4">
        <v>1</v>
      </c>
    </row>
    <row r="76" spans="1:25" x14ac:dyDescent="0.35">
      <c r="A76" s="7">
        <v>44818</v>
      </c>
      <c r="B76" s="43">
        <v>263</v>
      </c>
      <c r="C76">
        <f t="shared" si="8"/>
        <v>2022</v>
      </c>
      <c r="O76" s="115">
        <v>2.5499999999999998</v>
      </c>
      <c r="P76" s="9">
        <v>3.0202927202235993E-2</v>
      </c>
      <c r="Q76" s="4">
        <v>1</v>
      </c>
      <c r="S76" s="115">
        <v>2.86</v>
      </c>
      <c r="T76" s="9">
        <v>1.8719447467970385E-2</v>
      </c>
      <c r="U76" s="4">
        <v>1</v>
      </c>
      <c r="W76" s="115">
        <v>2.36</v>
      </c>
      <c r="X76" s="9">
        <v>1.0989691938876599E-2</v>
      </c>
      <c r="Y76" s="4">
        <v>1</v>
      </c>
    </row>
    <row r="77" spans="1:25" x14ac:dyDescent="0.35">
      <c r="A77" s="7">
        <v>44817</v>
      </c>
      <c r="B77" s="43">
        <v>259</v>
      </c>
      <c r="C77">
        <f t="shared" si="8"/>
        <v>2022</v>
      </c>
      <c r="O77" s="115">
        <v>2.8</v>
      </c>
      <c r="P77" s="9">
        <v>1.7000000000000001E-2</v>
      </c>
      <c r="Q77" s="4">
        <v>1</v>
      </c>
      <c r="S77" s="115">
        <v>2.94</v>
      </c>
      <c r="T77" s="9">
        <v>2.8543755705650042E-3</v>
      </c>
      <c r="U77" s="4">
        <v>1</v>
      </c>
      <c r="W77" s="115">
        <v>2.38</v>
      </c>
      <c r="X77" s="9">
        <v>9.840006657273942E-3</v>
      </c>
      <c r="Y77" s="4">
        <v>1</v>
      </c>
    </row>
    <row r="78" spans="1:25" x14ac:dyDescent="0.35">
      <c r="A78" s="7">
        <v>44816</v>
      </c>
      <c r="B78" s="43">
        <v>255</v>
      </c>
      <c r="C78">
        <f t="shared" si="8"/>
        <v>2022</v>
      </c>
      <c r="O78" s="115">
        <v>3.12</v>
      </c>
      <c r="P78" s="9">
        <v>2.1074199022230969E-2</v>
      </c>
      <c r="Q78" s="4">
        <v>3</v>
      </c>
      <c r="S78" s="59" t="s">
        <v>817</v>
      </c>
      <c r="T78" s="9">
        <v>2.9291172480376222E-2</v>
      </c>
      <c r="U78" s="4">
        <v>14</v>
      </c>
      <c r="W78" s="115">
        <v>2.42</v>
      </c>
      <c r="X78" s="9">
        <v>1.3258711060067339E-2</v>
      </c>
      <c r="Y78" s="4">
        <v>1</v>
      </c>
    </row>
    <row r="79" spans="1:25" x14ac:dyDescent="0.35">
      <c r="A79" s="7">
        <v>44813</v>
      </c>
      <c r="B79" s="43">
        <v>259</v>
      </c>
      <c r="C79">
        <f t="shared" si="8"/>
        <v>2022</v>
      </c>
      <c r="O79" s="59" t="s">
        <v>822</v>
      </c>
      <c r="P79" s="9">
        <v>1.8462085991510654E-2</v>
      </c>
      <c r="Q79" s="4">
        <v>16</v>
      </c>
      <c r="S79" s="115">
        <v>2.2599999999999998</v>
      </c>
      <c r="T79" s="9">
        <v>3.3176874275576695E-2</v>
      </c>
      <c r="U79" s="4">
        <v>2</v>
      </c>
      <c r="W79" s="115">
        <v>2.4700000000000002</v>
      </c>
      <c r="X79" s="9">
        <v>0.02</v>
      </c>
      <c r="Y79" s="4">
        <v>1</v>
      </c>
    </row>
    <row r="80" spans="1:25" x14ac:dyDescent="0.35">
      <c r="A80" s="7">
        <v>44812</v>
      </c>
      <c r="B80" s="43">
        <v>264</v>
      </c>
      <c r="C80">
        <f t="shared" si="8"/>
        <v>2022</v>
      </c>
      <c r="O80" s="115">
        <v>2.8</v>
      </c>
      <c r="P80" s="9">
        <v>2.5499999999999998E-2</v>
      </c>
      <c r="Q80" s="4">
        <v>1</v>
      </c>
      <c r="S80" s="115">
        <v>2.27</v>
      </c>
      <c r="T80" s="9">
        <v>1.8037046509238541E-2</v>
      </c>
      <c r="U80" s="4">
        <v>2</v>
      </c>
      <c r="W80" s="115">
        <v>2.5499999999999998</v>
      </c>
      <c r="X80" s="9">
        <v>1.5707999980897322E-2</v>
      </c>
      <c r="Y80" s="4">
        <v>1</v>
      </c>
    </row>
    <row r="81" spans="1:25" x14ac:dyDescent="0.35">
      <c r="A81" s="7">
        <v>44811</v>
      </c>
      <c r="B81" s="43">
        <v>273</v>
      </c>
      <c r="C81">
        <f t="shared" si="8"/>
        <v>2022</v>
      </c>
      <c r="O81" s="115">
        <v>2.86</v>
      </c>
      <c r="P81" s="9">
        <v>1.8500000000000003E-2</v>
      </c>
      <c r="Q81" s="4">
        <v>1</v>
      </c>
      <c r="S81" s="115">
        <v>2.2799999999999998</v>
      </c>
      <c r="T81" s="9">
        <v>1.3810003622565459E-2</v>
      </c>
      <c r="U81" s="4">
        <v>1</v>
      </c>
      <c r="W81" s="59" t="s">
        <v>814</v>
      </c>
      <c r="X81" s="9">
        <v>1.7537715986569839E-2</v>
      </c>
      <c r="Y81" s="4">
        <v>48</v>
      </c>
    </row>
    <row r="82" spans="1:25" x14ac:dyDescent="0.35">
      <c r="A82" s="7">
        <v>44810</v>
      </c>
      <c r="B82" s="43">
        <v>274</v>
      </c>
      <c r="C82">
        <f t="shared" si="8"/>
        <v>2022</v>
      </c>
      <c r="O82" s="115">
        <v>2.91</v>
      </c>
      <c r="P82" s="9">
        <v>7.4582735496095606E-3</v>
      </c>
      <c r="Q82" s="4">
        <v>1</v>
      </c>
      <c r="S82" s="115">
        <v>2.29</v>
      </c>
      <c r="T82" s="9">
        <v>3.1322493570187238E-2</v>
      </c>
      <c r="U82" s="4">
        <v>1</v>
      </c>
      <c r="W82" s="115">
        <v>2.0299999999999998</v>
      </c>
      <c r="X82" s="9">
        <v>1.8268855625225067E-2</v>
      </c>
      <c r="Y82" s="4">
        <v>2</v>
      </c>
    </row>
    <row r="83" spans="1:25" x14ac:dyDescent="0.35">
      <c r="A83" s="7">
        <v>44809</v>
      </c>
      <c r="B83" s="43">
        <v>281</v>
      </c>
      <c r="C83">
        <f t="shared" si="8"/>
        <v>2022</v>
      </c>
      <c r="O83" s="115">
        <v>3.06</v>
      </c>
      <c r="P83" s="9">
        <v>1.5237624156874012E-2</v>
      </c>
      <c r="Q83" s="4">
        <v>2</v>
      </c>
      <c r="S83" s="115">
        <v>2.31</v>
      </c>
      <c r="T83" s="9">
        <v>3.3068475659474794E-2</v>
      </c>
      <c r="U83" s="4">
        <v>1</v>
      </c>
      <c r="W83" s="115">
        <v>2.0499999999999998</v>
      </c>
      <c r="X83" s="9">
        <v>1.1995373507484169E-2</v>
      </c>
      <c r="Y83" s="4">
        <v>5</v>
      </c>
    </row>
    <row r="84" spans="1:25" x14ac:dyDescent="0.35">
      <c r="A84" s="7">
        <v>44806</v>
      </c>
      <c r="B84" s="43">
        <v>281</v>
      </c>
      <c r="C84">
        <f t="shared" si="8"/>
        <v>2022</v>
      </c>
      <c r="O84" s="115">
        <v>3.16</v>
      </c>
      <c r="P84" s="9">
        <v>7.6102451594485254E-3</v>
      </c>
      <c r="Q84" s="4">
        <v>2</v>
      </c>
      <c r="S84" s="115">
        <v>2.54</v>
      </c>
      <c r="T84" s="9">
        <v>3.5770224885680824E-2</v>
      </c>
      <c r="U84" s="4">
        <v>1</v>
      </c>
      <c r="W84" s="115">
        <v>2.0699999999999998</v>
      </c>
      <c r="X84" s="9">
        <v>2.0028542206127042E-2</v>
      </c>
      <c r="Y84" s="4">
        <v>2</v>
      </c>
    </row>
    <row r="85" spans="1:25" x14ac:dyDescent="0.35">
      <c r="A85" s="7">
        <v>44805</v>
      </c>
      <c r="B85" s="43">
        <v>281</v>
      </c>
      <c r="C85">
        <f t="shared" si="8"/>
        <v>2022</v>
      </c>
      <c r="O85" s="115">
        <v>3.18</v>
      </c>
      <c r="P85" s="9">
        <v>2.4094206287527543E-2</v>
      </c>
      <c r="Q85" s="4">
        <v>1</v>
      </c>
      <c r="S85" s="115">
        <v>2.56</v>
      </c>
      <c r="T85" s="9">
        <v>3.3949403813250512E-2</v>
      </c>
      <c r="U85" s="4">
        <v>2</v>
      </c>
      <c r="W85" s="115">
        <v>2.08</v>
      </c>
      <c r="X85" s="9">
        <v>1.9469587161062892E-2</v>
      </c>
      <c r="Y85" s="4">
        <v>4</v>
      </c>
    </row>
    <row r="86" spans="1:25" x14ac:dyDescent="0.35">
      <c r="A86" s="7">
        <v>44804</v>
      </c>
      <c r="B86" s="43">
        <v>285</v>
      </c>
      <c r="C86">
        <f t="shared" si="8"/>
        <v>2022</v>
      </c>
      <c r="O86" s="115">
        <v>3.44</v>
      </c>
      <c r="P86" s="9">
        <v>1.0947420096164801E-2</v>
      </c>
      <c r="Q86" s="4">
        <v>4</v>
      </c>
      <c r="S86" s="115">
        <v>2.64</v>
      </c>
      <c r="T86" s="9">
        <v>5.3772411338334658E-2</v>
      </c>
      <c r="U86" s="4">
        <v>1</v>
      </c>
      <c r="W86" s="115">
        <v>2.12</v>
      </c>
      <c r="X86" s="9">
        <v>3.1475868118271078E-2</v>
      </c>
      <c r="Y86" s="4">
        <v>1</v>
      </c>
    </row>
    <row r="87" spans="1:25" x14ac:dyDescent="0.35">
      <c r="A87" s="7">
        <v>44803</v>
      </c>
      <c r="B87" s="43">
        <v>293</v>
      </c>
      <c r="C87">
        <f t="shared" si="8"/>
        <v>2022</v>
      </c>
      <c r="O87" s="115">
        <v>3.87</v>
      </c>
      <c r="P87" s="9">
        <v>1.8736446205041373E-2</v>
      </c>
      <c r="Q87" s="4">
        <v>1</v>
      </c>
      <c r="S87" s="115">
        <v>2.92</v>
      </c>
      <c r="T87" s="9">
        <v>4.5432526897638104E-2</v>
      </c>
      <c r="U87" s="4">
        <v>1</v>
      </c>
      <c r="W87" s="115">
        <v>2.13</v>
      </c>
      <c r="X87" s="9">
        <v>3.7178928481767404E-2</v>
      </c>
      <c r="Y87" s="4">
        <v>1</v>
      </c>
    </row>
    <row r="88" spans="1:25" x14ac:dyDescent="0.35">
      <c r="A88" s="7">
        <v>44802</v>
      </c>
      <c r="B88" s="43">
        <v>297</v>
      </c>
      <c r="C88">
        <f t="shared" si="8"/>
        <v>2022</v>
      </c>
      <c r="O88" s="115">
        <v>4.5</v>
      </c>
      <c r="P88" s="9">
        <v>1.9299999999999998E-2</v>
      </c>
      <c r="Q88" s="4">
        <v>1</v>
      </c>
      <c r="S88" s="115">
        <v>3.09</v>
      </c>
      <c r="T88" s="9">
        <v>1.3286814777627276E-2</v>
      </c>
      <c r="U88" s="4">
        <v>2</v>
      </c>
      <c r="W88" s="115">
        <v>2.14</v>
      </c>
      <c r="X88" s="9">
        <v>1.2104777773477515E-2</v>
      </c>
      <c r="Y88" s="4">
        <v>2</v>
      </c>
    </row>
    <row r="89" spans="1:25" x14ac:dyDescent="0.35">
      <c r="A89" s="7">
        <v>44799</v>
      </c>
      <c r="B89" s="43">
        <v>291</v>
      </c>
      <c r="C89">
        <f t="shared" si="8"/>
        <v>2022</v>
      </c>
      <c r="O89" s="115">
        <v>4.6500000000000004</v>
      </c>
      <c r="P89" s="9">
        <v>4.0500000000000001E-2</v>
      </c>
      <c r="Q89" s="4">
        <v>1</v>
      </c>
      <c r="S89" s="59" t="s">
        <v>818</v>
      </c>
      <c r="T89" s="9">
        <v>3.1931242670229773E-2</v>
      </c>
      <c r="U89" s="4">
        <v>22</v>
      </c>
      <c r="W89" s="115">
        <v>2.15</v>
      </c>
      <c r="X89" s="9">
        <v>3.0723252824105263E-3</v>
      </c>
      <c r="Y89" s="4">
        <v>1</v>
      </c>
    </row>
    <row r="90" spans="1:25" x14ac:dyDescent="0.35">
      <c r="A90" s="7">
        <v>44798</v>
      </c>
      <c r="B90" s="43">
        <v>288</v>
      </c>
      <c r="C90">
        <f t="shared" si="8"/>
        <v>2022</v>
      </c>
      <c r="O90" s="115">
        <v>4.8499999999999996</v>
      </c>
      <c r="P90" s="9">
        <v>5.1819030804687721E-2</v>
      </c>
      <c r="Q90" s="4">
        <v>1</v>
      </c>
      <c r="S90" s="115">
        <v>2.12</v>
      </c>
      <c r="T90" s="9">
        <v>2.7610563309885761E-2</v>
      </c>
      <c r="U90" s="4">
        <v>1</v>
      </c>
      <c r="W90" s="115">
        <v>2.16</v>
      </c>
      <c r="X90" s="9">
        <v>5.5261974590611537E-3</v>
      </c>
      <c r="Y90" s="4">
        <v>1</v>
      </c>
    </row>
    <row r="91" spans="1:25" x14ac:dyDescent="0.35">
      <c r="A91" s="7">
        <v>44797</v>
      </c>
      <c r="B91" s="43">
        <v>288</v>
      </c>
      <c r="C91">
        <f t="shared" si="8"/>
        <v>2022</v>
      </c>
      <c r="O91" s="59" t="s">
        <v>815</v>
      </c>
      <c r="P91" s="9">
        <v>2.4552226082105187E-2</v>
      </c>
      <c r="Q91" s="4">
        <v>13</v>
      </c>
      <c r="S91" s="115">
        <v>2.1800000000000002</v>
      </c>
      <c r="T91" s="9">
        <v>2.7905437766002184E-2</v>
      </c>
      <c r="U91" s="4">
        <v>1</v>
      </c>
      <c r="W91" s="115">
        <v>2.1800000000000002</v>
      </c>
      <c r="X91" s="9">
        <v>4.9276563587330902E-2</v>
      </c>
      <c r="Y91" s="4">
        <v>1</v>
      </c>
    </row>
    <row r="92" spans="1:25" x14ac:dyDescent="0.35">
      <c r="A92" s="7">
        <v>44796</v>
      </c>
      <c r="B92" s="43">
        <v>299</v>
      </c>
      <c r="C92">
        <f t="shared" si="8"/>
        <v>2022</v>
      </c>
      <c r="O92" s="115">
        <v>3.25</v>
      </c>
      <c r="P92" s="9">
        <v>4.6189209405952517E-2</v>
      </c>
      <c r="Q92" s="4">
        <v>1</v>
      </c>
      <c r="S92" s="115">
        <v>2.2200000000000002</v>
      </c>
      <c r="T92" s="9">
        <v>3.2106564280990568E-2</v>
      </c>
      <c r="U92" s="4">
        <v>1</v>
      </c>
      <c r="W92" s="115">
        <v>2.19</v>
      </c>
      <c r="X92" s="9">
        <v>1.6306716609078009E-2</v>
      </c>
      <c r="Y92" s="4">
        <v>1</v>
      </c>
    </row>
    <row r="93" spans="1:25" x14ac:dyDescent="0.35">
      <c r="A93" s="7">
        <v>44795</v>
      </c>
      <c r="B93" s="43">
        <v>303</v>
      </c>
      <c r="C93">
        <f t="shared" si="8"/>
        <v>2022</v>
      </c>
      <c r="O93" s="115">
        <v>3.27</v>
      </c>
      <c r="P93" s="9">
        <v>2.8500000000000001E-2</v>
      </c>
      <c r="Q93" s="4">
        <v>1</v>
      </c>
      <c r="S93" s="115">
        <v>2.25</v>
      </c>
      <c r="T93" s="9">
        <v>2.3698309243131543E-2</v>
      </c>
      <c r="U93" s="4">
        <v>1</v>
      </c>
      <c r="W93" s="115">
        <v>2.2000000000000002</v>
      </c>
      <c r="X93" s="9">
        <v>1.2548325769659373E-2</v>
      </c>
      <c r="Y93" s="4">
        <v>1</v>
      </c>
    </row>
    <row r="94" spans="1:25" x14ac:dyDescent="0.35">
      <c r="A94" s="7">
        <v>44792</v>
      </c>
      <c r="B94" s="43">
        <v>297</v>
      </c>
      <c r="C94">
        <f t="shared" si="8"/>
        <v>2022</v>
      </c>
      <c r="O94" s="115">
        <v>3.29</v>
      </c>
      <c r="P94" s="9">
        <v>0.04</v>
      </c>
      <c r="Q94" s="4">
        <v>1</v>
      </c>
      <c r="S94" s="115">
        <v>2.31</v>
      </c>
      <c r="T94" s="9">
        <v>3.9031697000703337E-2</v>
      </c>
      <c r="U94" s="4">
        <v>3</v>
      </c>
      <c r="W94" s="115">
        <v>2.21</v>
      </c>
      <c r="X94" s="9">
        <v>3.5467931354284499E-2</v>
      </c>
      <c r="Y94" s="4">
        <v>1</v>
      </c>
    </row>
    <row r="95" spans="1:25" x14ac:dyDescent="0.35">
      <c r="A95" s="7">
        <v>44791</v>
      </c>
      <c r="B95" s="43">
        <v>292</v>
      </c>
      <c r="C95">
        <f t="shared" si="8"/>
        <v>2022</v>
      </c>
      <c r="O95" s="115">
        <v>3.31</v>
      </c>
      <c r="P95" s="9">
        <v>0.02</v>
      </c>
      <c r="Q95" s="4">
        <v>3</v>
      </c>
      <c r="S95" s="115">
        <v>2.3199999999999998</v>
      </c>
      <c r="T95" s="9">
        <v>2.2161454320951623E-2</v>
      </c>
      <c r="U95" s="4">
        <v>1</v>
      </c>
      <c r="W95" s="115">
        <v>2.2200000000000002</v>
      </c>
      <c r="X95" s="9">
        <v>9.3593869528827093E-3</v>
      </c>
      <c r="Y95" s="4">
        <v>2</v>
      </c>
    </row>
    <row r="96" spans="1:25" x14ac:dyDescent="0.35">
      <c r="A96" s="7">
        <v>44790</v>
      </c>
      <c r="B96" s="43">
        <v>295</v>
      </c>
      <c r="C96">
        <f t="shared" si="8"/>
        <v>2022</v>
      </c>
      <c r="O96" s="115">
        <v>3.32</v>
      </c>
      <c r="P96" s="9">
        <v>1.5972770357019987E-2</v>
      </c>
      <c r="Q96" s="4">
        <v>4</v>
      </c>
      <c r="S96" s="115">
        <v>2.33</v>
      </c>
      <c r="T96" s="9">
        <v>4.1031330001819244E-2</v>
      </c>
      <c r="U96" s="4">
        <v>1</v>
      </c>
      <c r="W96" s="115">
        <v>2.2999999999999998</v>
      </c>
      <c r="X96" s="9">
        <v>8.79967786004659E-3</v>
      </c>
      <c r="Y96" s="4">
        <v>1</v>
      </c>
    </row>
    <row r="97" spans="1:25" x14ac:dyDescent="0.35">
      <c r="A97" s="7">
        <v>44789</v>
      </c>
      <c r="B97" s="43">
        <v>291</v>
      </c>
      <c r="C97">
        <f t="shared" si="8"/>
        <v>2022</v>
      </c>
      <c r="O97" s="115">
        <v>3.33</v>
      </c>
      <c r="P97" s="9">
        <v>1.4098648233335002E-2</v>
      </c>
      <c r="Q97" s="4">
        <v>1</v>
      </c>
      <c r="S97" s="115">
        <v>2.38</v>
      </c>
      <c r="T97" s="9">
        <v>5.0095109176576447E-2</v>
      </c>
      <c r="U97" s="4">
        <v>1</v>
      </c>
      <c r="W97" s="115">
        <v>2.33</v>
      </c>
      <c r="X97" s="9">
        <v>3.5820001863068891E-2</v>
      </c>
      <c r="Y97" s="4">
        <v>1</v>
      </c>
    </row>
    <row r="98" spans="1:25" x14ac:dyDescent="0.35">
      <c r="A98" s="7">
        <v>44788</v>
      </c>
      <c r="B98" s="43">
        <v>286</v>
      </c>
      <c r="C98">
        <f t="shared" si="8"/>
        <v>2022</v>
      </c>
      <c r="O98" s="115">
        <v>3.37</v>
      </c>
      <c r="P98" s="9">
        <v>2.6000000000000002E-2</v>
      </c>
      <c r="Q98" s="4">
        <v>1</v>
      </c>
      <c r="S98" s="115">
        <v>2.4</v>
      </c>
      <c r="T98" s="9">
        <v>3.8369561739408864E-2</v>
      </c>
      <c r="U98" s="4">
        <v>1</v>
      </c>
      <c r="W98" s="115">
        <v>2.37</v>
      </c>
      <c r="X98" s="9">
        <v>1.9018154910432673E-2</v>
      </c>
      <c r="Y98" s="4">
        <v>1</v>
      </c>
    </row>
    <row r="99" spans="1:25" x14ac:dyDescent="0.35">
      <c r="A99" s="7">
        <v>44785</v>
      </c>
      <c r="B99" s="43">
        <v>285</v>
      </c>
      <c r="C99">
        <f t="shared" si="8"/>
        <v>2022</v>
      </c>
      <c r="O99" s="115">
        <v>3.89</v>
      </c>
      <c r="P99" s="9">
        <v>4.0500000000000001E-2</v>
      </c>
      <c r="Q99" s="4">
        <v>1</v>
      </c>
      <c r="S99" s="115">
        <v>2.4300000000000002</v>
      </c>
      <c r="T99" s="9">
        <v>2.11059573457959E-2</v>
      </c>
      <c r="U99" s="4">
        <v>1</v>
      </c>
      <c r="W99" s="115">
        <v>2.4</v>
      </c>
      <c r="X99" s="9">
        <v>1.8333647565602296E-2</v>
      </c>
      <c r="Y99" s="4">
        <v>4</v>
      </c>
    </row>
    <row r="100" spans="1:25" x14ac:dyDescent="0.35">
      <c r="A100" s="7">
        <v>44784</v>
      </c>
      <c r="B100" s="43">
        <v>282</v>
      </c>
      <c r="C100">
        <f t="shared" si="8"/>
        <v>2022</v>
      </c>
      <c r="O100" s="59" t="s">
        <v>816</v>
      </c>
      <c r="P100" s="9">
        <v>2.2018620519072746E-2</v>
      </c>
      <c r="Q100" s="4">
        <v>24</v>
      </c>
      <c r="S100" s="115">
        <v>2.44</v>
      </c>
      <c r="T100" s="9">
        <v>3.6085786666145925E-2</v>
      </c>
      <c r="U100" s="4">
        <v>1</v>
      </c>
      <c r="W100" s="115">
        <v>2.4300000000000002</v>
      </c>
      <c r="X100" s="9">
        <v>9.6483163046282017E-4</v>
      </c>
      <c r="Y100" s="4">
        <v>4</v>
      </c>
    </row>
    <row r="101" spans="1:25" x14ac:dyDescent="0.35">
      <c r="A101" s="7">
        <v>44783</v>
      </c>
      <c r="B101" s="43">
        <v>290</v>
      </c>
      <c r="C101">
        <f t="shared" si="8"/>
        <v>2022</v>
      </c>
      <c r="O101" s="115">
        <v>2.42</v>
      </c>
      <c r="P101" s="9">
        <v>2.8072431015108812E-2</v>
      </c>
      <c r="Q101" s="4">
        <v>1</v>
      </c>
      <c r="S101" s="115">
        <v>2.4500000000000002</v>
      </c>
      <c r="T101" s="9">
        <v>1.2190923266410802E-2</v>
      </c>
      <c r="U101" s="4">
        <v>1</v>
      </c>
      <c r="W101" s="115">
        <v>2.44</v>
      </c>
      <c r="X101" s="9">
        <v>9.2276265571988644E-3</v>
      </c>
      <c r="Y101" s="4">
        <v>3</v>
      </c>
    </row>
    <row r="102" spans="1:25" x14ac:dyDescent="0.35">
      <c r="A102" s="7">
        <v>44782</v>
      </c>
      <c r="B102" s="43">
        <v>305</v>
      </c>
      <c r="C102">
        <f t="shared" si="8"/>
        <v>2022</v>
      </c>
      <c r="O102" s="115">
        <v>2.4300000000000002</v>
      </c>
      <c r="P102" s="9">
        <v>3.5000000000000003E-2</v>
      </c>
      <c r="Q102" s="4">
        <v>1</v>
      </c>
      <c r="S102" s="115">
        <v>2.4900000000000002</v>
      </c>
      <c r="T102" s="9">
        <v>3.4785462377686649E-2</v>
      </c>
      <c r="U102" s="4">
        <v>4</v>
      </c>
      <c r="W102" s="115">
        <v>2.4500000000000002</v>
      </c>
      <c r="X102" s="9">
        <v>3.2994459263425861E-2</v>
      </c>
      <c r="Y102" s="4">
        <v>3</v>
      </c>
    </row>
    <row r="103" spans="1:25" x14ac:dyDescent="0.35">
      <c r="A103" s="7">
        <v>44781</v>
      </c>
      <c r="B103" s="43">
        <v>294</v>
      </c>
      <c r="C103">
        <f t="shared" si="8"/>
        <v>2022</v>
      </c>
      <c r="O103" s="115">
        <v>2.44</v>
      </c>
      <c r="P103" s="9">
        <v>4.6923739593280958E-2</v>
      </c>
      <c r="Q103" s="4">
        <v>1</v>
      </c>
      <c r="S103" s="115">
        <v>2.5499999999999998</v>
      </c>
      <c r="T103" s="9">
        <v>2.0824236100700722E-2</v>
      </c>
      <c r="U103" s="4">
        <v>1</v>
      </c>
      <c r="W103" s="115">
        <v>2.5499999999999998</v>
      </c>
      <c r="X103" s="9">
        <v>3.0202927202235993E-2</v>
      </c>
      <c r="Y103" s="4">
        <v>1</v>
      </c>
    </row>
    <row r="104" spans="1:25" x14ac:dyDescent="0.35">
      <c r="A104" s="7">
        <v>44778</v>
      </c>
      <c r="B104" s="43">
        <v>297</v>
      </c>
      <c r="C104">
        <f t="shared" si="8"/>
        <v>2022</v>
      </c>
      <c r="O104" s="115">
        <v>2.57</v>
      </c>
      <c r="P104" s="9">
        <v>1.575E-2</v>
      </c>
      <c r="Q104" s="4">
        <v>2</v>
      </c>
      <c r="S104" s="115">
        <v>2.56</v>
      </c>
      <c r="T104" s="9">
        <v>3.3568350216095499E-2</v>
      </c>
      <c r="U104" s="4">
        <v>1</v>
      </c>
      <c r="W104" s="115">
        <v>2.78</v>
      </c>
      <c r="X104" s="9">
        <v>1.5655636247780658E-2</v>
      </c>
      <c r="Y104" s="4">
        <v>1</v>
      </c>
    </row>
    <row r="105" spans="1:25" x14ac:dyDescent="0.35">
      <c r="A105" s="7">
        <v>44777</v>
      </c>
      <c r="B105" s="43">
        <v>300</v>
      </c>
      <c r="C105">
        <f t="shared" si="8"/>
        <v>2022</v>
      </c>
      <c r="O105" s="115">
        <v>2.63</v>
      </c>
      <c r="P105" s="9">
        <v>1.7791867690857319E-2</v>
      </c>
      <c r="Q105" s="4">
        <v>3</v>
      </c>
      <c r="S105" s="115">
        <v>2.69</v>
      </c>
      <c r="T105" s="9">
        <v>2.9748407399141641E-2</v>
      </c>
      <c r="U105" s="4">
        <v>2</v>
      </c>
      <c r="W105" s="115">
        <v>2.8</v>
      </c>
      <c r="X105" s="9">
        <v>1.7000000000000001E-2</v>
      </c>
      <c r="Y105" s="4">
        <v>1</v>
      </c>
    </row>
    <row r="106" spans="1:25" x14ac:dyDescent="0.35">
      <c r="A106" s="7">
        <v>44776</v>
      </c>
      <c r="B106" s="43">
        <v>311</v>
      </c>
      <c r="C106">
        <f t="shared" si="8"/>
        <v>2022</v>
      </c>
      <c r="O106" s="115">
        <v>2.64</v>
      </c>
      <c r="P106" s="9">
        <v>2.5918275031720832E-2</v>
      </c>
      <c r="Q106" s="4">
        <v>1</v>
      </c>
      <c r="S106" s="59" t="s">
        <v>819</v>
      </c>
      <c r="T106" s="9">
        <v>3.5289143011228999E-2</v>
      </c>
      <c r="U106" s="4">
        <v>20</v>
      </c>
      <c r="W106" s="115">
        <v>3.12</v>
      </c>
      <c r="X106" s="9">
        <v>2.1074199022230965E-2</v>
      </c>
      <c r="Y106" s="4">
        <v>3</v>
      </c>
    </row>
    <row r="107" spans="1:25" x14ac:dyDescent="0.35">
      <c r="A107" s="7">
        <v>44775</v>
      </c>
      <c r="B107" s="43">
        <v>307</v>
      </c>
      <c r="C107">
        <f t="shared" si="8"/>
        <v>2022</v>
      </c>
      <c r="O107" s="115">
        <v>2.69</v>
      </c>
      <c r="P107" s="9">
        <v>2.3120136101614092E-3</v>
      </c>
      <c r="Q107" s="4">
        <v>4</v>
      </c>
      <c r="S107" s="115">
        <v>2.0299999999999998</v>
      </c>
      <c r="T107" s="9">
        <v>1.7587056110925259E-2</v>
      </c>
      <c r="U107" s="4">
        <v>1</v>
      </c>
      <c r="W107" s="59" t="s">
        <v>822</v>
      </c>
      <c r="X107" s="9">
        <v>1.8462085991510658E-2</v>
      </c>
      <c r="Y107" s="4">
        <v>16</v>
      </c>
    </row>
    <row r="108" spans="1:25" x14ac:dyDescent="0.35">
      <c r="A108" s="7">
        <v>44774</v>
      </c>
      <c r="B108" s="43">
        <v>312</v>
      </c>
      <c r="C108">
        <f t="shared" si="8"/>
        <v>2022</v>
      </c>
      <c r="O108" s="115">
        <v>2.7</v>
      </c>
      <c r="P108" s="9">
        <v>1.6216355387961068E-2</v>
      </c>
      <c r="Q108" s="4">
        <v>2</v>
      </c>
      <c r="S108" s="115">
        <v>2.14</v>
      </c>
      <c r="T108" s="9">
        <v>4.6014971236980839E-2</v>
      </c>
      <c r="U108" s="4">
        <v>1</v>
      </c>
      <c r="W108" s="115">
        <v>2.8</v>
      </c>
      <c r="X108" s="9">
        <v>2.5499999999999998E-2</v>
      </c>
      <c r="Y108" s="4">
        <v>1</v>
      </c>
    </row>
    <row r="109" spans="1:25" x14ac:dyDescent="0.35">
      <c r="A109" s="7">
        <v>44771</v>
      </c>
      <c r="B109" s="43">
        <v>305</v>
      </c>
      <c r="C109">
        <f t="shared" si="8"/>
        <v>2022</v>
      </c>
      <c r="O109" s="115">
        <v>2.73</v>
      </c>
      <c r="P109" s="9">
        <v>2.1250000000000002E-2</v>
      </c>
      <c r="Q109" s="4">
        <v>2</v>
      </c>
      <c r="S109" s="115">
        <v>2.16</v>
      </c>
      <c r="T109" s="9">
        <v>1.7567539926467424E-2</v>
      </c>
      <c r="U109" s="4">
        <v>1</v>
      </c>
      <c r="W109" s="115">
        <v>2.86</v>
      </c>
      <c r="X109" s="9">
        <v>1.8500000000000003E-2</v>
      </c>
      <c r="Y109" s="4">
        <v>1</v>
      </c>
    </row>
    <row r="110" spans="1:25" x14ac:dyDescent="0.35">
      <c r="A110" s="7">
        <v>44770</v>
      </c>
      <c r="B110" s="43">
        <v>317</v>
      </c>
      <c r="C110">
        <f t="shared" si="8"/>
        <v>2022</v>
      </c>
      <c r="O110" s="115">
        <v>2.75</v>
      </c>
      <c r="P110" s="9">
        <v>4.0999999999999995E-2</v>
      </c>
      <c r="Q110" s="4">
        <v>1</v>
      </c>
      <c r="S110" s="115">
        <v>2.19</v>
      </c>
      <c r="T110" s="9">
        <v>1.6907627011258031E-2</v>
      </c>
      <c r="U110" s="4">
        <v>2</v>
      </c>
      <c r="W110" s="115">
        <v>2.91</v>
      </c>
      <c r="X110" s="9">
        <v>7.4582735496095606E-3</v>
      </c>
      <c r="Y110" s="4">
        <v>1</v>
      </c>
    </row>
    <row r="111" spans="1:25" x14ac:dyDescent="0.35">
      <c r="A111" s="7">
        <v>44769</v>
      </c>
      <c r="B111" s="43">
        <v>329</v>
      </c>
      <c r="C111">
        <f t="shared" si="8"/>
        <v>2022</v>
      </c>
      <c r="O111" s="115">
        <v>2.93</v>
      </c>
      <c r="P111" s="9">
        <v>3.9380971324916816E-2</v>
      </c>
      <c r="Q111" s="4">
        <v>3</v>
      </c>
      <c r="S111" s="115">
        <v>2.27</v>
      </c>
      <c r="T111" s="9">
        <v>4.1526636118506266E-2</v>
      </c>
      <c r="U111" s="4">
        <v>1</v>
      </c>
      <c r="W111" s="115">
        <v>3.06</v>
      </c>
      <c r="X111" s="9">
        <v>1.5237624156874012E-2</v>
      </c>
      <c r="Y111" s="4">
        <v>2</v>
      </c>
    </row>
    <row r="112" spans="1:25" x14ac:dyDescent="0.35">
      <c r="A112" s="7">
        <v>44768</v>
      </c>
      <c r="B112" s="43">
        <v>334</v>
      </c>
      <c r="C112">
        <f t="shared" si="8"/>
        <v>2022</v>
      </c>
      <c r="O112" s="115">
        <v>2.99</v>
      </c>
      <c r="P112" s="9">
        <v>2.1000000000000001E-2</v>
      </c>
      <c r="Q112" s="4">
        <v>2</v>
      </c>
      <c r="S112" s="115">
        <v>2.59</v>
      </c>
      <c r="T112" s="9">
        <v>6.8343820082715778E-2</v>
      </c>
      <c r="U112" s="4">
        <v>1</v>
      </c>
      <c r="W112" s="115">
        <v>3.16</v>
      </c>
      <c r="X112" s="9">
        <v>7.6102451594485254E-3</v>
      </c>
      <c r="Y112" s="4">
        <v>2</v>
      </c>
    </row>
    <row r="113" spans="1:25" x14ac:dyDescent="0.35">
      <c r="A113" s="7">
        <v>44767</v>
      </c>
      <c r="B113" s="43">
        <v>332</v>
      </c>
      <c r="C113">
        <f t="shared" si="8"/>
        <v>2022</v>
      </c>
      <c r="O113" s="115">
        <v>3.05</v>
      </c>
      <c r="P113" s="9">
        <v>2.233316455374515E-2</v>
      </c>
      <c r="Q113" s="4">
        <v>1</v>
      </c>
      <c r="S113" s="115">
        <v>2.72</v>
      </c>
      <c r="T113" s="9">
        <v>2.7650555444061808E-2</v>
      </c>
      <c r="U113" s="4">
        <v>1</v>
      </c>
      <c r="W113" s="115">
        <v>3.18</v>
      </c>
      <c r="X113" s="9">
        <v>2.4094206287527543E-2</v>
      </c>
      <c r="Y113" s="4">
        <v>1</v>
      </c>
    </row>
    <row r="114" spans="1:25" x14ac:dyDescent="0.35">
      <c r="A114" s="7">
        <v>44764</v>
      </c>
      <c r="B114" s="43">
        <v>339</v>
      </c>
      <c r="C114">
        <f t="shared" si="8"/>
        <v>2022</v>
      </c>
      <c r="O114" s="59" t="s">
        <v>817</v>
      </c>
      <c r="P114" s="9">
        <v>1.9371953400028976E-2</v>
      </c>
      <c r="Q114" s="4">
        <v>33</v>
      </c>
      <c r="S114" s="115">
        <v>2.76</v>
      </c>
      <c r="T114" s="9">
        <v>4.9964836445694827E-2</v>
      </c>
      <c r="U114" s="4">
        <v>1</v>
      </c>
      <c r="W114" s="115">
        <v>3.44</v>
      </c>
      <c r="X114" s="9">
        <v>1.0947420096164801E-2</v>
      </c>
      <c r="Y114" s="4">
        <v>4</v>
      </c>
    </row>
    <row r="115" spans="1:25" x14ac:dyDescent="0.35">
      <c r="A115" s="7">
        <v>44763</v>
      </c>
      <c r="B115" s="43">
        <v>337</v>
      </c>
      <c r="C115">
        <f t="shared" si="8"/>
        <v>2022</v>
      </c>
      <c r="O115" s="115">
        <v>2.37</v>
      </c>
      <c r="P115" s="9">
        <v>4.8186262296113719E-3</v>
      </c>
      <c r="Q115" s="4">
        <v>1</v>
      </c>
      <c r="S115" s="115">
        <v>3.1</v>
      </c>
      <c r="T115" s="9">
        <v>1.958697356956085E-2</v>
      </c>
      <c r="U115" s="4">
        <v>1</v>
      </c>
      <c r="W115" s="115">
        <v>3.87</v>
      </c>
      <c r="X115" s="9">
        <v>1.8736446205041373E-2</v>
      </c>
      <c r="Y115" s="4">
        <v>1</v>
      </c>
    </row>
    <row r="116" spans="1:25" x14ac:dyDescent="0.35">
      <c r="A116" s="7">
        <v>44762</v>
      </c>
      <c r="B116" s="43">
        <v>331</v>
      </c>
      <c r="C116">
        <f t="shared" si="8"/>
        <v>2022</v>
      </c>
      <c r="O116" s="115">
        <v>2.4300000000000002</v>
      </c>
      <c r="P116" s="9">
        <v>-3.0742053006371835E-3</v>
      </c>
      <c r="Q116" s="4">
        <v>2</v>
      </c>
      <c r="S116" s="115">
        <v>3.17</v>
      </c>
      <c r="T116" s="9">
        <v>3.9972371689434905E-2</v>
      </c>
      <c r="U116" s="4">
        <v>1</v>
      </c>
      <c r="W116" s="115">
        <v>4.5</v>
      </c>
      <c r="X116" s="9">
        <v>1.9299999999999998E-2</v>
      </c>
      <c r="Y116" s="4">
        <v>1</v>
      </c>
    </row>
    <row r="117" spans="1:25" x14ac:dyDescent="0.35">
      <c r="A117" s="7">
        <v>44761</v>
      </c>
      <c r="B117" s="43">
        <v>345</v>
      </c>
      <c r="C117">
        <f t="shared" si="8"/>
        <v>2022</v>
      </c>
      <c r="O117" s="115">
        <v>2.48</v>
      </c>
      <c r="P117" s="9">
        <v>2.3166666666666669E-2</v>
      </c>
      <c r="Q117" s="4">
        <v>3</v>
      </c>
      <c r="S117" s="115">
        <v>3.27</v>
      </c>
      <c r="T117" s="9">
        <v>4.023753387741702E-2</v>
      </c>
      <c r="U117" s="4">
        <v>1</v>
      </c>
      <c r="W117" s="115">
        <v>4.6500000000000004</v>
      </c>
      <c r="X117" s="9">
        <v>4.0500000000000001E-2</v>
      </c>
      <c r="Y117" s="4">
        <v>1</v>
      </c>
    </row>
    <row r="118" spans="1:25" x14ac:dyDescent="0.35">
      <c r="A118" s="7">
        <v>44760</v>
      </c>
      <c r="B118" s="43">
        <v>364</v>
      </c>
      <c r="C118">
        <f t="shared" si="8"/>
        <v>2022</v>
      </c>
      <c r="O118" s="115">
        <v>2.4900000000000002</v>
      </c>
      <c r="P118" s="9">
        <v>7.4150203878619323E-3</v>
      </c>
      <c r="Q118" s="4">
        <v>1</v>
      </c>
      <c r="S118" s="115">
        <v>3.28</v>
      </c>
      <c r="T118" s="9">
        <v>3.0171006128791644E-2</v>
      </c>
      <c r="U118" s="4">
        <v>1</v>
      </c>
      <c r="W118" s="115">
        <v>4.8499999999999996</v>
      </c>
      <c r="X118" s="9">
        <v>5.1819030804687721E-2</v>
      </c>
      <c r="Y118" s="4">
        <v>1</v>
      </c>
    </row>
    <row r="119" spans="1:25" x14ac:dyDescent="0.35">
      <c r="A119" s="7">
        <v>44757</v>
      </c>
      <c r="B119" s="43">
        <v>376</v>
      </c>
      <c r="C119">
        <f t="shared" si="8"/>
        <v>2022</v>
      </c>
      <c r="O119" s="115">
        <v>2.61</v>
      </c>
      <c r="P119" s="9">
        <v>1.8671425196458806E-2</v>
      </c>
      <c r="Q119" s="4">
        <v>2</v>
      </c>
      <c r="S119" s="115">
        <v>3.51</v>
      </c>
      <c r="T119" s="9">
        <v>4.9707713700886634E-2</v>
      </c>
      <c r="U119" s="4">
        <v>3</v>
      </c>
      <c r="W119" s="59" t="s">
        <v>815</v>
      </c>
      <c r="X119" s="9">
        <v>2.2569022118943211E-2</v>
      </c>
      <c r="Y119" s="4">
        <v>25</v>
      </c>
    </row>
    <row r="120" spans="1:25" x14ac:dyDescent="0.35">
      <c r="A120" s="7">
        <v>44755</v>
      </c>
      <c r="B120" s="43">
        <v>376</v>
      </c>
      <c r="C120">
        <f t="shared" si="8"/>
        <v>2022</v>
      </c>
      <c r="O120" s="115">
        <v>2.67</v>
      </c>
      <c r="P120" s="9">
        <v>3.5833333333333335E-2</v>
      </c>
      <c r="Q120" s="4">
        <v>3</v>
      </c>
      <c r="S120" s="115">
        <v>3.55</v>
      </c>
      <c r="T120" s="9">
        <v>3.5403578924644963E-2</v>
      </c>
      <c r="U120" s="4">
        <v>1</v>
      </c>
      <c r="W120" s="115">
        <v>3.16</v>
      </c>
      <c r="X120" s="9">
        <v>1.2194609831299053E-2</v>
      </c>
      <c r="Y120" s="4">
        <v>1</v>
      </c>
    </row>
    <row r="121" spans="1:25" x14ac:dyDescent="0.35">
      <c r="A121" s="7">
        <v>44754</v>
      </c>
      <c r="B121" s="43">
        <v>367</v>
      </c>
      <c r="C121">
        <f t="shared" si="8"/>
        <v>2022</v>
      </c>
      <c r="O121" s="115">
        <v>2.68</v>
      </c>
      <c r="P121" s="9">
        <v>3.1666666666666669E-2</v>
      </c>
      <c r="Q121" s="4">
        <v>3</v>
      </c>
      <c r="S121" s="115">
        <v>3.74</v>
      </c>
      <c r="T121" s="9">
        <v>1.803324538990414E-2</v>
      </c>
      <c r="U121" s="4">
        <v>1</v>
      </c>
      <c r="W121" s="115">
        <v>3.17</v>
      </c>
      <c r="X121" s="9">
        <v>8.3817677559336889E-3</v>
      </c>
      <c r="Y121" s="4">
        <v>1</v>
      </c>
    </row>
    <row r="122" spans="1:25" x14ac:dyDescent="0.35">
      <c r="A122" s="7">
        <v>44753</v>
      </c>
      <c r="B122" s="43">
        <v>359</v>
      </c>
      <c r="C122">
        <f t="shared" si="8"/>
        <v>2022</v>
      </c>
      <c r="O122" s="115">
        <v>2.69</v>
      </c>
      <c r="P122" s="9">
        <v>6.2943663344020183E-3</v>
      </c>
      <c r="Q122" s="4">
        <v>1</v>
      </c>
      <c r="S122" s="115">
        <v>3.75</v>
      </c>
      <c r="T122" s="9">
        <v>3.5874829767077676E-2</v>
      </c>
      <c r="U122" s="4">
        <v>1</v>
      </c>
      <c r="W122" s="115">
        <v>3.18</v>
      </c>
      <c r="X122" s="9">
        <v>-3.8286906505957674E-4</v>
      </c>
      <c r="Y122" s="4">
        <v>1</v>
      </c>
    </row>
    <row r="123" spans="1:25" x14ac:dyDescent="0.35">
      <c r="A123" s="7">
        <v>44750</v>
      </c>
      <c r="B123" s="43">
        <v>349</v>
      </c>
      <c r="C123">
        <f t="shared" si="8"/>
        <v>2022</v>
      </c>
      <c r="O123" s="115">
        <v>2.71</v>
      </c>
      <c r="P123" s="9">
        <v>1.2954133071070939E-2</v>
      </c>
      <c r="Q123" s="4">
        <v>2</v>
      </c>
      <c r="S123" s="115">
        <v>3.82</v>
      </c>
      <c r="T123" s="9">
        <v>3.4909510387220566E-2</v>
      </c>
      <c r="U123" s="4">
        <v>1</v>
      </c>
      <c r="W123" s="115">
        <v>3.25</v>
      </c>
      <c r="X123" s="9">
        <v>4.6189209405952517E-2</v>
      </c>
      <c r="Y123" s="4">
        <v>1</v>
      </c>
    </row>
    <row r="124" spans="1:25" x14ac:dyDescent="0.35">
      <c r="A124" s="7">
        <v>44749</v>
      </c>
      <c r="B124" s="43">
        <v>352</v>
      </c>
      <c r="C124">
        <f t="shared" si="8"/>
        <v>2022</v>
      </c>
      <c r="O124" s="115">
        <v>2.74</v>
      </c>
      <c r="P124" s="9">
        <v>1.9833333333333331E-2</v>
      </c>
      <c r="Q124" s="4">
        <v>3</v>
      </c>
      <c r="S124" s="59" t="s">
        <v>820</v>
      </c>
      <c r="T124" s="9">
        <v>3.1187036337008988E-2</v>
      </c>
      <c r="U124" s="4">
        <v>19</v>
      </c>
      <c r="W124" s="115">
        <v>3.27</v>
      </c>
      <c r="X124" s="9">
        <v>2.8500000000000001E-2</v>
      </c>
      <c r="Y124" s="4">
        <v>1</v>
      </c>
    </row>
    <row r="125" spans="1:25" x14ac:dyDescent="0.35">
      <c r="A125" s="7">
        <v>44748</v>
      </c>
      <c r="B125" s="43">
        <v>357</v>
      </c>
      <c r="C125">
        <f t="shared" si="8"/>
        <v>2022</v>
      </c>
      <c r="O125" s="115">
        <v>2.87</v>
      </c>
      <c r="P125" s="9">
        <v>1.0940811033707086E-2</v>
      </c>
      <c r="Q125" s="4">
        <v>3</v>
      </c>
      <c r="S125" s="115">
        <v>2.56</v>
      </c>
      <c r="T125" s="9">
        <v>6.2383573989025498E-2</v>
      </c>
      <c r="U125" s="4">
        <v>1</v>
      </c>
      <c r="W125" s="115">
        <v>3.28</v>
      </c>
      <c r="X125" s="9">
        <v>1.7976200985041269E-2</v>
      </c>
      <c r="Y125" s="4">
        <v>1</v>
      </c>
    </row>
    <row r="126" spans="1:25" x14ac:dyDescent="0.35">
      <c r="A126" s="7">
        <v>44747</v>
      </c>
      <c r="B126" s="43">
        <v>369</v>
      </c>
      <c r="C126">
        <f t="shared" si="8"/>
        <v>2022</v>
      </c>
      <c r="O126" s="115">
        <v>2.95</v>
      </c>
      <c r="P126" s="9">
        <v>1.2964235217602919E-2</v>
      </c>
      <c r="Q126" s="4">
        <v>2</v>
      </c>
      <c r="S126" s="115">
        <v>2.61</v>
      </c>
      <c r="T126" s="9">
        <v>3.0748646073593067E-2</v>
      </c>
      <c r="U126" s="4">
        <v>1</v>
      </c>
      <c r="W126" s="115">
        <v>3.29</v>
      </c>
      <c r="X126" s="9">
        <v>0.04</v>
      </c>
      <c r="Y126" s="4">
        <v>1</v>
      </c>
    </row>
    <row r="127" spans="1:25" x14ac:dyDescent="0.35">
      <c r="A127" s="7">
        <v>44746</v>
      </c>
      <c r="B127" s="43">
        <v>362</v>
      </c>
      <c r="C127">
        <f t="shared" si="8"/>
        <v>2022</v>
      </c>
      <c r="O127" s="115">
        <v>3.06</v>
      </c>
      <c r="P127" s="9">
        <v>4.0417528558939264E-2</v>
      </c>
      <c r="Q127" s="4">
        <v>1</v>
      </c>
      <c r="S127" s="115">
        <v>2.66</v>
      </c>
      <c r="T127" s="9">
        <v>4.0004898846055591E-2</v>
      </c>
      <c r="U127" s="4">
        <v>3</v>
      </c>
      <c r="W127" s="115">
        <v>3.31</v>
      </c>
      <c r="X127" s="9">
        <v>1.6634539466940532E-2</v>
      </c>
      <c r="Y127" s="4">
        <v>4</v>
      </c>
    </row>
    <row r="128" spans="1:25" x14ac:dyDescent="0.35">
      <c r="A128" s="7">
        <v>44743</v>
      </c>
      <c r="B128" s="43">
        <v>362</v>
      </c>
      <c r="C128">
        <f t="shared" si="8"/>
        <v>2022</v>
      </c>
      <c r="O128" s="115">
        <v>3.29</v>
      </c>
      <c r="P128" s="9">
        <v>1.0200000000000001E-2</v>
      </c>
      <c r="Q128" s="4">
        <v>1</v>
      </c>
      <c r="S128" s="115">
        <v>2.67</v>
      </c>
      <c r="T128" s="9">
        <v>3.0281665583921757E-2</v>
      </c>
      <c r="U128" s="4">
        <v>1</v>
      </c>
      <c r="W128" s="115">
        <v>3.32</v>
      </c>
      <c r="X128" s="9">
        <v>1.5751380467399739E-2</v>
      </c>
      <c r="Y128" s="4">
        <v>5</v>
      </c>
    </row>
    <row r="129" spans="1:25" x14ac:dyDescent="0.35">
      <c r="A129" s="7">
        <v>44742</v>
      </c>
      <c r="B129" s="43">
        <v>364</v>
      </c>
      <c r="C129">
        <f t="shared" si="8"/>
        <v>2022</v>
      </c>
      <c r="O129" s="115">
        <v>3.3</v>
      </c>
      <c r="P129" s="9">
        <v>1.9333333333333338E-2</v>
      </c>
      <c r="Q129" s="4">
        <v>3</v>
      </c>
      <c r="S129" s="115">
        <v>2.68</v>
      </c>
      <c r="T129" s="9">
        <v>3.3033702389179354E-2</v>
      </c>
      <c r="U129" s="4">
        <v>2</v>
      </c>
      <c r="W129" s="115">
        <v>3.33</v>
      </c>
      <c r="X129" s="9">
        <v>1.4098648233335002E-2</v>
      </c>
      <c r="Y129" s="4">
        <v>1</v>
      </c>
    </row>
    <row r="130" spans="1:25" x14ac:dyDescent="0.35">
      <c r="A130" s="7">
        <v>44741</v>
      </c>
      <c r="B130" s="43">
        <v>365</v>
      </c>
      <c r="C130">
        <f t="shared" si="8"/>
        <v>2022</v>
      </c>
      <c r="O130" s="115">
        <v>3.32</v>
      </c>
      <c r="P130" s="9">
        <v>1.4775311220029147E-2</v>
      </c>
      <c r="Q130" s="4">
        <v>1</v>
      </c>
      <c r="S130" s="115">
        <v>2.73</v>
      </c>
      <c r="T130" s="9">
        <v>1.6201249241704074E-2</v>
      </c>
      <c r="U130" s="4">
        <v>1</v>
      </c>
      <c r="W130" s="115">
        <v>3.37</v>
      </c>
      <c r="X130" s="9">
        <v>2.6000000000000002E-2</v>
      </c>
      <c r="Y130" s="4">
        <v>1</v>
      </c>
    </row>
    <row r="131" spans="1:25" x14ac:dyDescent="0.35">
      <c r="A131" s="7">
        <v>44740</v>
      </c>
      <c r="B131" s="43">
        <v>356</v>
      </c>
      <c r="C131">
        <f t="shared" ref="C131:C194" si="9">YEAR(A131)</f>
        <v>2022</v>
      </c>
      <c r="O131" s="115">
        <v>3.43</v>
      </c>
      <c r="P131" s="9">
        <v>0.05</v>
      </c>
      <c r="Q131" s="4">
        <v>1</v>
      </c>
      <c r="S131" s="115">
        <v>2.76</v>
      </c>
      <c r="T131" s="9">
        <v>1.2449799526929706E-2</v>
      </c>
      <c r="U131" s="4">
        <v>1</v>
      </c>
      <c r="W131" s="115">
        <v>3.71</v>
      </c>
      <c r="X131" s="9">
        <v>3.2679352680916152E-2</v>
      </c>
      <c r="Y131" s="4">
        <v>1</v>
      </c>
    </row>
    <row r="132" spans="1:25" x14ac:dyDescent="0.35">
      <c r="A132" s="7">
        <v>44739</v>
      </c>
      <c r="B132" s="43">
        <v>340</v>
      </c>
      <c r="C132">
        <f t="shared" si="9"/>
        <v>2022</v>
      </c>
      <c r="O132" s="59" t="s">
        <v>818</v>
      </c>
      <c r="P132" s="9">
        <v>1.1767801835272805E-2</v>
      </c>
      <c r="Q132" s="4">
        <v>58</v>
      </c>
      <c r="S132" s="115">
        <v>2.77</v>
      </c>
      <c r="T132" s="9">
        <v>2.1758156496881842E-2</v>
      </c>
      <c r="U132" s="4">
        <v>1</v>
      </c>
      <c r="W132" s="115">
        <v>3.8</v>
      </c>
      <c r="X132" s="9">
        <v>1.8362899748158856E-2</v>
      </c>
      <c r="Y132" s="4">
        <v>1</v>
      </c>
    </row>
    <row r="133" spans="1:25" x14ac:dyDescent="0.35">
      <c r="A133" s="7">
        <v>44736</v>
      </c>
      <c r="B133" s="43">
        <v>343</v>
      </c>
      <c r="C133">
        <f t="shared" si="9"/>
        <v>2022</v>
      </c>
      <c r="O133" s="115">
        <v>2.12</v>
      </c>
      <c r="P133" s="9">
        <v>1.29E-2</v>
      </c>
      <c r="Q133" s="4">
        <v>1</v>
      </c>
      <c r="S133" s="115">
        <v>2.83</v>
      </c>
      <c r="T133" s="9">
        <v>3.6943968404894223E-2</v>
      </c>
      <c r="U133" s="4">
        <v>1</v>
      </c>
      <c r="W133" s="115">
        <v>3.83</v>
      </c>
      <c r="X133" s="9">
        <v>1.8286108583573712E-2</v>
      </c>
      <c r="Y133" s="4">
        <v>1</v>
      </c>
    </row>
    <row r="134" spans="1:25" x14ac:dyDescent="0.35">
      <c r="A134" s="7">
        <v>44735</v>
      </c>
      <c r="B134" s="43">
        <v>347</v>
      </c>
      <c r="C134">
        <f t="shared" si="9"/>
        <v>2022</v>
      </c>
      <c r="O134" s="115">
        <v>2.2400000000000002</v>
      </c>
      <c r="P134" s="9">
        <v>9.75E-3</v>
      </c>
      <c r="Q134" s="4">
        <v>2</v>
      </c>
      <c r="S134" s="115">
        <v>2.85</v>
      </c>
      <c r="T134" s="9">
        <v>2.5288359312976905E-2</v>
      </c>
      <c r="U134" s="4">
        <v>1</v>
      </c>
      <c r="W134" s="115">
        <v>3.89</v>
      </c>
      <c r="X134" s="9">
        <v>4.0500000000000001E-2</v>
      </c>
      <c r="Y134" s="4">
        <v>1</v>
      </c>
    </row>
    <row r="135" spans="1:25" x14ac:dyDescent="0.35">
      <c r="A135" s="7">
        <v>44734</v>
      </c>
      <c r="B135" s="43">
        <v>347</v>
      </c>
      <c r="C135">
        <f t="shared" si="9"/>
        <v>2022</v>
      </c>
      <c r="O135" s="115">
        <v>2.31</v>
      </c>
      <c r="P135" s="9">
        <v>5.4000000000000006E-2</v>
      </c>
      <c r="Q135" s="4">
        <v>1</v>
      </c>
      <c r="S135" s="115">
        <v>2.88</v>
      </c>
      <c r="T135" s="9">
        <v>2.424881051711214E-2</v>
      </c>
      <c r="U135" s="4">
        <v>1</v>
      </c>
      <c r="W135" s="115">
        <v>3.97</v>
      </c>
      <c r="X135" s="9">
        <v>3.810395056627236E-2</v>
      </c>
      <c r="Y135" s="4">
        <v>2</v>
      </c>
    </row>
    <row r="136" spans="1:25" x14ac:dyDescent="0.35">
      <c r="A136" s="7">
        <v>44733</v>
      </c>
      <c r="B136" s="43">
        <v>342</v>
      </c>
      <c r="C136">
        <f t="shared" si="9"/>
        <v>2022</v>
      </c>
      <c r="O136" s="115">
        <v>2.35</v>
      </c>
      <c r="P136" s="9">
        <v>4.3576180954415858E-3</v>
      </c>
      <c r="Q136" s="4">
        <v>1</v>
      </c>
      <c r="S136" s="115">
        <v>2.89</v>
      </c>
      <c r="T136" s="9">
        <v>2.143565323755614E-2</v>
      </c>
      <c r="U136" s="4">
        <v>1</v>
      </c>
      <c r="W136" s="115">
        <v>3.99</v>
      </c>
      <c r="X136" s="9">
        <v>3.9936663477124101E-2</v>
      </c>
      <c r="Y136" s="4">
        <v>1</v>
      </c>
    </row>
    <row r="137" spans="1:25" x14ac:dyDescent="0.35">
      <c r="A137" s="7">
        <v>44732</v>
      </c>
      <c r="B137" s="43">
        <v>346</v>
      </c>
      <c r="C137">
        <f t="shared" si="9"/>
        <v>2022</v>
      </c>
      <c r="O137" s="115">
        <v>2.37</v>
      </c>
      <c r="P137" s="9">
        <v>1.2874278389202036E-2</v>
      </c>
      <c r="Q137" s="4">
        <v>7</v>
      </c>
      <c r="S137" s="115">
        <v>3.14</v>
      </c>
      <c r="T137" s="9">
        <v>2.0337728899228025E-2</v>
      </c>
      <c r="U137" s="4">
        <v>2</v>
      </c>
      <c r="W137" s="59" t="s">
        <v>816</v>
      </c>
      <c r="X137" s="9">
        <v>2.238208202606495E-2</v>
      </c>
      <c r="Y137" s="4">
        <v>46</v>
      </c>
    </row>
    <row r="138" spans="1:25" x14ac:dyDescent="0.35">
      <c r="A138" s="7">
        <v>44729</v>
      </c>
      <c r="B138" s="43">
        <v>346</v>
      </c>
      <c r="C138">
        <f t="shared" si="9"/>
        <v>2022</v>
      </c>
      <c r="O138" s="115">
        <v>2.38</v>
      </c>
      <c r="P138" s="9">
        <v>1.7504339791911697E-2</v>
      </c>
      <c r="Q138" s="4">
        <v>4</v>
      </c>
      <c r="S138" s="115">
        <v>3.18</v>
      </c>
      <c r="T138" s="9">
        <v>2.1179202871856706E-2</v>
      </c>
      <c r="U138" s="4">
        <v>1</v>
      </c>
      <c r="W138" s="115">
        <v>2.34</v>
      </c>
      <c r="X138" s="9">
        <v>1.4292337371786923E-2</v>
      </c>
      <c r="Y138" s="4">
        <v>2</v>
      </c>
    </row>
    <row r="139" spans="1:25" x14ac:dyDescent="0.35">
      <c r="A139" s="7">
        <v>44728</v>
      </c>
      <c r="B139" s="43">
        <v>348</v>
      </c>
      <c r="C139">
        <f t="shared" si="9"/>
        <v>2022</v>
      </c>
      <c r="O139" s="115">
        <v>2.39</v>
      </c>
      <c r="P139" s="9">
        <v>1.6E-2</v>
      </c>
      <c r="Q139" s="4">
        <v>1</v>
      </c>
      <c r="S139" s="115">
        <v>3.25</v>
      </c>
      <c r="T139" s="9">
        <v>6.287704603173716E-2</v>
      </c>
      <c r="U139" s="4">
        <v>1</v>
      </c>
      <c r="W139" s="115">
        <v>2.36</v>
      </c>
      <c r="X139" s="9">
        <v>5.5905388633823883E-2</v>
      </c>
      <c r="Y139" s="4">
        <v>1</v>
      </c>
    </row>
    <row r="140" spans="1:25" x14ac:dyDescent="0.35">
      <c r="A140" s="7">
        <v>44727</v>
      </c>
      <c r="B140" s="43">
        <v>336</v>
      </c>
      <c r="C140">
        <f t="shared" si="9"/>
        <v>2022</v>
      </c>
      <c r="O140" s="115">
        <v>2.4</v>
      </c>
      <c r="P140" s="9">
        <v>1.3197724978515095E-2</v>
      </c>
      <c r="Q140" s="4">
        <v>1</v>
      </c>
      <c r="S140" s="59" t="s">
        <v>768</v>
      </c>
      <c r="T140" s="9">
        <v>2.7644411539234758E-2</v>
      </c>
      <c r="U140" s="4">
        <v>160</v>
      </c>
      <c r="W140" s="115">
        <v>2.39</v>
      </c>
      <c r="X140" s="9">
        <v>3.3622968399086073E-2</v>
      </c>
      <c r="Y140" s="4">
        <v>1</v>
      </c>
    </row>
    <row r="141" spans="1:25" x14ac:dyDescent="0.35">
      <c r="A141" s="7">
        <v>44726</v>
      </c>
      <c r="B141" s="43">
        <v>338</v>
      </c>
      <c r="C141">
        <f t="shared" si="9"/>
        <v>2022</v>
      </c>
      <c r="O141" s="115">
        <v>2.41</v>
      </c>
      <c r="P141" s="9">
        <v>1.2331886793079949E-3</v>
      </c>
      <c r="Q141" s="4">
        <v>1</v>
      </c>
      <c r="W141" s="115">
        <v>2.42</v>
      </c>
      <c r="X141" s="9">
        <v>3.7972852919419764E-2</v>
      </c>
      <c r="Y141" s="4">
        <v>2</v>
      </c>
    </row>
    <row r="142" spans="1:25" x14ac:dyDescent="0.35">
      <c r="A142" s="7">
        <v>44725</v>
      </c>
      <c r="B142" s="43">
        <v>338</v>
      </c>
      <c r="C142">
        <f t="shared" si="9"/>
        <v>2022</v>
      </c>
      <c r="O142" s="115">
        <v>2.42</v>
      </c>
      <c r="P142" s="9">
        <v>1.6333333333333335E-2</v>
      </c>
      <c r="Q142" s="4">
        <v>3</v>
      </c>
      <c r="W142" s="115">
        <v>2.4300000000000002</v>
      </c>
      <c r="X142" s="9">
        <v>3.5000000000000003E-2</v>
      </c>
      <c r="Y142" s="4">
        <v>1</v>
      </c>
    </row>
    <row r="143" spans="1:25" x14ac:dyDescent="0.35">
      <c r="A143" s="7">
        <v>44722</v>
      </c>
      <c r="B143" s="43">
        <v>325</v>
      </c>
      <c r="C143">
        <f t="shared" si="9"/>
        <v>2022</v>
      </c>
      <c r="O143" s="115">
        <v>2.44</v>
      </c>
      <c r="P143" s="9">
        <v>1.2500000000000001E-2</v>
      </c>
      <c r="Q143" s="4">
        <v>1</v>
      </c>
      <c r="W143" s="115">
        <v>2.44</v>
      </c>
      <c r="X143" s="9">
        <v>4.6923739593280958E-2</v>
      </c>
      <c r="Y143" s="4">
        <v>1</v>
      </c>
    </row>
    <row r="144" spans="1:25" x14ac:dyDescent="0.35">
      <c r="A144" s="7">
        <v>44721</v>
      </c>
      <c r="B144" s="43">
        <v>318</v>
      </c>
      <c r="C144">
        <f t="shared" si="9"/>
        <v>2022</v>
      </c>
      <c r="O144" s="115">
        <v>2.4500000000000002</v>
      </c>
      <c r="P144" s="9">
        <v>1.1124999999999999E-2</v>
      </c>
      <c r="Q144" s="4">
        <v>4</v>
      </c>
      <c r="W144" s="115">
        <v>2.48</v>
      </c>
      <c r="X144" s="9">
        <v>8.780983649368931E-3</v>
      </c>
      <c r="Y144" s="4">
        <v>3</v>
      </c>
    </row>
    <row r="145" spans="1:25" x14ac:dyDescent="0.35">
      <c r="A145" s="7">
        <v>44720</v>
      </c>
      <c r="B145" s="43">
        <v>312</v>
      </c>
      <c r="C145">
        <f t="shared" si="9"/>
        <v>2022</v>
      </c>
      <c r="O145" s="115">
        <v>2.4700000000000002</v>
      </c>
      <c r="P145" s="9">
        <v>1.3466876383921756E-2</v>
      </c>
      <c r="Q145" s="4">
        <v>3</v>
      </c>
      <c r="W145" s="115">
        <v>2.52</v>
      </c>
      <c r="X145" s="9">
        <v>7.9904938668893255E-3</v>
      </c>
      <c r="Y145" s="4">
        <v>1</v>
      </c>
    </row>
    <row r="146" spans="1:25" x14ac:dyDescent="0.35">
      <c r="A146" s="7">
        <v>44719</v>
      </c>
      <c r="B146" s="43">
        <v>311</v>
      </c>
      <c r="C146">
        <f t="shared" si="9"/>
        <v>2022</v>
      </c>
      <c r="O146" s="115">
        <v>2.4900000000000002</v>
      </c>
      <c r="P146" s="9">
        <v>9.4818592281103488E-3</v>
      </c>
      <c r="Q146" s="4">
        <v>1</v>
      </c>
      <c r="W146" s="115">
        <v>2.54</v>
      </c>
      <c r="X146" s="9">
        <v>2.2628024356858401E-2</v>
      </c>
      <c r="Y146" s="4">
        <v>1</v>
      </c>
    </row>
    <row r="147" spans="1:25" x14ac:dyDescent="0.35">
      <c r="A147" s="7">
        <v>44718</v>
      </c>
      <c r="B147" s="43">
        <v>307</v>
      </c>
      <c r="C147">
        <f t="shared" si="9"/>
        <v>2022</v>
      </c>
      <c r="O147" s="115">
        <v>2.5</v>
      </c>
      <c r="P147" s="9">
        <v>6.9978904557808728E-3</v>
      </c>
      <c r="Q147" s="4">
        <v>4</v>
      </c>
      <c r="W147" s="115">
        <v>2.5499999999999998</v>
      </c>
      <c r="X147" s="9">
        <v>1.8243284135623039E-2</v>
      </c>
      <c r="Y147" s="4">
        <v>1</v>
      </c>
    </row>
    <row r="148" spans="1:25" x14ac:dyDescent="0.35">
      <c r="A148" s="7">
        <v>44715</v>
      </c>
      <c r="B148" s="43">
        <v>309</v>
      </c>
      <c r="C148">
        <f t="shared" si="9"/>
        <v>2022</v>
      </c>
      <c r="O148" s="115">
        <v>2.5099999999999998</v>
      </c>
      <c r="P148" s="9">
        <v>9.1066736086919953E-4</v>
      </c>
      <c r="Q148" s="4">
        <v>2</v>
      </c>
      <c r="W148" s="115">
        <v>2.56</v>
      </c>
      <c r="X148" s="9">
        <v>2.4523133066644442E-2</v>
      </c>
      <c r="Y148" s="4">
        <v>2</v>
      </c>
    </row>
    <row r="149" spans="1:25" x14ac:dyDescent="0.35">
      <c r="A149" s="7">
        <v>44714</v>
      </c>
      <c r="B149" s="43">
        <v>305</v>
      </c>
      <c r="C149">
        <f t="shared" si="9"/>
        <v>2022</v>
      </c>
      <c r="O149" s="115">
        <v>2.52</v>
      </c>
      <c r="P149" s="9">
        <v>1.0970717390029023E-2</v>
      </c>
      <c r="Q149" s="4">
        <v>9</v>
      </c>
      <c r="W149" s="115">
        <v>2.57</v>
      </c>
      <c r="X149" s="9">
        <v>1.575E-2</v>
      </c>
      <c r="Y149" s="4">
        <v>2</v>
      </c>
    </row>
    <row r="150" spans="1:25" x14ac:dyDescent="0.35">
      <c r="A150" s="7">
        <v>44713</v>
      </c>
      <c r="B150" s="43">
        <v>302</v>
      </c>
      <c r="C150">
        <f t="shared" si="9"/>
        <v>2022</v>
      </c>
      <c r="O150" s="115">
        <v>2.54</v>
      </c>
      <c r="P150" s="9">
        <v>1.2559225958004884E-2</v>
      </c>
      <c r="Q150" s="4">
        <v>4</v>
      </c>
      <c r="W150" s="115">
        <v>2.6</v>
      </c>
      <c r="X150" s="9">
        <v>2.5456269519021468E-2</v>
      </c>
      <c r="Y150" s="4">
        <v>2</v>
      </c>
    </row>
    <row r="151" spans="1:25" x14ac:dyDescent="0.35">
      <c r="A151" s="7">
        <v>44712</v>
      </c>
      <c r="B151" s="43">
        <v>300</v>
      </c>
      <c r="C151">
        <f t="shared" si="9"/>
        <v>2022</v>
      </c>
      <c r="O151" s="115">
        <v>2.5499999999999998</v>
      </c>
      <c r="P151" s="9">
        <v>-6.4606305034115941E-4</v>
      </c>
      <c r="Q151" s="4">
        <v>3</v>
      </c>
      <c r="W151" s="115">
        <v>2.63</v>
      </c>
      <c r="X151" s="9">
        <v>1.7791867690857319E-2</v>
      </c>
      <c r="Y151" s="4">
        <v>3</v>
      </c>
    </row>
    <row r="152" spans="1:25" x14ac:dyDescent="0.35">
      <c r="A152" s="7">
        <v>44711</v>
      </c>
      <c r="B152" s="43">
        <v>305</v>
      </c>
      <c r="C152">
        <f t="shared" si="9"/>
        <v>2022</v>
      </c>
      <c r="O152" s="115">
        <v>2.56</v>
      </c>
      <c r="P152" s="9">
        <v>1.9761106845022744E-3</v>
      </c>
      <c r="Q152" s="4">
        <v>1</v>
      </c>
      <c r="W152" s="115">
        <v>2.64</v>
      </c>
      <c r="X152" s="9">
        <v>2.5918275031720832E-2</v>
      </c>
      <c r="Y152" s="4">
        <v>1</v>
      </c>
    </row>
    <row r="153" spans="1:25" x14ac:dyDescent="0.35">
      <c r="A153" s="7">
        <v>44708</v>
      </c>
      <c r="B153" s="43">
        <v>305</v>
      </c>
      <c r="C153">
        <f t="shared" si="9"/>
        <v>2022</v>
      </c>
      <c r="O153" s="115">
        <v>2.6</v>
      </c>
      <c r="P153" s="9">
        <v>1.9666666666666669E-2</v>
      </c>
      <c r="Q153" s="4">
        <v>3</v>
      </c>
      <c r="W153" s="115">
        <v>2.69</v>
      </c>
      <c r="X153" s="9">
        <v>8.9085701596964724E-3</v>
      </c>
      <c r="Y153" s="4">
        <v>5</v>
      </c>
    </row>
    <row r="154" spans="1:25" x14ac:dyDescent="0.35">
      <c r="A154" s="7">
        <v>44707</v>
      </c>
      <c r="B154" s="43">
        <v>310</v>
      </c>
      <c r="C154">
        <f t="shared" si="9"/>
        <v>2022</v>
      </c>
      <c r="O154" s="115">
        <v>2.76</v>
      </c>
      <c r="P154" s="9">
        <v>7.4999999999999997E-3</v>
      </c>
      <c r="Q154" s="4">
        <v>1</v>
      </c>
      <c r="W154" s="115">
        <v>2.7</v>
      </c>
      <c r="X154" s="9">
        <v>1.6216355387961068E-2</v>
      </c>
      <c r="Y154" s="4">
        <v>2</v>
      </c>
    </row>
    <row r="155" spans="1:25" x14ac:dyDescent="0.35">
      <c r="A155" s="7">
        <v>44706</v>
      </c>
      <c r="B155" s="43">
        <v>316</v>
      </c>
      <c r="C155">
        <f t="shared" si="9"/>
        <v>2022</v>
      </c>
      <c r="O155" s="59" t="s">
        <v>819</v>
      </c>
      <c r="P155" s="9">
        <v>3.0044816770591481E-2</v>
      </c>
      <c r="Q155" s="4">
        <v>48</v>
      </c>
      <c r="W155" s="115">
        <v>2.73</v>
      </c>
      <c r="X155" s="9">
        <v>2.1250000000000002E-2</v>
      </c>
      <c r="Y155" s="4">
        <v>2</v>
      </c>
    </row>
    <row r="156" spans="1:25" x14ac:dyDescent="0.35">
      <c r="A156" s="7">
        <v>44705</v>
      </c>
      <c r="B156" s="43">
        <v>330</v>
      </c>
      <c r="C156">
        <f t="shared" si="9"/>
        <v>2022</v>
      </c>
      <c r="O156" s="115">
        <v>2.14</v>
      </c>
      <c r="P156" s="9">
        <v>1.8000000000000002E-2</v>
      </c>
      <c r="Q156" s="4">
        <v>1</v>
      </c>
      <c r="W156" s="115">
        <v>2.74</v>
      </c>
      <c r="X156" s="9">
        <v>3.1304109926429291E-2</v>
      </c>
      <c r="Y156" s="4">
        <v>1</v>
      </c>
    </row>
    <row r="157" spans="1:25" x14ac:dyDescent="0.35">
      <c r="A157" s="7">
        <v>44704</v>
      </c>
      <c r="B157" s="43">
        <v>325</v>
      </c>
      <c r="C157">
        <f t="shared" si="9"/>
        <v>2022</v>
      </c>
      <c r="O157" s="115">
        <v>2.63</v>
      </c>
      <c r="P157" s="9">
        <v>1.2072144319930487E-2</v>
      </c>
      <c r="Q157" s="4">
        <v>3</v>
      </c>
      <c r="W157" s="115">
        <v>2.75</v>
      </c>
      <c r="X157" s="9">
        <v>4.0999999999999995E-2</v>
      </c>
      <c r="Y157" s="4">
        <v>1</v>
      </c>
    </row>
    <row r="158" spans="1:25" x14ac:dyDescent="0.35">
      <c r="A158" s="7">
        <v>44701</v>
      </c>
      <c r="B158" s="43">
        <v>332</v>
      </c>
      <c r="C158">
        <f t="shared" si="9"/>
        <v>2022</v>
      </c>
      <c r="O158" s="115">
        <v>2.68</v>
      </c>
      <c r="P158" s="9">
        <v>3.7000000000000005E-2</v>
      </c>
      <c r="Q158" s="4">
        <v>1</v>
      </c>
      <c r="W158" s="115">
        <v>2.82</v>
      </c>
      <c r="X158" s="9">
        <v>2.3935428779805406E-2</v>
      </c>
      <c r="Y158" s="4">
        <v>3</v>
      </c>
    </row>
    <row r="159" spans="1:25" x14ac:dyDescent="0.35">
      <c r="A159" s="7">
        <v>44700</v>
      </c>
      <c r="B159" s="43">
        <v>326</v>
      </c>
      <c r="C159">
        <f t="shared" si="9"/>
        <v>2022</v>
      </c>
      <c r="O159" s="115">
        <v>2.75</v>
      </c>
      <c r="P159" s="9">
        <v>2.75E-2</v>
      </c>
      <c r="Q159" s="4">
        <v>1</v>
      </c>
      <c r="W159" s="115">
        <v>2.86</v>
      </c>
      <c r="X159" s="9">
        <v>1.8719447467970385E-2</v>
      </c>
      <c r="Y159" s="4">
        <v>1</v>
      </c>
    </row>
    <row r="160" spans="1:25" x14ac:dyDescent="0.35">
      <c r="A160" s="7">
        <v>44699</v>
      </c>
      <c r="B160" s="43">
        <v>328</v>
      </c>
      <c r="C160">
        <f t="shared" si="9"/>
        <v>2022</v>
      </c>
      <c r="O160" s="115">
        <v>2.76</v>
      </c>
      <c r="P160" s="9">
        <v>2.1318332956751007E-2</v>
      </c>
      <c r="Q160" s="4">
        <v>2</v>
      </c>
      <c r="W160" s="115">
        <v>2.93</v>
      </c>
      <c r="X160" s="9">
        <v>3.9380971324916816E-2</v>
      </c>
      <c r="Y160" s="4">
        <v>3</v>
      </c>
    </row>
    <row r="161" spans="1:25" x14ac:dyDescent="0.35">
      <c r="A161" s="7">
        <v>44698</v>
      </c>
      <c r="B161" s="43">
        <v>315</v>
      </c>
      <c r="C161">
        <f t="shared" si="9"/>
        <v>2022</v>
      </c>
      <c r="O161" s="115">
        <v>3.07</v>
      </c>
      <c r="P161" s="9">
        <v>3.0466079431821658E-2</v>
      </c>
      <c r="Q161" s="4">
        <v>3</v>
      </c>
      <c r="W161" s="115">
        <v>2.94</v>
      </c>
      <c r="X161" s="9">
        <v>2.8543755705650042E-3</v>
      </c>
      <c r="Y161" s="4">
        <v>1</v>
      </c>
    </row>
    <row r="162" spans="1:25" x14ac:dyDescent="0.35">
      <c r="A162" s="7">
        <v>44697</v>
      </c>
      <c r="B162" s="43">
        <v>319</v>
      </c>
      <c r="C162">
        <f t="shared" si="9"/>
        <v>2022</v>
      </c>
      <c r="O162" s="115">
        <v>3.1</v>
      </c>
      <c r="P162" s="9">
        <v>2.7250000000000003E-2</v>
      </c>
      <c r="Q162" s="4">
        <v>2</v>
      </c>
      <c r="W162" s="115">
        <v>2.99</v>
      </c>
      <c r="X162" s="9">
        <v>2.1000000000000001E-2</v>
      </c>
      <c r="Y162" s="4">
        <v>2</v>
      </c>
    </row>
    <row r="163" spans="1:25" x14ac:dyDescent="0.35">
      <c r="A163" s="7">
        <v>44694</v>
      </c>
      <c r="B163" s="43">
        <v>314</v>
      </c>
      <c r="C163">
        <f t="shared" si="9"/>
        <v>2022</v>
      </c>
      <c r="O163" s="115">
        <v>3.11</v>
      </c>
      <c r="P163" s="9">
        <v>0.03</v>
      </c>
      <c r="Q163" s="4">
        <v>1</v>
      </c>
      <c r="W163" s="115">
        <v>3.05</v>
      </c>
      <c r="X163" s="9">
        <v>2.233316455374515E-2</v>
      </c>
      <c r="Y163" s="4">
        <v>1</v>
      </c>
    </row>
    <row r="164" spans="1:25" x14ac:dyDescent="0.35">
      <c r="A164" s="7">
        <v>44693</v>
      </c>
      <c r="B164" s="43">
        <v>318</v>
      </c>
      <c r="C164">
        <f t="shared" si="9"/>
        <v>2022</v>
      </c>
      <c r="O164" s="115">
        <v>3.14</v>
      </c>
      <c r="P164" s="9">
        <v>1.7500000000000002E-2</v>
      </c>
      <c r="Q164" s="4">
        <v>2</v>
      </c>
      <c r="W164" s="59" t="s">
        <v>817</v>
      </c>
      <c r="X164" s="9">
        <v>2.2326614402685598E-2</v>
      </c>
      <c r="Y164" s="4">
        <v>47</v>
      </c>
    </row>
    <row r="165" spans="1:25" x14ac:dyDescent="0.35">
      <c r="A165" s="7">
        <v>44692</v>
      </c>
      <c r="B165" s="43">
        <v>316</v>
      </c>
      <c r="C165">
        <f t="shared" si="9"/>
        <v>2022</v>
      </c>
      <c r="O165" s="115">
        <v>3.21</v>
      </c>
      <c r="P165" s="9">
        <v>2.8884797597171996E-2</v>
      </c>
      <c r="Q165" s="4">
        <v>1</v>
      </c>
      <c r="W165" s="115">
        <v>2.2599999999999998</v>
      </c>
      <c r="X165" s="9">
        <v>3.3176874275576695E-2</v>
      </c>
      <c r="Y165" s="4">
        <v>2</v>
      </c>
    </row>
    <row r="166" spans="1:25" x14ac:dyDescent="0.35">
      <c r="A166" s="7">
        <v>44691</v>
      </c>
      <c r="B166" s="43">
        <v>315</v>
      </c>
      <c r="C166">
        <f t="shared" si="9"/>
        <v>2022</v>
      </c>
      <c r="O166" s="115">
        <v>3.32</v>
      </c>
      <c r="P166" s="9">
        <v>3.7499999999999992E-2</v>
      </c>
      <c r="Q166" s="4">
        <v>18</v>
      </c>
      <c r="W166" s="115">
        <v>2.27</v>
      </c>
      <c r="X166" s="9">
        <v>1.8037046509238541E-2</v>
      </c>
      <c r="Y166" s="4">
        <v>2</v>
      </c>
    </row>
    <row r="167" spans="1:25" x14ac:dyDescent="0.35">
      <c r="A167" s="7">
        <v>44690</v>
      </c>
      <c r="B167" s="43">
        <v>323</v>
      </c>
      <c r="C167">
        <f t="shared" si="9"/>
        <v>2022</v>
      </c>
      <c r="O167" s="115">
        <v>3.34</v>
      </c>
      <c r="P167" s="9">
        <v>2.6499999999999999E-2</v>
      </c>
      <c r="Q167" s="4">
        <v>1</v>
      </c>
      <c r="W167" s="115">
        <v>2.2799999999999998</v>
      </c>
      <c r="X167" s="9">
        <v>1.3810003622565459E-2</v>
      </c>
      <c r="Y167" s="4">
        <v>1</v>
      </c>
    </row>
    <row r="168" spans="1:25" x14ac:dyDescent="0.35">
      <c r="A168" s="7">
        <v>44687</v>
      </c>
      <c r="B168" s="43">
        <v>301</v>
      </c>
      <c r="C168">
        <f t="shared" si="9"/>
        <v>2022</v>
      </c>
      <c r="O168" s="115">
        <v>3.49</v>
      </c>
      <c r="P168" s="9">
        <v>3.9040698438589816E-2</v>
      </c>
      <c r="Q168" s="4">
        <v>1</v>
      </c>
      <c r="W168" s="115">
        <v>2.29</v>
      </c>
      <c r="X168" s="9">
        <v>3.1322493570187238E-2</v>
      </c>
      <c r="Y168" s="4">
        <v>1</v>
      </c>
    </row>
    <row r="169" spans="1:25" x14ac:dyDescent="0.35">
      <c r="A169" s="7">
        <v>44686</v>
      </c>
      <c r="B169" s="43">
        <v>299</v>
      </c>
      <c r="C169">
        <f t="shared" si="9"/>
        <v>2022</v>
      </c>
      <c r="O169" s="115">
        <v>3.74</v>
      </c>
      <c r="P169" s="9">
        <v>1.9E-2</v>
      </c>
      <c r="Q169" s="4">
        <v>2</v>
      </c>
      <c r="W169" s="115">
        <v>2.31</v>
      </c>
      <c r="X169" s="9">
        <v>3.3068475659474794E-2</v>
      </c>
      <c r="Y169" s="4">
        <v>1</v>
      </c>
    </row>
    <row r="170" spans="1:25" x14ac:dyDescent="0.35">
      <c r="A170" s="7">
        <v>44685</v>
      </c>
      <c r="B170" s="43">
        <v>300</v>
      </c>
      <c r="C170">
        <f t="shared" si="9"/>
        <v>2022</v>
      </c>
      <c r="O170" s="115">
        <v>3.75</v>
      </c>
      <c r="P170" s="9">
        <v>0.03</v>
      </c>
      <c r="Q170" s="4">
        <v>1</v>
      </c>
      <c r="W170" s="115">
        <v>2.37</v>
      </c>
      <c r="X170" s="9">
        <v>4.8186262296113719E-3</v>
      </c>
      <c r="Y170" s="4">
        <v>1</v>
      </c>
    </row>
    <row r="171" spans="1:25" x14ac:dyDescent="0.35">
      <c r="A171" s="7">
        <v>44684</v>
      </c>
      <c r="B171" s="43">
        <v>302</v>
      </c>
      <c r="C171">
        <f t="shared" si="9"/>
        <v>2022</v>
      </c>
      <c r="O171" s="115">
        <v>3.87</v>
      </c>
      <c r="P171" s="9">
        <v>2.1297387243117472E-2</v>
      </c>
      <c r="Q171" s="4">
        <v>1</v>
      </c>
      <c r="W171" s="115">
        <v>2.4300000000000002</v>
      </c>
      <c r="X171" s="9">
        <v>-3.0742053006371835E-3</v>
      </c>
      <c r="Y171" s="4">
        <v>2</v>
      </c>
    </row>
    <row r="172" spans="1:25" x14ac:dyDescent="0.35">
      <c r="A172" s="7">
        <v>44683</v>
      </c>
      <c r="B172" s="43">
        <v>310</v>
      </c>
      <c r="C172">
        <f t="shared" si="9"/>
        <v>2022</v>
      </c>
      <c r="O172" s="115">
        <v>3.92</v>
      </c>
      <c r="P172" s="9">
        <v>4.0500000000000001E-2</v>
      </c>
      <c r="Q172" s="4">
        <v>1</v>
      </c>
      <c r="W172" s="115">
        <v>2.48</v>
      </c>
      <c r="X172" s="9">
        <v>2.3166666666666669E-2</v>
      </c>
      <c r="Y172" s="4">
        <v>3</v>
      </c>
    </row>
    <row r="173" spans="1:25" x14ac:dyDescent="0.35">
      <c r="A173" s="7">
        <v>44680</v>
      </c>
      <c r="B173" s="43">
        <v>306</v>
      </c>
      <c r="C173">
        <f t="shared" si="9"/>
        <v>2022</v>
      </c>
      <c r="O173" s="115">
        <v>3.94</v>
      </c>
      <c r="P173" s="9">
        <v>2.6838492270376872E-2</v>
      </c>
      <c r="Q173" s="4">
        <v>2</v>
      </c>
      <c r="W173" s="115">
        <v>2.4900000000000002</v>
      </c>
      <c r="X173" s="9">
        <v>7.4150203878619323E-3</v>
      </c>
      <c r="Y173" s="4">
        <v>1</v>
      </c>
    </row>
    <row r="174" spans="1:25" x14ac:dyDescent="0.35">
      <c r="A174" s="7">
        <v>44679</v>
      </c>
      <c r="B174" s="43">
        <v>303</v>
      </c>
      <c r="C174">
        <f t="shared" si="9"/>
        <v>2022</v>
      </c>
      <c r="O174" s="115">
        <v>4.22</v>
      </c>
      <c r="P174" s="9">
        <v>4.2000000000000003E-2</v>
      </c>
      <c r="Q174" s="4">
        <v>1</v>
      </c>
      <c r="W174" s="115">
        <v>2.54</v>
      </c>
      <c r="X174" s="9">
        <v>3.5770224885680824E-2</v>
      </c>
      <c r="Y174" s="4">
        <v>1</v>
      </c>
    </row>
    <row r="175" spans="1:25" x14ac:dyDescent="0.35">
      <c r="A175" s="7">
        <v>44678</v>
      </c>
      <c r="B175" s="43">
        <v>297</v>
      </c>
      <c r="C175">
        <f t="shared" si="9"/>
        <v>2022</v>
      </c>
      <c r="O175" s="115">
        <v>4.2699999999999996</v>
      </c>
      <c r="P175" s="9">
        <v>0.03</v>
      </c>
      <c r="Q175" s="4">
        <v>1</v>
      </c>
      <c r="W175" s="115">
        <v>2.56</v>
      </c>
      <c r="X175" s="9">
        <v>3.3949403813250512E-2</v>
      </c>
      <c r="Y175" s="4">
        <v>2</v>
      </c>
    </row>
    <row r="176" spans="1:25" x14ac:dyDescent="0.35">
      <c r="A176" s="7">
        <v>44677</v>
      </c>
      <c r="B176" s="43">
        <v>298</v>
      </c>
      <c r="C176">
        <f t="shared" si="9"/>
        <v>2022</v>
      </c>
      <c r="O176" s="115">
        <v>4.45</v>
      </c>
      <c r="P176" s="9">
        <v>1.4999999999999999E-2</v>
      </c>
      <c r="Q176" s="4">
        <v>1</v>
      </c>
      <c r="W176" s="115">
        <v>2.61</v>
      </c>
      <c r="X176" s="9">
        <v>1.8671425196458806E-2</v>
      </c>
      <c r="Y176" s="4">
        <v>2</v>
      </c>
    </row>
    <row r="177" spans="1:25" x14ac:dyDescent="0.35">
      <c r="A177" s="7">
        <v>44676</v>
      </c>
      <c r="B177" s="43">
        <v>295</v>
      </c>
      <c r="C177">
        <f t="shared" si="9"/>
        <v>2022</v>
      </c>
      <c r="O177" s="115">
        <v>4.7</v>
      </c>
      <c r="P177" s="9">
        <v>0.03</v>
      </c>
      <c r="Q177" s="4">
        <v>1</v>
      </c>
      <c r="W177" s="115">
        <v>2.64</v>
      </c>
      <c r="X177" s="9">
        <v>5.3772411338334658E-2</v>
      </c>
      <c r="Y177" s="4">
        <v>1</v>
      </c>
    </row>
    <row r="178" spans="1:25" x14ac:dyDescent="0.35">
      <c r="A178" s="7">
        <v>44673</v>
      </c>
      <c r="B178" s="43">
        <v>293</v>
      </c>
      <c r="C178">
        <f t="shared" si="9"/>
        <v>2022</v>
      </c>
      <c r="O178" s="59" t="s">
        <v>820</v>
      </c>
      <c r="P178" s="9">
        <v>2.3518189576395999E-2</v>
      </c>
      <c r="Q178" s="4">
        <v>46</v>
      </c>
      <c r="W178" s="115">
        <v>2.67</v>
      </c>
      <c r="X178" s="9">
        <v>3.5833333333333335E-2</v>
      </c>
      <c r="Y178" s="4">
        <v>3</v>
      </c>
    </row>
    <row r="179" spans="1:25" x14ac:dyDescent="0.35">
      <c r="A179" s="7">
        <v>44672</v>
      </c>
      <c r="B179" s="43">
        <v>288</v>
      </c>
      <c r="C179">
        <f t="shared" si="9"/>
        <v>2022</v>
      </c>
      <c r="O179" s="115">
        <v>2.66</v>
      </c>
      <c r="P179" s="9">
        <v>7.1937326853990236E-3</v>
      </c>
      <c r="Q179" s="4">
        <v>2</v>
      </c>
      <c r="W179" s="115">
        <v>2.68</v>
      </c>
      <c r="X179" s="9">
        <v>3.1666666666666669E-2</v>
      </c>
      <c r="Y179" s="4">
        <v>3</v>
      </c>
    </row>
    <row r="180" spans="1:25" x14ac:dyDescent="0.35">
      <c r="A180" s="7">
        <v>44671</v>
      </c>
      <c r="B180" s="43">
        <v>283</v>
      </c>
      <c r="C180">
        <f t="shared" si="9"/>
        <v>2022</v>
      </c>
      <c r="O180" s="115">
        <v>2.76</v>
      </c>
      <c r="P180" s="9">
        <v>1.95E-2</v>
      </c>
      <c r="Q180" s="4">
        <v>1</v>
      </c>
      <c r="W180" s="115">
        <v>2.69</v>
      </c>
      <c r="X180" s="9">
        <v>6.2943663344020183E-3</v>
      </c>
      <c r="Y180" s="4">
        <v>1</v>
      </c>
    </row>
    <row r="181" spans="1:25" x14ac:dyDescent="0.35">
      <c r="A181" s="7">
        <v>44670</v>
      </c>
      <c r="B181" s="43">
        <v>283</v>
      </c>
      <c r="C181">
        <f t="shared" si="9"/>
        <v>2022</v>
      </c>
      <c r="O181" s="115">
        <v>2.8</v>
      </c>
      <c r="P181" s="9">
        <v>2.6000000000000002E-2</v>
      </c>
      <c r="Q181" s="4">
        <v>1</v>
      </c>
      <c r="W181" s="115">
        <v>2.71</v>
      </c>
      <c r="X181" s="9">
        <v>1.2954133071070939E-2</v>
      </c>
      <c r="Y181" s="4">
        <v>2</v>
      </c>
    </row>
    <row r="182" spans="1:25" x14ac:dyDescent="0.35">
      <c r="A182" s="7">
        <v>44669</v>
      </c>
      <c r="B182" s="43">
        <v>284</v>
      </c>
      <c r="C182">
        <f t="shared" si="9"/>
        <v>2022</v>
      </c>
      <c r="O182" s="115">
        <v>2.9</v>
      </c>
      <c r="P182" s="9">
        <v>2.1444010806730859E-2</v>
      </c>
      <c r="Q182" s="4">
        <v>5</v>
      </c>
      <c r="W182" s="115">
        <v>2.74</v>
      </c>
      <c r="X182" s="9">
        <v>1.9833333333333331E-2</v>
      </c>
      <c r="Y182" s="4">
        <v>3</v>
      </c>
    </row>
    <row r="183" spans="1:25" x14ac:dyDescent="0.35">
      <c r="A183" s="7">
        <v>44665</v>
      </c>
      <c r="B183" s="43">
        <v>284</v>
      </c>
      <c r="C183">
        <f t="shared" si="9"/>
        <v>2022</v>
      </c>
      <c r="O183" s="115">
        <v>2.92</v>
      </c>
      <c r="P183" s="9">
        <v>1.6647394850279305E-2</v>
      </c>
      <c r="Q183" s="4">
        <v>10</v>
      </c>
      <c r="W183" s="115">
        <v>2.87</v>
      </c>
      <c r="X183" s="9">
        <v>1.0940811033707086E-2</v>
      </c>
      <c r="Y183" s="4">
        <v>3</v>
      </c>
    </row>
    <row r="184" spans="1:25" x14ac:dyDescent="0.35">
      <c r="A184" s="7">
        <v>44664</v>
      </c>
      <c r="B184" s="43">
        <v>296</v>
      </c>
      <c r="C184">
        <f t="shared" si="9"/>
        <v>2022</v>
      </c>
      <c r="O184" s="115">
        <v>3.14</v>
      </c>
      <c r="P184" s="9">
        <v>2.8208591941211086E-2</v>
      </c>
      <c r="Q184" s="4">
        <v>5</v>
      </c>
      <c r="W184" s="115">
        <v>2.92</v>
      </c>
      <c r="X184" s="9">
        <v>4.5432526897638104E-2</v>
      </c>
      <c r="Y184" s="4">
        <v>1</v>
      </c>
    </row>
    <row r="185" spans="1:25" x14ac:dyDescent="0.35">
      <c r="A185" s="7">
        <v>44663</v>
      </c>
      <c r="B185" s="43">
        <v>301</v>
      </c>
      <c r="C185">
        <f t="shared" si="9"/>
        <v>2022</v>
      </c>
      <c r="O185" s="115">
        <v>3.17</v>
      </c>
      <c r="P185" s="9">
        <v>1.4499999999999999E-2</v>
      </c>
      <c r="Q185" s="4">
        <v>1</v>
      </c>
      <c r="W185" s="115">
        <v>2.95</v>
      </c>
      <c r="X185" s="9">
        <v>1.2964235217602919E-2</v>
      </c>
      <c r="Y185" s="4">
        <v>2</v>
      </c>
    </row>
    <row r="186" spans="1:25" x14ac:dyDescent="0.35">
      <c r="A186" s="7">
        <v>44662</v>
      </c>
      <c r="B186" s="43">
        <v>300</v>
      </c>
      <c r="C186">
        <f t="shared" si="9"/>
        <v>2022</v>
      </c>
      <c r="O186" s="115">
        <v>3.2</v>
      </c>
      <c r="P186" s="9">
        <v>3.7499999999999999E-2</v>
      </c>
      <c r="Q186" s="4">
        <v>9</v>
      </c>
      <c r="W186" s="115">
        <v>3.06</v>
      </c>
      <c r="X186" s="9">
        <v>4.0417528558939264E-2</v>
      </c>
      <c r="Y186" s="4">
        <v>1</v>
      </c>
    </row>
    <row r="187" spans="1:25" x14ac:dyDescent="0.35">
      <c r="A187" s="7">
        <v>44659</v>
      </c>
      <c r="B187" s="43">
        <v>294</v>
      </c>
      <c r="C187">
        <f t="shared" si="9"/>
        <v>2022</v>
      </c>
      <c r="O187" s="115">
        <v>3.22</v>
      </c>
      <c r="P187" s="9">
        <v>0.03</v>
      </c>
      <c r="Q187" s="4">
        <v>1</v>
      </c>
      <c r="W187" s="115">
        <v>3.09</v>
      </c>
      <c r="X187" s="9">
        <v>1.3286814777627276E-2</v>
      </c>
      <c r="Y187" s="4">
        <v>2</v>
      </c>
    </row>
    <row r="188" spans="1:25" x14ac:dyDescent="0.35">
      <c r="A188" s="7">
        <v>44658</v>
      </c>
      <c r="B188" s="43">
        <v>291</v>
      </c>
      <c r="C188">
        <f t="shared" si="9"/>
        <v>2022</v>
      </c>
      <c r="O188" s="115">
        <v>3.24</v>
      </c>
      <c r="P188" s="9">
        <v>1.5442458580183019E-2</v>
      </c>
      <c r="Q188" s="4">
        <v>5</v>
      </c>
      <c r="W188" s="115">
        <v>3.29</v>
      </c>
      <c r="X188" s="9">
        <v>1.0200000000000001E-2</v>
      </c>
      <c r="Y188" s="4">
        <v>1</v>
      </c>
    </row>
    <row r="189" spans="1:25" x14ac:dyDescent="0.35">
      <c r="A189" s="7">
        <v>44657</v>
      </c>
      <c r="B189" s="43">
        <v>292</v>
      </c>
      <c r="C189">
        <f t="shared" si="9"/>
        <v>2022</v>
      </c>
      <c r="O189" s="115">
        <v>3.32</v>
      </c>
      <c r="P189" s="9">
        <v>1.55E-2</v>
      </c>
      <c r="Q189" s="4">
        <v>1</v>
      </c>
      <c r="W189" s="115">
        <v>3.3</v>
      </c>
      <c r="X189" s="9">
        <v>1.9333333333333338E-2</v>
      </c>
      <c r="Y189" s="4">
        <v>3</v>
      </c>
    </row>
    <row r="190" spans="1:25" x14ac:dyDescent="0.35">
      <c r="A190" s="7">
        <v>44656</v>
      </c>
      <c r="B190" s="43">
        <v>283</v>
      </c>
      <c r="C190">
        <f t="shared" si="9"/>
        <v>2022</v>
      </c>
      <c r="O190" s="115">
        <v>3.34</v>
      </c>
      <c r="P190" s="9">
        <v>1.9E-2</v>
      </c>
      <c r="Q190" s="4">
        <v>1</v>
      </c>
      <c r="W190" s="115">
        <v>3.32</v>
      </c>
      <c r="X190" s="9">
        <v>1.4775311220029147E-2</v>
      </c>
      <c r="Y190" s="4">
        <v>1</v>
      </c>
    </row>
    <row r="191" spans="1:25" x14ac:dyDescent="0.35">
      <c r="A191" s="7">
        <v>44655</v>
      </c>
      <c r="B191" s="43">
        <v>290</v>
      </c>
      <c r="C191">
        <f t="shared" si="9"/>
        <v>2022</v>
      </c>
      <c r="O191" s="115">
        <v>3.36</v>
      </c>
      <c r="P191" s="9">
        <v>2.7000000000000003E-2</v>
      </c>
      <c r="Q191" s="4">
        <v>1</v>
      </c>
      <c r="W191" s="115">
        <v>3.43</v>
      </c>
      <c r="X191" s="9">
        <v>0.05</v>
      </c>
      <c r="Y191" s="4">
        <v>1</v>
      </c>
    </row>
    <row r="192" spans="1:25" x14ac:dyDescent="0.35">
      <c r="A192" s="7">
        <v>44652</v>
      </c>
      <c r="B192" s="43">
        <v>295</v>
      </c>
      <c r="C192">
        <f t="shared" si="9"/>
        <v>2022</v>
      </c>
      <c r="O192" s="115">
        <v>3.39</v>
      </c>
      <c r="P192" s="9">
        <v>1.55E-2</v>
      </c>
      <c r="Q192" s="4">
        <v>1</v>
      </c>
      <c r="W192" s="59" t="s">
        <v>818</v>
      </c>
      <c r="X192" s="9">
        <v>1.7312748064885971E-2</v>
      </c>
      <c r="Y192" s="4">
        <v>80</v>
      </c>
    </row>
    <row r="193" spans="1:25" x14ac:dyDescent="0.35">
      <c r="A193" s="7">
        <v>44651</v>
      </c>
      <c r="B193" s="43">
        <v>294</v>
      </c>
      <c r="C193">
        <f t="shared" si="9"/>
        <v>2022</v>
      </c>
      <c r="O193" s="115">
        <v>3.46</v>
      </c>
      <c r="P193" s="9">
        <v>4.4999999999999998E-2</v>
      </c>
      <c r="Q193" s="4">
        <v>1</v>
      </c>
      <c r="W193" s="115">
        <v>2.12</v>
      </c>
      <c r="X193" s="9">
        <v>2.0255281654942881E-2</v>
      </c>
      <c r="Y193" s="4">
        <v>2</v>
      </c>
    </row>
    <row r="194" spans="1:25" x14ac:dyDescent="0.35">
      <c r="A194" s="7">
        <v>44650</v>
      </c>
      <c r="B194" s="43">
        <v>294</v>
      </c>
      <c r="C194">
        <f t="shared" si="9"/>
        <v>2022</v>
      </c>
      <c r="O194" s="115">
        <v>3.66</v>
      </c>
      <c r="P194" s="9">
        <v>2.6000000000000002E-2</v>
      </c>
      <c r="Q194" s="4">
        <v>1</v>
      </c>
      <c r="W194" s="115">
        <v>2.1800000000000002</v>
      </c>
      <c r="X194" s="9">
        <v>2.7905437766002184E-2</v>
      </c>
      <c r="Y194" s="4">
        <v>1</v>
      </c>
    </row>
    <row r="195" spans="1:25" x14ac:dyDescent="0.35">
      <c r="A195" s="7">
        <v>44649</v>
      </c>
      <c r="B195" s="43">
        <v>300</v>
      </c>
      <c r="C195">
        <f t="shared" ref="C195:C258" si="10">YEAR(A195)</f>
        <v>2022</v>
      </c>
      <c r="O195" s="59" t="s">
        <v>768</v>
      </c>
      <c r="P195" s="9">
        <v>1.9569659782161831E-2</v>
      </c>
      <c r="Q195" s="4">
        <v>353</v>
      </c>
      <c r="W195" s="115">
        <v>2.2200000000000002</v>
      </c>
      <c r="X195" s="9">
        <v>3.2106564280990568E-2</v>
      </c>
      <c r="Y195" s="4">
        <v>1</v>
      </c>
    </row>
    <row r="196" spans="1:25" x14ac:dyDescent="0.35">
      <c r="A196" s="7">
        <v>44648</v>
      </c>
      <c r="B196" s="43">
        <v>301</v>
      </c>
      <c r="C196">
        <f t="shared" si="10"/>
        <v>2022</v>
      </c>
      <c r="W196" s="115">
        <v>2.2400000000000002</v>
      </c>
      <c r="X196" s="9">
        <v>9.75E-3</v>
      </c>
      <c r="Y196" s="4">
        <v>2</v>
      </c>
    </row>
    <row r="197" spans="1:25" x14ac:dyDescent="0.35">
      <c r="A197" s="7">
        <v>44645</v>
      </c>
      <c r="B197" s="43">
        <v>301</v>
      </c>
      <c r="C197">
        <f t="shared" si="10"/>
        <v>2022</v>
      </c>
      <c r="W197" s="115">
        <v>2.25</v>
      </c>
      <c r="X197" s="9">
        <v>2.3698309243131543E-2</v>
      </c>
      <c r="Y197" s="4">
        <v>1</v>
      </c>
    </row>
    <row r="198" spans="1:25" x14ac:dyDescent="0.35">
      <c r="A198" s="7">
        <v>44644</v>
      </c>
      <c r="B198" s="43">
        <v>313</v>
      </c>
      <c r="C198">
        <f t="shared" si="10"/>
        <v>2022</v>
      </c>
      <c r="W198" s="115">
        <v>2.31</v>
      </c>
      <c r="X198" s="9">
        <v>4.2773772750527503E-2</v>
      </c>
      <c r="Y198" s="4">
        <v>4</v>
      </c>
    </row>
    <row r="199" spans="1:25" x14ac:dyDescent="0.35">
      <c r="A199" s="7">
        <v>44643</v>
      </c>
      <c r="B199" s="43">
        <v>320</v>
      </c>
      <c r="C199">
        <f t="shared" si="10"/>
        <v>2022</v>
      </c>
      <c r="W199" s="115">
        <v>2.3199999999999998</v>
      </c>
      <c r="X199" s="9">
        <v>2.2161454320951623E-2</v>
      </c>
      <c r="Y199" s="4">
        <v>1</v>
      </c>
    </row>
    <row r="200" spans="1:25" x14ac:dyDescent="0.35">
      <c r="A200" s="7">
        <v>44642</v>
      </c>
      <c r="B200" s="43">
        <v>309</v>
      </c>
      <c r="C200">
        <f t="shared" si="10"/>
        <v>2022</v>
      </c>
      <c r="W200" s="115">
        <v>2.33</v>
      </c>
      <c r="X200" s="9">
        <v>4.1031330001819244E-2</v>
      </c>
      <c r="Y200" s="4">
        <v>1</v>
      </c>
    </row>
    <row r="201" spans="1:25" x14ac:dyDescent="0.35">
      <c r="A201" s="7">
        <v>44641</v>
      </c>
      <c r="B201" s="43">
        <v>309</v>
      </c>
      <c r="C201">
        <f t="shared" si="10"/>
        <v>2022</v>
      </c>
      <c r="W201" s="115">
        <v>2.35</v>
      </c>
      <c r="X201" s="9">
        <v>4.3576180954415858E-3</v>
      </c>
      <c r="Y201" s="4">
        <v>1</v>
      </c>
    </row>
    <row r="202" spans="1:25" x14ac:dyDescent="0.35">
      <c r="A202" s="7">
        <v>44638</v>
      </c>
      <c r="B202" s="43">
        <v>313</v>
      </c>
      <c r="C202">
        <f t="shared" si="10"/>
        <v>2022</v>
      </c>
      <c r="W202" s="115">
        <v>2.37</v>
      </c>
      <c r="X202" s="9">
        <v>1.2874278389202036E-2</v>
      </c>
      <c r="Y202" s="4">
        <v>7</v>
      </c>
    </row>
    <row r="203" spans="1:25" x14ac:dyDescent="0.35">
      <c r="A203" s="7">
        <v>44637</v>
      </c>
      <c r="B203" s="43">
        <v>310</v>
      </c>
      <c r="C203">
        <f t="shared" si="10"/>
        <v>2022</v>
      </c>
      <c r="W203" s="115">
        <v>2.38</v>
      </c>
      <c r="X203" s="9">
        <v>2.4022493668844649E-2</v>
      </c>
      <c r="Y203" s="4">
        <v>5</v>
      </c>
    </row>
    <row r="204" spans="1:25" x14ac:dyDescent="0.35">
      <c r="A204" s="7">
        <v>44636</v>
      </c>
      <c r="B204" s="43">
        <v>324</v>
      </c>
      <c r="C204">
        <f t="shared" si="10"/>
        <v>2022</v>
      </c>
      <c r="W204" s="115">
        <v>2.39</v>
      </c>
      <c r="X204" s="9">
        <v>1.6E-2</v>
      </c>
      <c r="Y204" s="4">
        <v>1</v>
      </c>
    </row>
    <row r="205" spans="1:25" x14ac:dyDescent="0.35">
      <c r="A205" s="7">
        <v>44635</v>
      </c>
      <c r="B205" s="43">
        <v>331</v>
      </c>
      <c r="C205">
        <f t="shared" si="10"/>
        <v>2022</v>
      </c>
      <c r="W205" s="115">
        <v>2.4</v>
      </c>
      <c r="X205" s="9">
        <v>2.578364335896198E-2</v>
      </c>
      <c r="Y205" s="4">
        <v>2</v>
      </c>
    </row>
    <row r="206" spans="1:25" x14ac:dyDescent="0.35">
      <c r="A206" s="7">
        <v>44634</v>
      </c>
      <c r="B206" s="43">
        <v>331</v>
      </c>
      <c r="C206">
        <f t="shared" si="10"/>
        <v>2022</v>
      </c>
      <c r="W206" s="115">
        <v>2.41</v>
      </c>
      <c r="X206" s="9">
        <v>1.2331886793079949E-3</v>
      </c>
      <c r="Y206" s="4">
        <v>1</v>
      </c>
    </row>
    <row r="207" spans="1:25" x14ac:dyDescent="0.35">
      <c r="A207" s="7">
        <v>44631</v>
      </c>
      <c r="B207" s="43">
        <v>330</v>
      </c>
      <c r="C207">
        <f t="shared" si="10"/>
        <v>2022</v>
      </c>
      <c r="W207" s="115">
        <v>2.42</v>
      </c>
      <c r="X207" s="9">
        <v>1.6333333333333335E-2</v>
      </c>
      <c r="Y207" s="4">
        <v>3</v>
      </c>
    </row>
    <row r="208" spans="1:25" x14ac:dyDescent="0.35">
      <c r="A208" s="7">
        <v>44630</v>
      </c>
      <c r="B208" s="43">
        <v>332</v>
      </c>
      <c r="C208">
        <f t="shared" si="10"/>
        <v>2022</v>
      </c>
      <c r="W208" s="115">
        <v>2.4300000000000002</v>
      </c>
      <c r="X208" s="9">
        <v>2.11059573457959E-2</v>
      </c>
      <c r="Y208" s="4">
        <v>1</v>
      </c>
    </row>
    <row r="209" spans="1:25" x14ac:dyDescent="0.35">
      <c r="A209" s="7">
        <v>44629</v>
      </c>
      <c r="B209" s="43">
        <v>332</v>
      </c>
      <c r="C209">
        <f t="shared" si="10"/>
        <v>2022</v>
      </c>
      <c r="W209" s="115">
        <v>2.44</v>
      </c>
      <c r="X209" s="9">
        <v>2.4292893333072961E-2</v>
      </c>
      <c r="Y209" s="4">
        <v>2</v>
      </c>
    </row>
    <row r="210" spans="1:25" x14ac:dyDescent="0.35">
      <c r="A210" s="7">
        <v>44628</v>
      </c>
      <c r="B210" s="43">
        <v>346</v>
      </c>
      <c r="C210">
        <f t="shared" si="10"/>
        <v>2022</v>
      </c>
      <c r="W210" s="115">
        <v>2.4500000000000002</v>
      </c>
      <c r="X210" s="9">
        <v>1.133818465328216E-2</v>
      </c>
      <c r="Y210" s="4">
        <v>5</v>
      </c>
    </row>
    <row r="211" spans="1:25" x14ac:dyDescent="0.35">
      <c r="A211" s="7">
        <v>44627</v>
      </c>
      <c r="B211" s="43">
        <v>347</v>
      </c>
      <c r="C211">
        <f t="shared" si="10"/>
        <v>2022</v>
      </c>
      <c r="W211" s="115">
        <v>2.4700000000000002</v>
      </c>
      <c r="X211" s="9">
        <v>1.3466876383921753E-2</v>
      </c>
      <c r="Y211" s="4">
        <v>3</v>
      </c>
    </row>
    <row r="212" spans="1:25" x14ac:dyDescent="0.35">
      <c r="A212" s="7">
        <v>44624</v>
      </c>
      <c r="B212" s="43">
        <v>343</v>
      </c>
      <c r="C212">
        <f t="shared" si="10"/>
        <v>2022</v>
      </c>
      <c r="W212" s="115">
        <v>2.4900000000000002</v>
      </c>
      <c r="X212" s="9">
        <v>2.9724741747771389E-2</v>
      </c>
      <c r="Y212" s="4">
        <v>5</v>
      </c>
    </row>
    <row r="213" spans="1:25" x14ac:dyDescent="0.35">
      <c r="A213" s="7">
        <v>44623</v>
      </c>
      <c r="B213" s="43">
        <v>330</v>
      </c>
      <c r="C213">
        <f t="shared" si="10"/>
        <v>2022</v>
      </c>
      <c r="W213" s="115">
        <v>2.5</v>
      </c>
      <c r="X213" s="9">
        <v>6.9978904557808728E-3</v>
      </c>
      <c r="Y213" s="4">
        <v>4</v>
      </c>
    </row>
    <row r="214" spans="1:25" x14ac:dyDescent="0.35">
      <c r="A214" s="7">
        <v>44622</v>
      </c>
      <c r="B214" s="43">
        <v>327</v>
      </c>
      <c r="C214">
        <f t="shared" si="10"/>
        <v>2022</v>
      </c>
      <c r="W214" s="115">
        <v>2.5099999999999998</v>
      </c>
      <c r="X214" s="9">
        <v>9.1066736086919953E-4</v>
      </c>
      <c r="Y214" s="4">
        <v>2</v>
      </c>
    </row>
    <row r="215" spans="1:25" x14ac:dyDescent="0.35">
      <c r="A215" s="7">
        <v>44621</v>
      </c>
      <c r="B215" s="43">
        <v>339</v>
      </c>
      <c r="C215">
        <f t="shared" si="10"/>
        <v>2022</v>
      </c>
      <c r="W215" s="115">
        <v>2.52</v>
      </c>
      <c r="X215" s="9">
        <v>1.0970717390029023E-2</v>
      </c>
      <c r="Y215" s="4">
        <v>9</v>
      </c>
    </row>
    <row r="216" spans="1:25" x14ac:dyDescent="0.35">
      <c r="A216" s="7">
        <v>44620</v>
      </c>
      <c r="B216" s="43">
        <v>338</v>
      </c>
      <c r="C216">
        <f t="shared" si="10"/>
        <v>2022</v>
      </c>
      <c r="W216" s="115">
        <v>2.54</v>
      </c>
      <c r="X216" s="9">
        <v>1.2559225958004884E-2</v>
      </c>
      <c r="Y216" s="4">
        <v>4</v>
      </c>
    </row>
    <row r="217" spans="1:25" x14ac:dyDescent="0.35">
      <c r="A217" s="7">
        <v>44617</v>
      </c>
      <c r="B217" s="43">
        <v>328</v>
      </c>
      <c r="C217">
        <f t="shared" si="10"/>
        <v>2022</v>
      </c>
      <c r="W217" s="115">
        <v>2.5499999999999998</v>
      </c>
      <c r="X217" s="9">
        <v>4.7215117374193108E-3</v>
      </c>
      <c r="Y217" s="4">
        <v>4</v>
      </c>
    </row>
    <row r="218" spans="1:25" x14ac:dyDescent="0.35">
      <c r="A218" s="7">
        <v>44616</v>
      </c>
      <c r="B218" s="43">
        <v>338</v>
      </c>
      <c r="C218">
        <f t="shared" si="10"/>
        <v>2022</v>
      </c>
      <c r="W218" s="115">
        <v>2.56</v>
      </c>
      <c r="X218" s="9">
        <v>1.7772230450298888E-2</v>
      </c>
      <c r="Y218" s="4">
        <v>2</v>
      </c>
    </row>
    <row r="219" spans="1:25" x14ac:dyDescent="0.35">
      <c r="A219" s="7">
        <v>44615</v>
      </c>
      <c r="B219" s="43">
        <v>340</v>
      </c>
      <c r="C219">
        <f t="shared" si="10"/>
        <v>2022</v>
      </c>
      <c r="W219" s="115">
        <v>2.6</v>
      </c>
      <c r="X219" s="9">
        <v>1.9666666666666669E-2</v>
      </c>
      <c r="Y219" s="4">
        <v>3</v>
      </c>
    </row>
    <row r="220" spans="1:25" x14ac:dyDescent="0.35">
      <c r="A220" s="7">
        <v>44614</v>
      </c>
      <c r="B220" s="43">
        <v>341</v>
      </c>
      <c r="C220">
        <f t="shared" si="10"/>
        <v>2022</v>
      </c>
      <c r="W220" s="115">
        <v>2.69</v>
      </c>
      <c r="X220" s="9">
        <v>2.9748407399141641E-2</v>
      </c>
      <c r="Y220" s="4">
        <v>2</v>
      </c>
    </row>
    <row r="221" spans="1:25" x14ac:dyDescent="0.35">
      <c r="A221" s="7">
        <v>44610</v>
      </c>
      <c r="B221" s="43">
        <v>340</v>
      </c>
      <c r="C221">
        <f t="shared" si="10"/>
        <v>2022</v>
      </c>
      <c r="W221" s="115">
        <v>2.76</v>
      </c>
      <c r="X221" s="9">
        <v>7.4999999999999997E-3</v>
      </c>
      <c r="Y221" s="4">
        <v>1</v>
      </c>
    </row>
    <row r="222" spans="1:25" x14ac:dyDescent="0.35">
      <c r="A222" s="7">
        <v>44609</v>
      </c>
      <c r="B222" s="43">
        <v>335</v>
      </c>
      <c r="C222">
        <f t="shared" si="10"/>
        <v>2022</v>
      </c>
      <c r="W222" s="59" t="s">
        <v>819</v>
      </c>
      <c r="X222" s="9">
        <v>3.1587265664896641E-2</v>
      </c>
      <c r="Y222" s="4">
        <v>68</v>
      </c>
    </row>
    <row r="223" spans="1:25" x14ac:dyDescent="0.35">
      <c r="A223" s="7">
        <v>44608</v>
      </c>
      <c r="B223" s="43">
        <v>328</v>
      </c>
      <c r="C223">
        <f t="shared" si="10"/>
        <v>2022</v>
      </c>
      <c r="W223" s="115">
        <v>2.0299999999999998</v>
      </c>
      <c r="X223" s="9">
        <v>1.7587056110925259E-2</v>
      </c>
      <c r="Y223" s="4">
        <v>1</v>
      </c>
    </row>
    <row r="224" spans="1:25" x14ac:dyDescent="0.35">
      <c r="A224" s="7">
        <v>44607</v>
      </c>
      <c r="B224" s="43">
        <v>325</v>
      </c>
      <c r="C224">
        <f t="shared" si="10"/>
        <v>2022</v>
      </c>
      <c r="W224" s="115">
        <v>2.14</v>
      </c>
      <c r="X224" s="9">
        <v>3.2007485618490421E-2</v>
      </c>
      <c r="Y224" s="4">
        <v>2</v>
      </c>
    </row>
    <row r="225" spans="1:25" x14ac:dyDescent="0.35">
      <c r="A225" s="7">
        <v>44606</v>
      </c>
      <c r="B225" s="43">
        <v>335</v>
      </c>
      <c r="C225">
        <f t="shared" si="10"/>
        <v>2022</v>
      </c>
      <c r="W225" s="115">
        <v>2.16</v>
      </c>
      <c r="X225" s="9">
        <v>1.7567539926467424E-2</v>
      </c>
      <c r="Y225" s="4">
        <v>1</v>
      </c>
    </row>
    <row r="226" spans="1:25" x14ac:dyDescent="0.35">
      <c r="A226" s="7">
        <v>44603</v>
      </c>
      <c r="B226" s="43">
        <v>337</v>
      </c>
      <c r="C226">
        <f t="shared" si="10"/>
        <v>2022</v>
      </c>
      <c r="W226" s="115">
        <v>2.19</v>
      </c>
      <c r="X226" s="9">
        <v>1.6907627011258031E-2</v>
      </c>
      <c r="Y226" s="4">
        <v>2</v>
      </c>
    </row>
    <row r="227" spans="1:25" x14ac:dyDescent="0.35">
      <c r="A227" s="7">
        <v>44602</v>
      </c>
      <c r="B227" s="43">
        <v>318</v>
      </c>
      <c r="C227">
        <f t="shared" si="10"/>
        <v>2022</v>
      </c>
      <c r="W227" s="115">
        <v>2.27</v>
      </c>
      <c r="X227" s="9">
        <v>4.1526636118506266E-2</v>
      </c>
      <c r="Y227" s="4">
        <v>1</v>
      </c>
    </row>
    <row r="228" spans="1:25" x14ac:dyDescent="0.35">
      <c r="A228" s="7">
        <v>44601</v>
      </c>
      <c r="B228" s="43">
        <v>318</v>
      </c>
      <c r="C228">
        <f t="shared" si="10"/>
        <v>2022</v>
      </c>
      <c r="W228" s="115">
        <v>2.59</v>
      </c>
      <c r="X228" s="9">
        <v>6.8343820082715778E-2</v>
      </c>
      <c r="Y228" s="4">
        <v>1</v>
      </c>
    </row>
    <row r="229" spans="1:25" x14ac:dyDescent="0.35">
      <c r="A229" s="7">
        <v>44600</v>
      </c>
      <c r="B229" s="43">
        <v>325</v>
      </c>
      <c r="C229">
        <f t="shared" si="10"/>
        <v>2022</v>
      </c>
      <c r="W229" s="115">
        <v>2.63</v>
      </c>
      <c r="X229" s="9">
        <v>1.2072144319930487E-2</v>
      </c>
      <c r="Y229" s="4">
        <v>3</v>
      </c>
    </row>
    <row r="230" spans="1:25" x14ac:dyDescent="0.35">
      <c r="A230" s="7">
        <v>44599</v>
      </c>
      <c r="B230" s="43">
        <v>328</v>
      </c>
      <c r="C230">
        <f t="shared" si="10"/>
        <v>2022</v>
      </c>
      <c r="W230" s="115">
        <v>2.68</v>
      </c>
      <c r="X230" s="9">
        <v>3.7000000000000005E-2</v>
      </c>
      <c r="Y230" s="4">
        <v>1</v>
      </c>
    </row>
    <row r="231" spans="1:25" x14ac:dyDescent="0.35">
      <c r="A231" s="7">
        <v>44596</v>
      </c>
      <c r="B231" s="43">
        <v>326</v>
      </c>
      <c r="C231">
        <f t="shared" si="10"/>
        <v>2022</v>
      </c>
      <c r="W231" s="115">
        <v>2.72</v>
      </c>
      <c r="X231" s="9">
        <v>2.7650555444061808E-2</v>
      </c>
      <c r="Y231" s="4">
        <v>1</v>
      </c>
    </row>
    <row r="232" spans="1:25" x14ac:dyDescent="0.35">
      <c r="A232" s="7">
        <v>44595</v>
      </c>
      <c r="B232" s="43">
        <v>325</v>
      </c>
      <c r="C232">
        <f t="shared" si="10"/>
        <v>2022</v>
      </c>
      <c r="W232" s="115">
        <v>2.75</v>
      </c>
      <c r="X232" s="9">
        <v>2.75E-2</v>
      </c>
      <c r="Y232" s="4">
        <v>1</v>
      </c>
    </row>
    <row r="233" spans="1:25" x14ac:dyDescent="0.35">
      <c r="A233" s="7">
        <v>44594</v>
      </c>
      <c r="B233" s="43">
        <v>327</v>
      </c>
      <c r="C233">
        <f t="shared" si="10"/>
        <v>2022</v>
      </c>
      <c r="W233" s="115">
        <v>2.76</v>
      </c>
      <c r="X233" s="9">
        <v>3.0867167453065614E-2</v>
      </c>
      <c r="Y233" s="4">
        <v>3</v>
      </c>
    </row>
    <row r="234" spans="1:25" x14ac:dyDescent="0.35">
      <c r="A234" s="7">
        <v>44593</v>
      </c>
      <c r="B234" s="43">
        <v>331</v>
      </c>
      <c r="C234">
        <f t="shared" si="10"/>
        <v>2022</v>
      </c>
      <c r="W234" s="115">
        <v>3.07</v>
      </c>
      <c r="X234" s="9">
        <v>3.0466079431821658E-2</v>
      </c>
      <c r="Y234" s="4">
        <v>3</v>
      </c>
    </row>
    <row r="235" spans="1:25" x14ac:dyDescent="0.35">
      <c r="A235" s="7">
        <v>44592</v>
      </c>
      <c r="B235" s="43">
        <v>334</v>
      </c>
      <c r="C235">
        <f t="shared" si="10"/>
        <v>2022</v>
      </c>
      <c r="W235" s="115">
        <v>3.1</v>
      </c>
      <c r="X235" s="9">
        <v>2.4695657856520285E-2</v>
      </c>
      <c r="Y235" s="4">
        <v>3</v>
      </c>
    </row>
    <row r="236" spans="1:25" x14ac:dyDescent="0.35">
      <c r="A236" s="7">
        <v>44589</v>
      </c>
      <c r="B236" s="43">
        <v>339</v>
      </c>
      <c r="C236">
        <f t="shared" si="10"/>
        <v>2022</v>
      </c>
      <c r="W236" s="115">
        <v>3.11</v>
      </c>
      <c r="X236" s="9">
        <v>0.03</v>
      </c>
      <c r="Y236" s="4">
        <v>1</v>
      </c>
    </row>
    <row r="237" spans="1:25" x14ac:dyDescent="0.35">
      <c r="A237" s="7">
        <v>44588</v>
      </c>
      <c r="B237" s="43">
        <v>333</v>
      </c>
      <c r="C237">
        <f t="shared" si="10"/>
        <v>2022</v>
      </c>
      <c r="W237" s="115">
        <v>3.14</v>
      </c>
      <c r="X237" s="9">
        <v>1.7500000000000002E-2</v>
      </c>
      <c r="Y237" s="4">
        <v>2</v>
      </c>
    </row>
    <row r="238" spans="1:25" x14ac:dyDescent="0.35">
      <c r="A238" s="7">
        <v>44587</v>
      </c>
      <c r="B238" s="43">
        <v>329</v>
      </c>
      <c r="C238">
        <f t="shared" si="10"/>
        <v>2022</v>
      </c>
      <c r="W238" s="115">
        <v>3.17</v>
      </c>
      <c r="X238" s="9">
        <v>3.9972371689434905E-2</v>
      </c>
      <c r="Y238" s="4">
        <v>1</v>
      </c>
    </row>
    <row r="239" spans="1:25" x14ac:dyDescent="0.35">
      <c r="A239" s="7">
        <v>44586</v>
      </c>
      <c r="B239" s="43">
        <v>334</v>
      </c>
      <c r="C239">
        <f t="shared" si="10"/>
        <v>2022</v>
      </c>
      <c r="W239" s="115">
        <v>3.21</v>
      </c>
      <c r="X239" s="9">
        <v>2.8884797597171996E-2</v>
      </c>
      <c r="Y239" s="4">
        <v>1</v>
      </c>
    </row>
    <row r="240" spans="1:25" x14ac:dyDescent="0.35">
      <c r="A240" s="7">
        <v>44585</v>
      </c>
      <c r="B240" s="43">
        <v>336</v>
      </c>
      <c r="C240">
        <f t="shared" si="10"/>
        <v>2022</v>
      </c>
      <c r="W240" s="115">
        <v>3.27</v>
      </c>
      <c r="X240" s="9">
        <v>4.023753387741702E-2</v>
      </c>
      <c r="Y240" s="4">
        <v>1</v>
      </c>
    </row>
    <row r="241" spans="1:25" x14ac:dyDescent="0.35">
      <c r="A241" s="7">
        <v>44582</v>
      </c>
      <c r="B241" s="43">
        <v>335</v>
      </c>
      <c r="C241">
        <f t="shared" si="10"/>
        <v>2022</v>
      </c>
      <c r="W241" s="115">
        <v>3.28</v>
      </c>
      <c r="X241" s="9">
        <v>3.0171006128791644E-2</v>
      </c>
      <c r="Y241" s="4">
        <v>1</v>
      </c>
    </row>
    <row r="242" spans="1:25" x14ac:dyDescent="0.35">
      <c r="A242" s="7">
        <v>44581</v>
      </c>
      <c r="B242" s="43">
        <v>328</v>
      </c>
      <c r="C242">
        <f t="shared" si="10"/>
        <v>2022</v>
      </c>
      <c r="W242" s="115">
        <v>3.32</v>
      </c>
      <c r="X242" s="9">
        <v>3.7499999999999992E-2</v>
      </c>
      <c r="Y242" s="4">
        <v>18</v>
      </c>
    </row>
    <row r="243" spans="1:25" x14ac:dyDescent="0.35">
      <c r="A243" s="7">
        <v>44580</v>
      </c>
      <c r="B243" s="43">
        <v>332</v>
      </c>
      <c r="C243">
        <f t="shared" si="10"/>
        <v>2022</v>
      </c>
      <c r="W243" s="115">
        <v>3.34</v>
      </c>
      <c r="X243" s="9">
        <v>2.6499999999999999E-2</v>
      </c>
      <c r="Y243" s="4">
        <v>1</v>
      </c>
    </row>
    <row r="244" spans="1:25" x14ac:dyDescent="0.35">
      <c r="A244" s="7">
        <v>44579</v>
      </c>
      <c r="B244" s="43">
        <v>336</v>
      </c>
      <c r="C244">
        <f t="shared" si="10"/>
        <v>2022</v>
      </c>
      <c r="W244" s="115">
        <v>3.49</v>
      </c>
      <c r="X244" s="9">
        <v>3.9040698438589816E-2</v>
      </c>
      <c r="Y244" s="4">
        <v>1</v>
      </c>
    </row>
    <row r="245" spans="1:25" x14ac:dyDescent="0.35">
      <c r="A245" s="7">
        <v>44578</v>
      </c>
      <c r="B245" s="43">
        <v>336</v>
      </c>
      <c r="C245">
        <f t="shared" si="10"/>
        <v>2022</v>
      </c>
      <c r="W245" s="115">
        <v>3.51</v>
      </c>
      <c r="X245" s="9">
        <v>4.9707713700886634E-2</v>
      </c>
      <c r="Y245" s="4">
        <v>3</v>
      </c>
    </row>
    <row r="246" spans="1:25" x14ac:dyDescent="0.35">
      <c r="A246" s="7">
        <v>44575</v>
      </c>
      <c r="B246" s="43">
        <v>336</v>
      </c>
      <c r="C246">
        <f t="shared" si="10"/>
        <v>2022</v>
      </c>
      <c r="W246" s="115">
        <v>3.55</v>
      </c>
      <c r="X246" s="9">
        <v>3.5403578924644963E-2</v>
      </c>
      <c r="Y246" s="4">
        <v>1</v>
      </c>
    </row>
    <row r="247" spans="1:25" x14ac:dyDescent="0.35">
      <c r="A247" s="7">
        <v>44574</v>
      </c>
      <c r="B247" s="43">
        <v>337</v>
      </c>
      <c r="C247">
        <f t="shared" si="10"/>
        <v>2022</v>
      </c>
      <c r="W247" s="115">
        <v>3.74</v>
      </c>
      <c r="X247" s="9">
        <v>1.8677748463301381E-2</v>
      </c>
      <c r="Y247" s="4">
        <v>3</v>
      </c>
    </row>
    <row r="248" spans="1:25" x14ac:dyDescent="0.35">
      <c r="A248" s="7">
        <v>44573</v>
      </c>
      <c r="B248" s="43">
        <v>333</v>
      </c>
      <c r="C248">
        <f t="shared" si="10"/>
        <v>2022</v>
      </c>
      <c r="W248" s="115">
        <v>3.75</v>
      </c>
      <c r="X248" s="9">
        <v>3.2937414883538838E-2</v>
      </c>
      <c r="Y248" s="4">
        <v>2</v>
      </c>
    </row>
    <row r="249" spans="1:25" x14ac:dyDescent="0.35">
      <c r="A249" s="7">
        <v>44572</v>
      </c>
      <c r="B249" s="43">
        <v>336</v>
      </c>
      <c r="C249">
        <f t="shared" si="10"/>
        <v>2022</v>
      </c>
      <c r="W249" s="115">
        <v>3.82</v>
      </c>
      <c r="X249" s="9">
        <v>3.4909510387220566E-2</v>
      </c>
      <c r="Y249" s="4">
        <v>1</v>
      </c>
    </row>
    <row r="250" spans="1:25" x14ac:dyDescent="0.35">
      <c r="A250" s="7">
        <v>44571</v>
      </c>
      <c r="B250" s="43">
        <v>335</v>
      </c>
      <c r="C250">
        <f t="shared" si="10"/>
        <v>2022</v>
      </c>
      <c r="W250" s="115">
        <v>3.87</v>
      </c>
      <c r="X250" s="9">
        <v>2.1297387243117472E-2</v>
      </c>
      <c r="Y250" s="4">
        <v>1</v>
      </c>
    </row>
    <row r="251" spans="1:25" x14ac:dyDescent="0.35">
      <c r="A251" s="7">
        <v>44568</v>
      </c>
      <c r="B251" s="43">
        <v>333</v>
      </c>
      <c r="C251">
        <f t="shared" si="10"/>
        <v>2022</v>
      </c>
      <c r="W251" s="115">
        <v>3.92</v>
      </c>
      <c r="X251" s="9">
        <v>4.0500000000000001E-2</v>
      </c>
      <c r="Y251" s="4">
        <v>1</v>
      </c>
    </row>
    <row r="252" spans="1:25" x14ac:dyDescent="0.35">
      <c r="A252" s="7">
        <v>44567</v>
      </c>
      <c r="B252" s="43">
        <v>333</v>
      </c>
      <c r="C252">
        <f t="shared" si="10"/>
        <v>2022</v>
      </c>
      <c r="W252" s="115">
        <v>3.94</v>
      </c>
      <c r="X252" s="9">
        <v>2.6838492270376872E-2</v>
      </c>
      <c r="Y252" s="4">
        <v>2</v>
      </c>
    </row>
    <row r="253" spans="1:25" x14ac:dyDescent="0.35">
      <c r="A253" s="7">
        <v>44566</v>
      </c>
      <c r="B253" s="43">
        <v>323</v>
      </c>
      <c r="C253">
        <f t="shared" si="10"/>
        <v>2022</v>
      </c>
      <c r="W253" s="115">
        <v>4.22</v>
      </c>
      <c r="X253" s="9">
        <v>4.2000000000000003E-2</v>
      </c>
      <c r="Y253" s="4">
        <v>1</v>
      </c>
    </row>
    <row r="254" spans="1:25" x14ac:dyDescent="0.35">
      <c r="A254" s="7">
        <v>44565</v>
      </c>
      <c r="B254" s="43">
        <v>323</v>
      </c>
      <c r="C254">
        <f t="shared" si="10"/>
        <v>2022</v>
      </c>
      <c r="W254" s="115">
        <v>4.2699999999999996</v>
      </c>
      <c r="X254" s="9">
        <v>0.03</v>
      </c>
      <c r="Y254" s="4">
        <v>1</v>
      </c>
    </row>
    <row r="255" spans="1:25" x14ac:dyDescent="0.35">
      <c r="A255" s="7">
        <v>44564</v>
      </c>
      <c r="B255" s="43">
        <v>320</v>
      </c>
      <c r="C255">
        <f t="shared" si="10"/>
        <v>2022</v>
      </c>
      <c r="W255" s="115">
        <v>4.45</v>
      </c>
      <c r="X255" s="9">
        <v>1.4999999999999999E-2</v>
      </c>
      <c r="Y255" s="4">
        <v>1</v>
      </c>
    </row>
    <row r="256" spans="1:25" x14ac:dyDescent="0.35">
      <c r="A256" s="7">
        <v>44561</v>
      </c>
      <c r="B256" s="43">
        <v>326</v>
      </c>
      <c r="C256">
        <f t="shared" si="10"/>
        <v>2021</v>
      </c>
      <c r="W256" s="115">
        <v>4.7</v>
      </c>
      <c r="X256" s="9">
        <v>0.03</v>
      </c>
      <c r="Y256" s="4">
        <v>1</v>
      </c>
    </row>
    <row r="257" spans="1:25" x14ac:dyDescent="0.35">
      <c r="A257" s="7">
        <v>44560</v>
      </c>
      <c r="B257" s="43">
        <v>326</v>
      </c>
      <c r="C257">
        <f t="shared" si="10"/>
        <v>2021</v>
      </c>
      <c r="W257" s="59" t="s">
        <v>820</v>
      </c>
      <c r="X257" s="9">
        <v>2.5759852475652115E-2</v>
      </c>
      <c r="Y257" s="4">
        <v>65</v>
      </c>
    </row>
    <row r="258" spans="1:25" x14ac:dyDescent="0.35">
      <c r="A258" s="7">
        <v>44559</v>
      </c>
      <c r="B258" s="43">
        <v>325</v>
      </c>
      <c r="C258">
        <f t="shared" si="10"/>
        <v>2021</v>
      </c>
      <c r="W258" s="115">
        <v>2.56</v>
      </c>
      <c r="X258" s="9">
        <v>6.2383573989025498E-2</v>
      </c>
      <c r="Y258" s="4">
        <v>1</v>
      </c>
    </row>
    <row r="259" spans="1:25" x14ac:dyDescent="0.35">
      <c r="A259" s="7">
        <v>44558</v>
      </c>
      <c r="B259" s="43">
        <v>331</v>
      </c>
      <c r="C259">
        <f t="shared" ref="C259:C322" si="11">YEAR(A259)</f>
        <v>2021</v>
      </c>
      <c r="W259" s="115">
        <v>2.61</v>
      </c>
      <c r="X259" s="9">
        <v>3.0748646073593067E-2</v>
      </c>
      <c r="Y259" s="4">
        <v>1</v>
      </c>
    </row>
    <row r="260" spans="1:25" x14ac:dyDescent="0.35">
      <c r="A260" s="7">
        <v>44557</v>
      </c>
      <c r="B260" s="43">
        <v>334</v>
      </c>
      <c r="C260">
        <f t="shared" si="11"/>
        <v>2021</v>
      </c>
      <c r="W260" s="115">
        <v>2.66</v>
      </c>
      <c r="X260" s="9">
        <v>2.6880432381792961E-2</v>
      </c>
      <c r="Y260" s="4">
        <v>5</v>
      </c>
    </row>
    <row r="261" spans="1:25" x14ac:dyDescent="0.35">
      <c r="A261" s="7">
        <v>44554</v>
      </c>
      <c r="B261" s="43">
        <v>335</v>
      </c>
      <c r="C261">
        <f t="shared" si="11"/>
        <v>2021</v>
      </c>
      <c r="W261" s="115">
        <v>2.67</v>
      </c>
      <c r="X261" s="9">
        <v>3.0281665583921757E-2</v>
      </c>
      <c r="Y261" s="4">
        <v>1</v>
      </c>
    </row>
    <row r="262" spans="1:25" x14ac:dyDescent="0.35">
      <c r="A262" s="7">
        <v>44553</v>
      </c>
      <c r="B262" s="43">
        <v>335</v>
      </c>
      <c r="C262">
        <f t="shared" si="11"/>
        <v>2021</v>
      </c>
      <c r="W262" s="115">
        <v>2.68</v>
      </c>
      <c r="X262" s="9">
        <v>3.3033702389179354E-2</v>
      </c>
      <c r="Y262" s="4">
        <v>2</v>
      </c>
    </row>
    <row r="263" spans="1:25" x14ac:dyDescent="0.35">
      <c r="A263" s="7">
        <v>44552</v>
      </c>
      <c r="B263" s="43">
        <v>342</v>
      </c>
      <c r="C263">
        <f t="shared" si="11"/>
        <v>2021</v>
      </c>
      <c r="W263" s="115">
        <v>2.73</v>
      </c>
      <c r="X263" s="9">
        <v>1.6201249241704074E-2</v>
      </c>
      <c r="Y263" s="4">
        <v>1</v>
      </c>
    </row>
    <row r="264" spans="1:25" x14ac:dyDescent="0.35">
      <c r="A264" s="7">
        <v>44551</v>
      </c>
      <c r="B264" s="43">
        <v>341</v>
      </c>
      <c r="C264">
        <f t="shared" si="11"/>
        <v>2021</v>
      </c>
      <c r="W264" s="115">
        <v>2.76</v>
      </c>
      <c r="X264" s="9">
        <v>1.5974899763464855E-2</v>
      </c>
      <c r="Y264" s="4">
        <v>2</v>
      </c>
    </row>
    <row r="265" spans="1:25" x14ac:dyDescent="0.35">
      <c r="A265" s="7">
        <v>44550</v>
      </c>
      <c r="B265" s="43">
        <v>345</v>
      </c>
      <c r="C265">
        <f t="shared" si="11"/>
        <v>2021</v>
      </c>
      <c r="W265" s="115">
        <v>2.77</v>
      </c>
      <c r="X265" s="9">
        <v>2.1758156496881842E-2</v>
      </c>
      <c r="Y265" s="4">
        <v>1</v>
      </c>
    </row>
    <row r="266" spans="1:25" x14ac:dyDescent="0.35">
      <c r="A266" s="7">
        <v>44547</v>
      </c>
      <c r="B266" s="43">
        <v>343</v>
      </c>
      <c r="C266">
        <f t="shared" si="11"/>
        <v>2021</v>
      </c>
      <c r="W266" s="115">
        <v>2.8</v>
      </c>
      <c r="X266" s="9">
        <v>2.6000000000000002E-2</v>
      </c>
      <c r="Y266" s="4">
        <v>1</v>
      </c>
    </row>
    <row r="267" spans="1:25" x14ac:dyDescent="0.35">
      <c r="A267" s="7">
        <v>44546</v>
      </c>
      <c r="B267" s="43">
        <v>342</v>
      </c>
      <c r="C267">
        <f t="shared" si="11"/>
        <v>2021</v>
      </c>
      <c r="W267" s="115">
        <v>2.83</v>
      </c>
      <c r="X267" s="9">
        <v>3.6943968404894223E-2</v>
      </c>
      <c r="Y267" s="4">
        <v>1</v>
      </c>
    </row>
    <row r="268" spans="1:25" x14ac:dyDescent="0.35">
      <c r="A268" s="7">
        <v>44545</v>
      </c>
      <c r="B268" s="43">
        <v>339</v>
      </c>
      <c r="C268">
        <f t="shared" si="11"/>
        <v>2021</v>
      </c>
      <c r="W268" s="115">
        <v>2.85</v>
      </c>
      <c r="X268" s="9">
        <v>2.5288359312976905E-2</v>
      </c>
      <c r="Y268" s="4">
        <v>1</v>
      </c>
    </row>
    <row r="269" spans="1:25" x14ac:dyDescent="0.35">
      <c r="A269" s="7">
        <v>44544</v>
      </c>
      <c r="B269" s="43">
        <v>338</v>
      </c>
      <c r="C269">
        <f t="shared" si="11"/>
        <v>2021</v>
      </c>
      <c r="W269" s="115">
        <v>2.88</v>
      </c>
      <c r="X269" s="9">
        <v>2.424881051711214E-2</v>
      </c>
      <c r="Y269" s="4">
        <v>1</v>
      </c>
    </row>
    <row r="270" spans="1:25" x14ac:dyDescent="0.35">
      <c r="A270" s="7">
        <v>44543</v>
      </c>
      <c r="B270" s="43">
        <v>337</v>
      </c>
      <c r="C270">
        <f t="shared" si="11"/>
        <v>2021</v>
      </c>
      <c r="W270" s="115">
        <v>2.89</v>
      </c>
      <c r="X270" s="9">
        <v>2.143565323755614E-2</v>
      </c>
      <c r="Y270" s="4">
        <v>1</v>
      </c>
    </row>
    <row r="271" spans="1:25" x14ac:dyDescent="0.35">
      <c r="A271" s="7">
        <v>44540</v>
      </c>
      <c r="B271" s="43">
        <v>333</v>
      </c>
      <c r="C271">
        <f t="shared" si="11"/>
        <v>2021</v>
      </c>
      <c r="W271" s="115">
        <v>2.9</v>
      </c>
      <c r="X271" s="9">
        <v>2.1444010806730859E-2</v>
      </c>
      <c r="Y271" s="4">
        <v>5</v>
      </c>
    </row>
    <row r="272" spans="1:25" x14ac:dyDescent="0.35">
      <c r="A272" s="7">
        <v>44539</v>
      </c>
      <c r="B272" s="43">
        <v>333</v>
      </c>
      <c r="C272">
        <f t="shared" si="11"/>
        <v>2021</v>
      </c>
      <c r="W272" s="115">
        <v>2.92</v>
      </c>
      <c r="X272" s="9">
        <v>1.6647394850279301E-2</v>
      </c>
      <c r="Y272" s="4">
        <v>10</v>
      </c>
    </row>
    <row r="273" spans="1:25" x14ac:dyDescent="0.35">
      <c r="A273" s="7">
        <v>44538</v>
      </c>
      <c r="B273" s="43">
        <v>327</v>
      </c>
      <c r="C273">
        <f t="shared" si="11"/>
        <v>2021</v>
      </c>
      <c r="W273" s="115">
        <v>3.14</v>
      </c>
      <c r="X273" s="9">
        <v>2.5959773929215925E-2</v>
      </c>
      <c r="Y273" s="4">
        <v>7</v>
      </c>
    </row>
    <row r="274" spans="1:25" x14ac:dyDescent="0.35">
      <c r="A274" s="7">
        <v>44537</v>
      </c>
      <c r="B274" s="43">
        <v>330</v>
      </c>
      <c r="C274">
        <f t="shared" si="11"/>
        <v>2021</v>
      </c>
      <c r="W274" s="115">
        <v>3.17</v>
      </c>
      <c r="X274" s="9">
        <v>1.4499999999999999E-2</v>
      </c>
      <c r="Y274" s="4">
        <v>1</v>
      </c>
    </row>
    <row r="275" spans="1:25" x14ac:dyDescent="0.35">
      <c r="A275" s="7">
        <v>44536</v>
      </c>
      <c r="B275" s="43">
        <v>343</v>
      </c>
      <c r="C275">
        <f t="shared" si="11"/>
        <v>2021</v>
      </c>
      <c r="W275" s="115">
        <v>3.18</v>
      </c>
      <c r="X275" s="9">
        <v>2.1179202871856706E-2</v>
      </c>
      <c r="Y275" s="4">
        <v>1</v>
      </c>
    </row>
    <row r="276" spans="1:25" x14ac:dyDescent="0.35">
      <c r="A276" s="7">
        <v>44533</v>
      </c>
      <c r="B276" s="43">
        <v>349</v>
      </c>
      <c r="C276">
        <f t="shared" si="11"/>
        <v>2021</v>
      </c>
      <c r="W276" s="115">
        <v>3.2</v>
      </c>
      <c r="X276" s="9">
        <v>3.7499999999999999E-2</v>
      </c>
      <c r="Y276" s="4">
        <v>9</v>
      </c>
    </row>
    <row r="277" spans="1:25" x14ac:dyDescent="0.35">
      <c r="A277" s="7">
        <v>44532</v>
      </c>
      <c r="B277" s="43">
        <v>345</v>
      </c>
      <c r="C277">
        <f t="shared" si="11"/>
        <v>2021</v>
      </c>
      <c r="W277" s="115">
        <v>3.22</v>
      </c>
      <c r="X277" s="9">
        <v>0.03</v>
      </c>
      <c r="Y277" s="4">
        <v>1</v>
      </c>
    </row>
    <row r="278" spans="1:25" x14ac:dyDescent="0.35">
      <c r="A278" s="7">
        <v>44531</v>
      </c>
      <c r="B278" s="43">
        <v>355</v>
      </c>
      <c r="C278">
        <f t="shared" si="11"/>
        <v>2021</v>
      </c>
      <c r="W278" s="115">
        <v>3.24</v>
      </c>
      <c r="X278" s="9">
        <v>1.5442458580183019E-2</v>
      </c>
      <c r="Y278" s="4">
        <v>5</v>
      </c>
    </row>
    <row r="279" spans="1:25" x14ac:dyDescent="0.35">
      <c r="A279" s="7">
        <v>44530</v>
      </c>
      <c r="B279" s="43">
        <v>366</v>
      </c>
      <c r="C279">
        <f t="shared" si="11"/>
        <v>2021</v>
      </c>
      <c r="W279" s="115">
        <v>3.25</v>
      </c>
      <c r="X279" s="9">
        <v>6.287704603173716E-2</v>
      </c>
      <c r="Y279" s="4">
        <v>1</v>
      </c>
    </row>
    <row r="280" spans="1:25" x14ac:dyDescent="0.35">
      <c r="A280" s="7">
        <v>44529</v>
      </c>
      <c r="B280" s="43">
        <v>366</v>
      </c>
      <c r="C280">
        <f t="shared" si="11"/>
        <v>2021</v>
      </c>
      <c r="W280" s="115">
        <v>3.32</v>
      </c>
      <c r="X280" s="9">
        <v>1.55E-2</v>
      </c>
      <c r="Y280" s="4">
        <v>1</v>
      </c>
    </row>
    <row r="281" spans="1:25" x14ac:dyDescent="0.35">
      <c r="A281" s="7">
        <v>44526</v>
      </c>
      <c r="B281" s="43">
        <v>375</v>
      </c>
      <c r="C281">
        <f t="shared" si="11"/>
        <v>2021</v>
      </c>
      <c r="W281" s="115">
        <v>3.34</v>
      </c>
      <c r="X281" s="9">
        <v>1.9E-2</v>
      </c>
      <c r="Y281" s="4">
        <v>1</v>
      </c>
    </row>
    <row r="282" spans="1:25" x14ac:dyDescent="0.35">
      <c r="A282" s="7">
        <v>44525</v>
      </c>
      <c r="B282" s="43">
        <v>349</v>
      </c>
      <c r="C282">
        <f t="shared" si="11"/>
        <v>2021</v>
      </c>
      <c r="W282" s="115">
        <v>3.36</v>
      </c>
      <c r="X282" s="9">
        <v>2.7000000000000003E-2</v>
      </c>
      <c r="Y282" s="4">
        <v>1</v>
      </c>
    </row>
    <row r="283" spans="1:25" x14ac:dyDescent="0.35">
      <c r="A283" s="7">
        <v>44524</v>
      </c>
      <c r="B283" s="43">
        <v>349</v>
      </c>
      <c r="C283">
        <f t="shared" si="11"/>
        <v>2021</v>
      </c>
      <c r="W283" s="115">
        <v>3.39</v>
      </c>
      <c r="X283" s="9">
        <v>1.55E-2</v>
      </c>
      <c r="Y283" s="4">
        <v>1</v>
      </c>
    </row>
    <row r="284" spans="1:25" x14ac:dyDescent="0.35">
      <c r="A284" s="7">
        <v>44523</v>
      </c>
      <c r="B284" s="43">
        <v>345</v>
      </c>
      <c r="C284">
        <f t="shared" si="11"/>
        <v>2021</v>
      </c>
      <c r="W284" s="115">
        <v>3.46</v>
      </c>
      <c r="X284" s="9">
        <v>4.4999999999999998E-2</v>
      </c>
      <c r="Y284" s="4">
        <v>1</v>
      </c>
    </row>
    <row r="285" spans="1:25" x14ac:dyDescent="0.35">
      <c r="A285" s="7">
        <v>44522</v>
      </c>
      <c r="B285" s="43">
        <v>339</v>
      </c>
      <c r="C285">
        <f t="shared" si="11"/>
        <v>2021</v>
      </c>
      <c r="W285" s="115">
        <v>3.66</v>
      </c>
      <c r="X285" s="9">
        <v>2.6000000000000002E-2</v>
      </c>
      <c r="Y285" s="4">
        <v>1</v>
      </c>
    </row>
    <row r="286" spans="1:25" x14ac:dyDescent="0.35">
      <c r="A286" s="7">
        <v>44519</v>
      </c>
      <c r="B286" s="43">
        <v>341</v>
      </c>
      <c r="C286">
        <f t="shared" si="11"/>
        <v>2021</v>
      </c>
      <c r="W286" s="59" t="s">
        <v>768</v>
      </c>
      <c r="X286" s="9">
        <v>2.2088100875985749E-2</v>
      </c>
      <c r="Y286" s="4">
        <v>513</v>
      </c>
    </row>
    <row r="287" spans="1:25" x14ac:dyDescent="0.35">
      <c r="A287" s="7">
        <v>44518</v>
      </c>
      <c r="B287" s="43">
        <v>340</v>
      </c>
      <c r="C287">
        <f t="shared" si="11"/>
        <v>2021</v>
      </c>
    </row>
    <row r="288" spans="1:25" x14ac:dyDescent="0.35">
      <c r="A288" s="7">
        <v>44517</v>
      </c>
      <c r="B288" s="43">
        <v>338</v>
      </c>
      <c r="C288">
        <f t="shared" si="11"/>
        <v>2021</v>
      </c>
    </row>
    <row r="289" spans="1:3" x14ac:dyDescent="0.35">
      <c r="A289" s="7">
        <v>44516</v>
      </c>
      <c r="B289" s="43">
        <v>336</v>
      </c>
      <c r="C289">
        <f t="shared" si="11"/>
        <v>2021</v>
      </c>
    </row>
    <row r="290" spans="1:3" x14ac:dyDescent="0.35">
      <c r="A290" s="7">
        <v>44515</v>
      </c>
      <c r="B290" s="43">
        <v>336</v>
      </c>
      <c r="C290">
        <f t="shared" si="11"/>
        <v>2021</v>
      </c>
    </row>
    <row r="291" spans="1:3" x14ac:dyDescent="0.35">
      <c r="A291" s="7">
        <v>44512</v>
      </c>
      <c r="B291" s="43">
        <v>339</v>
      </c>
      <c r="C291">
        <f t="shared" si="11"/>
        <v>2021</v>
      </c>
    </row>
    <row r="292" spans="1:3" x14ac:dyDescent="0.35">
      <c r="A292" s="7">
        <v>44511</v>
      </c>
      <c r="B292" s="43">
        <v>338</v>
      </c>
      <c r="C292">
        <f t="shared" si="11"/>
        <v>2021</v>
      </c>
    </row>
    <row r="293" spans="1:3" x14ac:dyDescent="0.35">
      <c r="A293" s="7">
        <v>44510</v>
      </c>
      <c r="B293" s="43">
        <v>341</v>
      </c>
      <c r="C293">
        <f t="shared" si="11"/>
        <v>2021</v>
      </c>
    </row>
    <row r="294" spans="1:3" x14ac:dyDescent="0.35">
      <c r="A294" s="7">
        <v>44509</v>
      </c>
      <c r="B294" s="43">
        <v>346</v>
      </c>
      <c r="C294">
        <f t="shared" si="11"/>
        <v>2021</v>
      </c>
    </row>
    <row r="295" spans="1:3" x14ac:dyDescent="0.35">
      <c r="A295" s="7">
        <v>44508</v>
      </c>
      <c r="B295" s="43">
        <v>343</v>
      </c>
      <c r="C295">
        <f t="shared" si="11"/>
        <v>2021</v>
      </c>
    </row>
    <row r="296" spans="1:3" x14ac:dyDescent="0.35">
      <c r="A296" s="7">
        <v>44505</v>
      </c>
      <c r="B296" s="43">
        <v>355</v>
      </c>
      <c r="C296">
        <f t="shared" si="11"/>
        <v>2021</v>
      </c>
    </row>
    <row r="297" spans="1:3" x14ac:dyDescent="0.35">
      <c r="A297" s="7">
        <v>44504</v>
      </c>
      <c r="B297" s="43">
        <v>356</v>
      </c>
      <c r="C297">
        <f t="shared" si="11"/>
        <v>2021</v>
      </c>
    </row>
    <row r="298" spans="1:3" x14ac:dyDescent="0.35">
      <c r="A298" s="7">
        <v>44503</v>
      </c>
      <c r="B298" s="43">
        <v>361</v>
      </c>
      <c r="C298">
        <f t="shared" si="11"/>
        <v>2021</v>
      </c>
    </row>
    <row r="299" spans="1:3" x14ac:dyDescent="0.35">
      <c r="A299" s="7">
        <v>44502</v>
      </c>
      <c r="B299" s="43">
        <v>370</v>
      </c>
      <c r="C299">
        <f t="shared" si="11"/>
        <v>2021</v>
      </c>
    </row>
    <row r="300" spans="1:3" x14ac:dyDescent="0.35">
      <c r="A300" s="7">
        <v>44501</v>
      </c>
      <c r="B300" s="43">
        <v>366</v>
      </c>
      <c r="C300">
        <f t="shared" si="11"/>
        <v>2021</v>
      </c>
    </row>
    <row r="301" spans="1:3" x14ac:dyDescent="0.35">
      <c r="A301" s="7">
        <v>44498</v>
      </c>
      <c r="B301" s="43">
        <v>362</v>
      </c>
      <c r="C301">
        <f t="shared" si="11"/>
        <v>2021</v>
      </c>
    </row>
    <row r="302" spans="1:3" x14ac:dyDescent="0.35">
      <c r="A302" s="7">
        <v>44497</v>
      </c>
      <c r="B302" s="43">
        <v>347</v>
      </c>
      <c r="C302">
        <f t="shared" si="11"/>
        <v>2021</v>
      </c>
    </row>
    <row r="303" spans="1:3" x14ac:dyDescent="0.35">
      <c r="A303" s="7">
        <v>44496</v>
      </c>
      <c r="B303" s="43">
        <v>346</v>
      </c>
      <c r="C303">
        <f t="shared" si="11"/>
        <v>2021</v>
      </c>
    </row>
    <row r="304" spans="1:3" x14ac:dyDescent="0.35">
      <c r="A304" s="7">
        <v>44495</v>
      </c>
      <c r="B304" s="43">
        <v>346</v>
      </c>
      <c r="C304">
        <f t="shared" si="11"/>
        <v>2021</v>
      </c>
    </row>
    <row r="305" spans="1:3" x14ac:dyDescent="0.35">
      <c r="A305" s="7">
        <v>44494</v>
      </c>
      <c r="B305" s="43">
        <v>348</v>
      </c>
      <c r="C305">
        <f t="shared" si="11"/>
        <v>2021</v>
      </c>
    </row>
    <row r="306" spans="1:3" x14ac:dyDescent="0.35">
      <c r="A306" s="7">
        <v>44491</v>
      </c>
      <c r="B306" s="43">
        <v>353</v>
      </c>
      <c r="C306">
        <f t="shared" si="11"/>
        <v>2021</v>
      </c>
    </row>
    <row r="307" spans="1:3" x14ac:dyDescent="0.35">
      <c r="A307" s="7">
        <v>44490</v>
      </c>
      <c r="B307" s="43">
        <v>350</v>
      </c>
      <c r="C307">
        <f t="shared" si="11"/>
        <v>2021</v>
      </c>
    </row>
    <row r="308" spans="1:3" x14ac:dyDescent="0.35">
      <c r="A308" s="7">
        <v>44489</v>
      </c>
      <c r="B308" s="43">
        <v>336</v>
      </c>
      <c r="C308">
        <f t="shared" si="11"/>
        <v>2021</v>
      </c>
    </row>
    <row r="309" spans="1:3" x14ac:dyDescent="0.35">
      <c r="A309" s="7">
        <v>44488</v>
      </c>
      <c r="B309" s="43">
        <v>329</v>
      </c>
      <c r="C309">
        <f t="shared" si="11"/>
        <v>2021</v>
      </c>
    </row>
    <row r="310" spans="1:3" x14ac:dyDescent="0.35">
      <c r="A310" s="7">
        <v>44487</v>
      </c>
      <c r="B310" s="43">
        <v>327</v>
      </c>
      <c r="C310">
        <f t="shared" si="11"/>
        <v>2021</v>
      </c>
    </row>
    <row r="311" spans="1:3" x14ac:dyDescent="0.35">
      <c r="A311" s="7">
        <v>44484</v>
      </c>
      <c r="B311" s="43">
        <v>324</v>
      </c>
      <c r="C311">
        <f t="shared" si="11"/>
        <v>2021</v>
      </c>
    </row>
    <row r="312" spans="1:3" x14ac:dyDescent="0.35">
      <c r="A312" s="7">
        <v>44483</v>
      </c>
      <c r="B312" s="43">
        <v>328</v>
      </c>
      <c r="C312">
        <f t="shared" si="11"/>
        <v>2021</v>
      </c>
    </row>
    <row r="313" spans="1:3" x14ac:dyDescent="0.35">
      <c r="A313" s="7">
        <v>44482</v>
      </c>
      <c r="B313" s="43">
        <v>330</v>
      </c>
      <c r="C313">
        <f t="shared" si="11"/>
        <v>2021</v>
      </c>
    </row>
    <row r="314" spans="1:3" x14ac:dyDescent="0.35">
      <c r="A314" s="7">
        <v>44481</v>
      </c>
      <c r="B314" s="43">
        <v>332</v>
      </c>
      <c r="C314">
        <f t="shared" si="11"/>
        <v>2021</v>
      </c>
    </row>
    <row r="315" spans="1:3" x14ac:dyDescent="0.35">
      <c r="A315" s="7">
        <v>44480</v>
      </c>
      <c r="B315" s="43">
        <v>327</v>
      </c>
      <c r="C315">
        <f t="shared" si="11"/>
        <v>2021</v>
      </c>
    </row>
    <row r="316" spans="1:3" x14ac:dyDescent="0.35">
      <c r="A316" s="7">
        <v>44477</v>
      </c>
      <c r="B316" s="43">
        <v>326</v>
      </c>
      <c r="C316">
        <f t="shared" si="11"/>
        <v>2021</v>
      </c>
    </row>
    <row r="317" spans="1:3" x14ac:dyDescent="0.35">
      <c r="A317" s="7">
        <v>44476</v>
      </c>
      <c r="B317" s="43">
        <v>326</v>
      </c>
      <c r="C317">
        <f t="shared" si="11"/>
        <v>2021</v>
      </c>
    </row>
    <row r="318" spans="1:3" x14ac:dyDescent="0.35">
      <c r="A318" s="7">
        <v>44475</v>
      </c>
      <c r="B318" s="43">
        <v>334</v>
      </c>
      <c r="C318">
        <f t="shared" si="11"/>
        <v>2021</v>
      </c>
    </row>
    <row r="319" spans="1:3" x14ac:dyDescent="0.35">
      <c r="A319" s="7">
        <v>44474</v>
      </c>
      <c r="B319" s="43">
        <v>332</v>
      </c>
      <c r="C319">
        <f t="shared" si="11"/>
        <v>2021</v>
      </c>
    </row>
    <row r="320" spans="1:3" x14ac:dyDescent="0.35">
      <c r="A320" s="7">
        <v>44473</v>
      </c>
      <c r="B320" s="43">
        <v>334</v>
      </c>
      <c r="C320">
        <f t="shared" si="11"/>
        <v>2021</v>
      </c>
    </row>
    <row r="321" spans="1:3" x14ac:dyDescent="0.35">
      <c r="A321" s="7">
        <v>44470</v>
      </c>
      <c r="B321" s="43">
        <v>333</v>
      </c>
      <c r="C321">
        <f t="shared" si="11"/>
        <v>2021</v>
      </c>
    </row>
    <row r="322" spans="1:3" x14ac:dyDescent="0.35">
      <c r="A322" s="7">
        <v>44469</v>
      </c>
      <c r="B322" s="43">
        <v>327</v>
      </c>
      <c r="C322">
        <f t="shared" si="11"/>
        <v>2021</v>
      </c>
    </row>
    <row r="323" spans="1:3" x14ac:dyDescent="0.35">
      <c r="A323" s="7">
        <v>44468</v>
      </c>
      <c r="B323" s="43">
        <v>320</v>
      </c>
      <c r="C323">
        <f t="shared" ref="C323:C386" si="12">YEAR(A323)</f>
        <v>2021</v>
      </c>
    </row>
    <row r="324" spans="1:3" x14ac:dyDescent="0.35">
      <c r="A324" s="7">
        <v>44467</v>
      </c>
      <c r="B324" s="43">
        <v>325</v>
      </c>
      <c r="C324">
        <f t="shared" si="12"/>
        <v>2021</v>
      </c>
    </row>
    <row r="325" spans="1:3" x14ac:dyDescent="0.35">
      <c r="A325" s="7">
        <v>44466</v>
      </c>
      <c r="B325" s="43">
        <v>322</v>
      </c>
      <c r="C325">
        <f t="shared" si="12"/>
        <v>2021</v>
      </c>
    </row>
    <row r="326" spans="1:3" x14ac:dyDescent="0.35">
      <c r="A326" s="7">
        <v>44463</v>
      </c>
      <c r="B326" s="43">
        <v>320</v>
      </c>
      <c r="C326">
        <f t="shared" si="12"/>
        <v>2021</v>
      </c>
    </row>
    <row r="327" spans="1:3" x14ac:dyDescent="0.35">
      <c r="A327" s="7">
        <v>44462</v>
      </c>
      <c r="B327" s="43">
        <v>317</v>
      </c>
      <c r="C327">
        <f t="shared" si="12"/>
        <v>2021</v>
      </c>
    </row>
    <row r="328" spans="1:3" x14ac:dyDescent="0.35">
      <c r="A328" s="7">
        <v>44461</v>
      </c>
      <c r="B328" s="43">
        <v>318</v>
      </c>
      <c r="C328">
        <f t="shared" si="12"/>
        <v>2021</v>
      </c>
    </row>
    <row r="329" spans="1:3" x14ac:dyDescent="0.35">
      <c r="A329" s="7">
        <v>44460</v>
      </c>
      <c r="B329" s="43">
        <v>318</v>
      </c>
      <c r="C329">
        <f t="shared" si="12"/>
        <v>2021</v>
      </c>
    </row>
    <row r="330" spans="1:3" x14ac:dyDescent="0.35">
      <c r="A330" s="7">
        <v>44459</v>
      </c>
      <c r="B330" s="43">
        <v>322</v>
      </c>
      <c r="C330">
        <f t="shared" si="12"/>
        <v>2021</v>
      </c>
    </row>
    <row r="331" spans="1:3" x14ac:dyDescent="0.35">
      <c r="A331" s="7">
        <v>44456</v>
      </c>
      <c r="B331" s="43">
        <v>311</v>
      </c>
      <c r="C331">
        <f t="shared" si="12"/>
        <v>2021</v>
      </c>
    </row>
    <row r="332" spans="1:3" x14ac:dyDescent="0.35">
      <c r="A332" s="7">
        <v>44455</v>
      </c>
      <c r="B332" s="43">
        <v>312</v>
      </c>
      <c r="C332">
        <f t="shared" si="12"/>
        <v>2021</v>
      </c>
    </row>
    <row r="333" spans="1:3" x14ac:dyDescent="0.35">
      <c r="A333" s="7">
        <v>44454</v>
      </c>
      <c r="B333" s="43">
        <v>314</v>
      </c>
      <c r="C333">
        <f t="shared" si="12"/>
        <v>2021</v>
      </c>
    </row>
    <row r="334" spans="1:3" x14ac:dyDescent="0.35">
      <c r="A334" s="7">
        <v>44453</v>
      </c>
      <c r="B334" s="43">
        <v>318</v>
      </c>
      <c r="C334">
        <f t="shared" si="12"/>
        <v>2021</v>
      </c>
    </row>
    <row r="335" spans="1:3" x14ac:dyDescent="0.35">
      <c r="A335" s="7">
        <v>44452</v>
      </c>
      <c r="B335" s="43">
        <v>314</v>
      </c>
      <c r="C335">
        <f t="shared" si="12"/>
        <v>2021</v>
      </c>
    </row>
    <row r="336" spans="1:3" x14ac:dyDescent="0.35">
      <c r="A336" s="7">
        <v>44449</v>
      </c>
      <c r="B336" s="43">
        <v>310</v>
      </c>
      <c r="C336">
        <f t="shared" si="12"/>
        <v>2021</v>
      </c>
    </row>
    <row r="337" spans="1:3" x14ac:dyDescent="0.35">
      <c r="A337" s="7">
        <v>44448</v>
      </c>
      <c r="B337" s="43">
        <v>317</v>
      </c>
      <c r="C337">
        <f t="shared" si="12"/>
        <v>2021</v>
      </c>
    </row>
    <row r="338" spans="1:3" x14ac:dyDescent="0.35">
      <c r="A338" s="7">
        <v>44447</v>
      </c>
      <c r="B338" s="43">
        <v>312</v>
      </c>
      <c r="C338">
        <f t="shared" si="12"/>
        <v>2021</v>
      </c>
    </row>
    <row r="339" spans="1:3" x14ac:dyDescent="0.35">
      <c r="A339" s="7">
        <v>44446</v>
      </c>
      <c r="B339" s="43">
        <v>304</v>
      </c>
      <c r="C339">
        <f t="shared" si="12"/>
        <v>2021</v>
      </c>
    </row>
    <row r="340" spans="1:3" x14ac:dyDescent="0.35">
      <c r="A340" s="7">
        <v>44445</v>
      </c>
      <c r="B340" s="43">
        <v>304</v>
      </c>
      <c r="C340">
        <f t="shared" si="12"/>
        <v>2021</v>
      </c>
    </row>
    <row r="341" spans="1:3" x14ac:dyDescent="0.35">
      <c r="A341" s="7">
        <v>44442</v>
      </c>
      <c r="B341" s="43">
        <v>304</v>
      </c>
      <c r="C341">
        <f t="shared" si="12"/>
        <v>2021</v>
      </c>
    </row>
    <row r="342" spans="1:3" x14ac:dyDescent="0.35">
      <c r="A342" s="7">
        <v>44441</v>
      </c>
      <c r="B342" s="43">
        <v>305</v>
      </c>
      <c r="C342">
        <f t="shared" si="12"/>
        <v>2021</v>
      </c>
    </row>
    <row r="343" spans="1:3" x14ac:dyDescent="0.35">
      <c r="A343" s="7">
        <v>44440</v>
      </c>
      <c r="B343" s="43">
        <v>304</v>
      </c>
      <c r="C343">
        <f t="shared" si="12"/>
        <v>2021</v>
      </c>
    </row>
    <row r="344" spans="1:3" x14ac:dyDescent="0.35">
      <c r="A344" s="7">
        <v>44439</v>
      </c>
      <c r="B344" s="43">
        <v>304</v>
      </c>
      <c r="C344">
        <f t="shared" si="12"/>
        <v>2021</v>
      </c>
    </row>
    <row r="345" spans="1:3" x14ac:dyDescent="0.35">
      <c r="A345" s="7">
        <v>44438</v>
      </c>
      <c r="B345" s="43">
        <v>304</v>
      </c>
      <c r="C345">
        <f t="shared" si="12"/>
        <v>2021</v>
      </c>
    </row>
    <row r="346" spans="1:3" x14ac:dyDescent="0.35">
      <c r="A346" s="7">
        <v>44435</v>
      </c>
      <c r="B346" s="43">
        <v>309</v>
      </c>
      <c r="C346">
        <f t="shared" si="12"/>
        <v>2021</v>
      </c>
    </row>
    <row r="347" spans="1:3" x14ac:dyDescent="0.35">
      <c r="A347" s="7">
        <v>44434</v>
      </c>
      <c r="B347" s="43">
        <v>311</v>
      </c>
      <c r="C347">
        <f t="shared" si="12"/>
        <v>2021</v>
      </c>
    </row>
    <row r="348" spans="1:3" x14ac:dyDescent="0.35">
      <c r="A348" s="7">
        <v>44433</v>
      </c>
      <c r="B348" s="43">
        <v>310</v>
      </c>
      <c r="C348">
        <f t="shared" si="12"/>
        <v>2021</v>
      </c>
    </row>
    <row r="349" spans="1:3" x14ac:dyDescent="0.35">
      <c r="A349" s="7">
        <v>44432</v>
      </c>
      <c r="B349" s="43">
        <v>315</v>
      </c>
      <c r="C349">
        <f t="shared" si="12"/>
        <v>2021</v>
      </c>
    </row>
    <row r="350" spans="1:3" x14ac:dyDescent="0.35">
      <c r="A350" s="7">
        <v>44431</v>
      </c>
      <c r="B350" s="43">
        <v>318</v>
      </c>
      <c r="C350">
        <f t="shared" si="12"/>
        <v>2021</v>
      </c>
    </row>
    <row r="351" spans="1:3" x14ac:dyDescent="0.35">
      <c r="A351" s="7">
        <v>44428</v>
      </c>
      <c r="B351" s="43">
        <v>320</v>
      </c>
      <c r="C351">
        <f t="shared" si="12"/>
        <v>2021</v>
      </c>
    </row>
    <row r="352" spans="1:3" x14ac:dyDescent="0.35">
      <c r="A352" s="7">
        <v>44427</v>
      </c>
      <c r="B352" s="43">
        <v>321</v>
      </c>
      <c r="C352">
        <f t="shared" si="12"/>
        <v>2021</v>
      </c>
    </row>
    <row r="353" spans="1:3" x14ac:dyDescent="0.35">
      <c r="A353" s="7">
        <v>44426</v>
      </c>
      <c r="B353" s="43">
        <v>313</v>
      </c>
      <c r="C353">
        <f t="shared" si="12"/>
        <v>2021</v>
      </c>
    </row>
    <row r="354" spans="1:3" x14ac:dyDescent="0.35">
      <c r="A354" s="7">
        <v>44425</v>
      </c>
      <c r="B354" s="43">
        <v>309</v>
      </c>
      <c r="C354">
        <f t="shared" si="12"/>
        <v>2021</v>
      </c>
    </row>
    <row r="355" spans="1:3" x14ac:dyDescent="0.35">
      <c r="A355" s="7">
        <v>44424</v>
      </c>
      <c r="B355" s="43">
        <v>307</v>
      </c>
      <c r="C355">
        <f t="shared" si="12"/>
        <v>2021</v>
      </c>
    </row>
    <row r="356" spans="1:3" x14ac:dyDescent="0.35">
      <c r="A356" s="7">
        <v>44421</v>
      </c>
      <c r="B356" s="43">
        <v>304</v>
      </c>
      <c r="C356">
        <f t="shared" si="12"/>
        <v>2021</v>
      </c>
    </row>
    <row r="357" spans="1:3" x14ac:dyDescent="0.35">
      <c r="A357" s="7">
        <v>44420</v>
      </c>
      <c r="B357" s="43">
        <v>300</v>
      </c>
      <c r="C357">
        <f t="shared" si="12"/>
        <v>2021</v>
      </c>
    </row>
    <row r="358" spans="1:3" x14ac:dyDescent="0.35">
      <c r="A358" s="7">
        <v>44419</v>
      </c>
      <c r="B358" s="43">
        <v>301</v>
      </c>
      <c r="C358">
        <f t="shared" si="12"/>
        <v>2021</v>
      </c>
    </row>
    <row r="359" spans="1:3" x14ac:dyDescent="0.35">
      <c r="A359" s="7">
        <v>44418</v>
      </c>
      <c r="B359" s="43">
        <v>301</v>
      </c>
      <c r="C359">
        <f t="shared" si="12"/>
        <v>2021</v>
      </c>
    </row>
    <row r="360" spans="1:3" x14ac:dyDescent="0.35">
      <c r="A360" s="7">
        <v>44417</v>
      </c>
      <c r="B360" s="43">
        <v>301</v>
      </c>
      <c r="C360">
        <f t="shared" si="12"/>
        <v>2021</v>
      </c>
    </row>
    <row r="361" spans="1:3" x14ac:dyDescent="0.35">
      <c r="A361" s="7">
        <v>44414</v>
      </c>
      <c r="B361" s="43">
        <v>301</v>
      </c>
      <c r="C361">
        <f t="shared" si="12"/>
        <v>2021</v>
      </c>
    </row>
    <row r="362" spans="1:3" x14ac:dyDescent="0.35">
      <c r="A362" s="7">
        <v>44413</v>
      </c>
      <c r="B362" s="43">
        <v>301</v>
      </c>
      <c r="C362">
        <f t="shared" si="12"/>
        <v>2021</v>
      </c>
    </row>
    <row r="363" spans="1:3" x14ac:dyDescent="0.35">
      <c r="A363" s="7">
        <v>44412</v>
      </c>
      <c r="B363" s="43">
        <v>305</v>
      </c>
      <c r="C363">
        <f t="shared" si="12"/>
        <v>2021</v>
      </c>
    </row>
    <row r="364" spans="1:3" x14ac:dyDescent="0.35">
      <c r="A364" s="7">
        <v>44411</v>
      </c>
      <c r="B364" s="43">
        <v>304</v>
      </c>
      <c r="C364">
        <f t="shared" si="12"/>
        <v>2021</v>
      </c>
    </row>
    <row r="365" spans="1:3" x14ac:dyDescent="0.35">
      <c r="A365" s="7">
        <v>44410</v>
      </c>
      <c r="B365" s="43">
        <v>302</v>
      </c>
      <c r="C365">
        <f t="shared" si="12"/>
        <v>2021</v>
      </c>
    </row>
    <row r="366" spans="1:3" x14ac:dyDescent="0.35">
      <c r="A366" s="7">
        <v>44407</v>
      </c>
      <c r="B366" s="43">
        <v>300</v>
      </c>
      <c r="C366">
        <f t="shared" si="12"/>
        <v>2021</v>
      </c>
    </row>
    <row r="367" spans="1:3" x14ac:dyDescent="0.35">
      <c r="A367" s="7">
        <v>44406</v>
      </c>
      <c r="B367" s="43">
        <v>298</v>
      </c>
      <c r="C367">
        <f t="shared" si="12"/>
        <v>2021</v>
      </c>
    </row>
    <row r="368" spans="1:3" x14ac:dyDescent="0.35">
      <c r="A368" s="7">
        <v>44405</v>
      </c>
      <c r="B368" s="43">
        <v>300</v>
      </c>
      <c r="C368">
        <f t="shared" si="12"/>
        <v>2021</v>
      </c>
    </row>
    <row r="369" spans="1:3" x14ac:dyDescent="0.35">
      <c r="A369" s="7">
        <v>44404</v>
      </c>
      <c r="B369" s="43">
        <v>300</v>
      </c>
      <c r="C369">
        <f t="shared" si="12"/>
        <v>2021</v>
      </c>
    </row>
    <row r="370" spans="1:3" x14ac:dyDescent="0.35">
      <c r="A370" s="7">
        <v>44403</v>
      </c>
      <c r="B370" s="43">
        <v>294</v>
      </c>
      <c r="C370">
        <f t="shared" si="12"/>
        <v>2021</v>
      </c>
    </row>
    <row r="371" spans="1:3" x14ac:dyDescent="0.35">
      <c r="A371" s="7">
        <v>44400</v>
      </c>
      <c r="B371" s="43">
        <v>294</v>
      </c>
      <c r="C371">
        <f t="shared" si="12"/>
        <v>2021</v>
      </c>
    </row>
    <row r="372" spans="1:3" x14ac:dyDescent="0.35">
      <c r="A372" s="7">
        <v>44399</v>
      </c>
      <c r="B372" s="43">
        <v>296</v>
      </c>
      <c r="C372">
        <f t="shared" si="12"/>
        <v>2021</v>
      </c>
    </row>
    <row r="373" spans="1:3" x14ac:dyDescent="0.35">
      <c r="A373" s="7">
        <v>44398</v>
      </c>
      <c r="B373" s="43">
        <v>296</v>
      </c>
      <c r="C373">
        <f t="shared" si="12"/>
        <v>2021</v>
      </c>
    </row>
    <row r="374" spans="1:3" x14ac:dyDescent="0.35">
      <c r="A374" s="7">
        <v>44397</v>
      </c>
      <c r="B374" s="43">
        <v>299</v>
      </c>
      <c r="C374">
        <f t="shared" si="12"/>
        <v>2021</v>
      </c>
    </row>
    <row r="375" spans="1:3" x14ac:dyDescent="0.35">
      <c r="A375" s="7">
        <v>44396</v>
      </c>
      <c r="B375" s="43">
        <v>303</v>
      </c>
      <c r="C375">
        <f t="shared" si="12"/>
        <v>2021</v>
      </c>
    </row>
    <row r="376" spans="1:3" x14ac:dyDescent="0.35">
      <c r="A376" s="7">
        <v>44393</v>
      </c>
      <c r="B376" s="43">
        <v>291</v>
      </c>
      <c r="C376">
        <f t="shared" si="12"/>
        <v>2021</v>
      </c>
    </row>
    <row r="377" spans="1:3" x14ac:dyDescent="0.35">
      <c r="A377" s="7">
        <v>44392</v>
      </c>
      <c r="B377" s="43">
        <v>292</v>
      </c>
      <c r="C377">
        <f t="shared" si="12"/>
        <v>2021</v>
      </c>
    </row>
    <row r="378" spans="1:3" x14ac:dyDescent="0.35">
      <c r="A378" s="7">
        <v>44391</v>
      </c>
      <c r="B378" s="43">
        <v>289</v>
      </c>
      <c r="C378">
        <f t="shared" si="12"/>
        <v>2021</v>
      </c>
    </row>
    <row r="379" spans="1:3" x14ac:dyDescent="0.35">
      <c r="A379" s="7">
        <v>44390</v>
      </c>
      <c r="B379" s="43">
        <v>285</v>
      </c>
      <c r="C379">
        <f t="shared" si="12"/>
        <v>2021</v>
      </c>
    </row>
    <row r="380" spans="1:3" x14ac:dyDescent="0.35">
      <c r="A380" s="7">
        <v>44389</v>
      </c>
      <c r="B380" s="43">
        <v>288</v>
      </c>
      <c r="C380">
        <f t="shared" si="12"/>
        <v>2021</v>
      </c>
    </row>
    <row r="381" spans="1:3" x14ac:dyDescent="0.35">
      <c r="A381" s="7">
        <v>44386</v>
      </c>
      <c r="B381" s="43">
        <v>289</v>
      </c>
      <c r="C381">
        <f t="shared" si="12"/>
        <v>2021</v>
      </c>
    </row>
    <row r="382" spans="1:3" x14ac:dyDescent="0.35">
      <c r="A382" s="7">
        <v>44385</v>
      </c>
      <c r="B382" s="43">
        <v>294</v>
      </c>
      <c r="C382">
        <f t="shared" si="12"/>
        <v>2021</v>
      </c>
    </row>
    <row r="383" spans="1:3" x14ac:dyDescent="0.35">
      <c r="A383" s="7">
        <v>44384</v>
      </c>
      <c r="B383" s="43">
        <v>291</v>
      </c>
      <c r="C383">
        <f t="shared" si="12"/>
        <v>2021</v>
      </c>
    </row>
    <row r="384" spans="1:3" x14ac:dyDescent="0.35">
      <c r="A384" s="7">
        <v>44383</v>
      </c>
      <c r="B384" s="43">
        <v>287</v>
      </c>
      <c r="C384">
        <f t="shared" si="12"/>
        <v>2021</v>
      </c>
    </row>
    <row r="385" spans="1:3" x14ac:dyDescent="0.35">
      <c r="A385" s="7">
        <v>44382</v>
      </c>
      <c r="B385" s="43">
        <v>279</v>
      </c>
      <c r="C385">
        <f t="shared" si="12"/>
        <v>2021</v>
      </c>
    </row>
    <row r="386" spans="1:3" x14ac:dyDescent="0.35">
      <c r="A386" s="7">
        <v>44379</v>
      </c>
      <c r="B386" s="43">
        <v>279</v>
      </c>
      <c r="C386">
        <f t="shared" si="12"/>
        <v>2021</v>
      </c>
    </row>
    <row r="387" spans="1:3" x14ac:dyDescent="0.35">
      <c r="A387" s="7">
        <v>44378</v>
      </c>
      <c r="B387" s="43">
        <v>276</v>
      </c>
      <c r="C387">
        <f t="shared" ref="C387:C450" si="13">YEAR(A387)</f>
        <v>2021</v>
      </c>
    </row>
    <row r="388" spans="1:3" x14ac:dyDescent="0.35">
      <c r="A388" s="7">
        <v>44377</v>
      </c>
      <c r="B388" s="43">
        <v>275</v>
      </c>
      <c r="C388">
        <f t="shared" si="13"/>
        <v>2021</v>
      </c>
    </row>
    <row r="389" spans="1:3" x14ac:dyDescent="0.35">
      <c r="A389" s="7">
        <v>44376</v>
      </c>
      <c r="B389" s="43">
        <v>270</v>
      </c>
      <c r="C389">
        <f t="shared" si="13"/>
        <v>2021</v>
      </c>
    </row>
    <row r="390" spans="1:3" x14ac:dyDescent="0.35">
      <c r="A390" s="7">
        <v>44375</v>
      </c>
      <c r="B390" s="43">
        <v>266</v>
      </c>
      <c r="C390">
        <f t="shared" si="13"/>
        <v>2021</v>
      </c>
    </row>
    <row r="391" spans="1:3" x14ac:dyDescent="0.35">
      <c r="A391" s="7">
        <v>44372</v>
      </c>
      <c r="B391" s="43">
        <v>262</v>
      </c>
      <c r="C391">
        <f t="shared" si="13"/>
        <v>2021</v>
      </c>
    </row>
    <row r="392" spans="1:3" x14ac:dyDescent="0.35">
      <c r="A392" s="7">
        <v>44371</v>
      </c>
      <c r="B392" s="43">
        <v>265</v>
      </c>
      <c r="C392">
        <f t="shared" si="13"/>
        <v>2021</v>
      </c>
    </row>
    <row r="393" spans="1:3" x14ac:dyDescent="0.35">
      <c r="A393" s="7">
        <v>44370</v>
      </c>
      <c r="B393" s="43">
        <v>264</v>
      </c>
      <c r="C393">
        <f t="shared" si="13"/>
        <v>2021</v>
      </c>
    </row>
    <row r="394" spans="1:3" x14ac:dyDescent="0.35">
      <c r="A394" s="7">
        <v>44369</v>
      </c>
      <c r="B394" s="43">
        <v>267</v>
      </c>
      <c r="C394">
        <f t="shared" si="13"/>
        <v>2021</v>
      </c>
    </row>
    <row r="395" spans="1:3" x14ac:dyDescent="0.35">
      <c r="A395" s="7">
        <v>44368</v>
      </c>
      <c r="B395" s="43">
        <v>263</v>
      </c>
      <c r="C395">
        <f t="shared" si="13"/>
        <v>2021</v>
      </c>
    </row>
    <row r="396" spans="1:3" x14ac:dyDescent="0.35">
      <c r="A396" s="7">
        <v>44365</v>
      </c>
      <c r="B396" s="43">
        <v>267</v>
      </c>
      <c r="C396">
        <f t="shared" si="13"/>
        <v>2021</v>
      </c>
    </row>
    <row r="397" spans="1:3" x14ac:dyDescent="0.35">
      <c r="A397" s="7">
        <v>44364</v>
      </c>
      <c r="B397" s="43">
        <v>263</v>
      </c>
      <c r="C397">
        <f t="shared" si="13"/>
        <v>2021</v>
      </c>
    </row>
    <row r="398" spans="1:3" x14ac:dyDescent="0.35">
      <c r="A398" s="7">
        <v>44363</v>
      </c>
      <c r="B398" s="43">
        <v>266</v>
      </c>
      <c r="C398">
        <f t="shared" si="13"/>
        <v>2021</v>
      </c>
    </row>
    <row r="399" spans="1:3" x14ac:dyDescent="0.35">
      <c r="A399" s="7">
        <v>44362</v>
      </c>
      <c r="B399" s="43">
        <v>266</v>
      </c>
      <c r="C399">
        <f t="shared" si="13"/>
        <v>2021</v>
      </c>
    </row>
    <row r="400" spans="1:3" x14ac:dyDescent="0.35">
      <c r="A400" s="7">
        <v>44361</v>
      </c>
      <c r="B400" s="43">
        <v>263</v>
      </c>
      <c r="C400">
        <f t="shared" si="13"/>
        <v>2021</v>
      </c>
    </row>
    <row r="401" spans="1:3" x14ac:dyDescent="0.35">
      <c r="A401" s="7">
        <v>44358</v>
      </c>
      <c r="B401" s="43">
        <v>262</v>
      </c>
      <c r="C401">
        <f t="shared" si="13"/>
        <v>2021</v>
      </c>
    </row>
    <row r="402" spans="1:3" x14ac:dyDescent="0.35">
      <c r="A402" s="7">
        <v>44357</v>
      </c>
      <c r="B402" s="43">
        <v>266</v>
      </c>
      <c r="C402">
        <f t="shared" si="13"/>
        <v>2021</v>
      </c>
    </row>
    <row r="403" spans="1:3" x14ac:dyDescent="0.35">
      <c r="A403" s="7">
        <v>44356</v>
      </c>
      <c r="B403" s="43">
        <v>264</v>
      </c>
      <c r="C403">
        <f t="shared" si="13"/>
        <v>2021</v>
      </c>
    </row>
    <row r="404" spans="1:3" x14ac:dyDescent="0.35">
      <c r="A404" s="7">
        <v>44355</v>
      </c>
      <c r="B404" s="43">
        <v>263</v>
      </c>
      <c r="C404">
        <f t="shared" si="13"/>
        <v>2021</v>
      </c>
    </row>
    <row r="405" spans="1:3" x14ac:dyDescent="0.35">
      <c r="A405" s="7">
        <v>44354</v>
      </c>
      <c r="B405" s="43">
        <v>261</v>
      </c>
      <c r="C405">
        <f t="shared" si="13"/>
        <v>2021</v>
      </c>
    </row>
    <row r="406" spans="1:3" x14ac:dyDescent="0.35">
      <c r="A406" s="7">
        <v>44351</v>
      </c>
      <c r="B406" s="43">
        <v>263</v>
      </c>
      <c r="C406">
        <f t="shared" si="13"/>
        <v>2021</v>
      </c>
    </row>
    <row r="407" spans="1:3" x14ac:dyDescent="0.35">
      <c r="A407" s="7">
        <v>44350</v>
      </c>
      <c r="B407" s="43">
        <v>260</v>
      </c>
      <c r="C407">
        <f t="shared" si="13"/>
        <v>2021</v>
      </c>
    </row>
    <row r="408" spans="1:3" x14ac:dyDescent="0.35">
      <c r="A408" s="7">
        <v>44349</v>
      </c>
      <c r="B408" s="43">
        <v>258</v>
      </c>
      <c r="C408">
        <f t="shared" si="13"/>
        <v>2021</v>
      </c>
    </row>
    <row r="409" spans="1:3" x14ac:dyDescent="0.35">
      <c r="A409" s="7">
        <v>44348</v>
      </c>
      <c r="B409" s="43">
        <v>260</v>
      </c>
      <c r="C409">
        <f t="shared" si="13"/>
        <v>2021</v>
      </c>
    </row>
    <row r="410" spans="1:3" x14ac:dyDescent="0.35">
      <c r="A410" s="7">
        <v>44347</v>
      </c>
      <c r="B410" s="43">
        <v>262</v>
      </c>
      <c r="C410">
        <f t="shared" si="13"/>
        <v>2021</v>
      </c>
    </row>
    <row r="411" spans="1:3" x14ac:dyDescent="0.35">
      <c r="A411" s="7">
        <v>44344</v>
      </c>
      <c r="B411" s="43">
        <v>261</v>
      </c>
      <c r="C411">
        <f t="shared" si="13"/>
        <v>2021</v>
      </c>
    </row>
    <row r="412" spans="1:3" x14ac:dyDescent="0.35">
      <c r="A412" s="7">
        <v>44343</v>
      </c>
      <c r="B412" s="43">
        <v>264</v>
      </c>
      <c r="C412">
        <f t="shared" si="13"/>
        <v>2021</v>
      </c>
    </row>
    <row r="413" spans="1:3" x14ac:dyDescent="0.35">
      <c r="A413" s="7">
        <v>44342</v>
      </c>
      <c r="B413" s="43">
        <v>265</v>
      </c>
      <c r="C413">
        <f t="shared" si="13"/>
        <v>2021</v>
      </c>
    </row>
    <row r="414" spans="1:3" x14ac:dyDescent="0.35">
      <c r="A414" s="7">
        <v>44341</v>
      </c>
      <c r="B414" s="43">
        <v>271</v>
      </c>
      <c r="C414">
        <f t="shared" si="13"/>
        <v>2021</v>
      </c>
    </row>
    <row r="415" spans="1:3" x14ac:dyDescent="0.35">
      <c r="A415" s="7">
        <v>44340</v>
      </c>
      <c r="B415" s="43">
        <v>268</v>
      </c>
      <c r="C415">
        <f t="shared" si="13"/>
        <v>2021</v>
      </c>
    </row>
    <row r="416" spans="1:3" x14ac:dyDescent="0.35">
      <c r="A416" s="7">
        <v>44337</v>
      </c>
      <c r="B416" s="43">
        <v>266</v>
      </c>
      <c r="C416">
        <f t="shared" si="13"/>
        <v>2021</v>
      </c>
    </row>
    <row r="417" spans="1:3" x14ac:dyDescent="0.35">
      <c r="A417" s="7">
        <v>44336</v>
      </c>
      <c r="B417" s="43">
        <v>266</v>
      </c>
      <c r="C417">
        <f t="shared" si="13"/>
        <v>2021</v>
      </c>
    </row>
    <row r="418" spans="1:3" x14ac:dyDescent="0.35">
      <c r="A418" s="7">
        <v>44335</v>
      </c>
      <c r="B418" s="43">
        <v>262</v>
      </c>
      <c r="C418">
        <f t="shared" si="13"/>
        <v>2021</v>
      </c>
    </row>
    <row r="419" spans="1:3" x14ac:dyDescent="0.35">
      <c r="A419" s="7">
        <v>44334</v>
      </c>
      <c r="B419" s="43">
        <v>260</v>
      </c>
      <c r="C419">
        <f t="shared" si="13"/>
        <v>2021</v>
      </c>
    </row>
    <row r="420" spans="1:3" x14ac:dyDescent="0.35">
      <c r="A420" s="7">
        <v>44333</v>
      </c>
      <c r="B420" s="43">
        <v>260</v>
      </c>
      <c r="C420">
        <f t="shared" si="13"/>
        <v>2021</v>
      </c>
    </row>
    <row r="421" spans="1:3" x14ac:dyDescent="0.35">
      <c r="A421" s="7">
        <v>44330</v>
      </c>
      <c r="B421" s="43">
        <v>258</v>
      </c>
      <c r="C421">
        <f t="shared" si="13"/>
        <v>2021</v>
      </c>
    </row>
    <row r="422" spans="1:3" x14ac:dyDescent="0.35">
      <c r="A422" s="7">
        <v>44329</v>
      </c>
      <c r="B422" s="43">
        <v>257</v>
      </c>
      <c r="C422">
        <f t="shared" si="13"/>
        <v>2021</v>
      </c>
    </row>
    <row r="423" spans="1:3" x14ac:dyDescent="0.35">
      <c r="A423" s="7">
        <v>44328</v>
      </c>
      <c r="B423" s="43">
        <v>256</v>
      </c>
      <c r="C423">
        <f t="shared" si="13"/>
        <v>2021</v>
      </c>
    </row>
    <row r="424" spans="1:3" x14ac:dyDescent="0.35">
      <c r="A424" s="7">
        <v>44327</v>
      </c>
      <c r="B424" s="43">
        <v>256</v>
      </c>
      <c r="C424">
        <f t="shared" si="13"/>
        <v>2021</v>
      </c>
    </row>
    <row r="425" spans="1:3" x14ac:dyDescent="0.35">
      <c r="A425" s="7">
        <v>44326</v>
      </c>
      <c r="B425" s="43">
        <v>254</v>
      </c>
      <c r="C425">
        <f t="shared" si="13"/>
        <v>2021</v>
      </c>
    </row>
    <row r="426" spans="1:3" x14ac:dyDescent="0.35">
      <c r="A426" s="7">
        <v>44323</v>
      </c>
      <c r="B426" s="43">
        <v>261</v>
      </c>
      <c r="C426">
        <f t="shared" si="13"/>
        <v>2021</v>
      </c>
    </row>
    <row r="427" spans="1:3" x14ac:dyDescent="0.35">
      <c r="A427" s="7">
        <v>44322</v>
      </c>
      <c r="B427" s="43">
        <v>272</v>
      </c>
      <c r="C427">
        <f t="shared" si="13"/>
        <v>2021</v>
      </c>
    </row>
    <row r="428" spans="1:3" x14ac:dyDescent="0.35">
      <c r="A428" s="7">
        <v>44321</v>
      </c>
      <c r="B428" s="43">
        <v>276</v>
      </c>
      <c r="C428">
        <f t="shared" si="13"/>
        <v>2021</v>
      </c>
    </row>
    <row r="429" spans="1:3" x14ac:dyDescent="0.35">
      <c r="A429" s="7">
        <v>44320</v>
      </c>
      <c r="B429" s="43">
        <v>277</v>
      </c>
      <c r="C429">
        <f t="shared" si="13"/>
        <v>2021</v>
      </c>
    </row>
    <row r="430" spans="1:3" x14ac:dyDescent="0.35">
      <c r="A430" s="7">
        <v>44319</v>
      </c>
      <c r="B430" s="43">
        <v>277</v>
      </c>
      <c r="C430">
        <f t="shared" si="13"/>
        <v>2021</v>
      </c>
    </row>
    <row r="431" spans="1:3" x14ac:dyDescent="0.35">
      <c r="A431" s="7">
        <v>44316</v>
      </c>
      <c r="B431" s="43">
        <v>277</v>
      </c>
      <c r="C431">
        <f t="shared" si="13"/>
        <v>2021</v>
      </c>
    </row>
    <row r="432" spans="1:3" x14ac:dyDescent="0.35">
      <c r="A432" s="7">
        <v>44315</v>
      </c>
      <c r="B432" s="43">
        <v>277</v>
      </c>
      <c r="C432">
        <f t="shared" si="13"/>
        <v>2021</v>
      </c>
    </row>
    <row r="433" spans="1:3" x14ac:dyDescent="0.35">
      <c r="A433" s="7">
        <v>44314</v>
      </c>
      <c r="B433" s="43">
        <v>281</v>
      </c>
      <c r="C433">
        <f t="shared" si="13"/>
        <v>2021</v>
      </c>
    </row>
    <row r="434" spans="1:3" x14ac:dyDescent="0.35">
      <c r="A434" s="7">
        <v>44313</v>
      </c>
      <c r="B434" s="43">
        <v>282</v>
      </c>
      <c r="C434">
        <f t="shared" si="13"/>
        <v>2021</v>
      </c>
    </row>
    <row r="435" spans="1:3" x14ac:dyDescent="0.35">
      <c r="A435" s="7">
        <v>44312</v>
      </c>
      <c r="B435" s="43">
        <v>283</v>
      </c>
      <c r="C435">
        <f t="shared" si="13"/>
        <v>2021</v>
      </c>
    </row>
    <row r="436" spans="1:3" x14ac:dyDescent="0.35">
      <c r="A436" s="7">
        <v>44309</v>
      </c>
      <c r="B436" s="43">
        <v>283</v>
      </c>
      <c r="C436">
        <f t="shared" si="13"/>
        <v>2021</v>
      </c>
    </row>
    <row r="437" spans="1:3" x14ac:dyDescent="0.35">
      <c r="A437" s="7">
        <v>44308</v>
      </c>
      <c r="B437" s="43">
        <v>287</v>
      </c>
      <c r="C437">
        <f t="shared" si="13"/>
        <v>2021</v>
      </c>
    </row>
    <row r="438" spans="1:3" x14ac:dyDescent="0.35">
      <c r="A438" s="7">
        <v>44307</v>
      </c>
      <c r="B438" s="43">
        <v>286</v>
      </c>
      <c r="C438">
        <f t="shared" si="13"/>
        <v>2021</v>
      </c>
    </row>
    <row r="439" spans="1:3" x14ac:dyDescent="0.35">
      <c r="A439" s="7">
        <v>44306</v>
      </c>
      <c r="B439" s="43">
        <v>286</v>
      </c>
      <c r="C439">
        <f t="shared" si="13"/>
        <v>2021</v>
      </c>
    </row>
    <row r="440" spans="1:3" x14ac:dyDescent="0.35">
      <c r="A440" s="7">
        <v>44305</v>
      </c>
      <c r="B440" s="43">
        <v>281</v>
      </c>
      <c r="C440">
        <f t="shared" si="13"/>
        <v>2021</v>
      </c>
    </row>
    <row r="441" spans="1:3" x14ac:dyDescent="0.35">
      <c r="A441" s="7">
        <v>44302</v>
      </c>
      <c r="B441" s="43">
        <v>285</v>
      </c>
      <c r="C441">
        <f t="shared" si="13"/>
        <v>2021</v>
      </c>
    </row>
    <row r="442" spans="1:3" x14ac:dyDescent="0.35">
      <c r="A442" s="7">
        <v>44301</v>
      </c>
      <c r="B442" s="43">
        <v>290</v>
      </c>
      <c r="C442">
        <f t="shared" si="13"/>
        <v>2021</v>
      </c>
    </row>
    <row r="443" spans="1:3" x14ac:dyDescent="0.35">
      <c r="A443" s="7">
        <v>44300</v>
      </c>
      <c r="B443" s="43">
        <v>291</v>
      </c>
      <c r="C443">
        <f t="shared" si="13"/>
        <v>2021</v>
      </c>
    </row>
    <row r="444" spans="1:3" x14ac:dyDescent="0.35">
      <c r="A444" s="7">
        <v>44299</v>
      </c>
      <c r="B444" s="43">
        <v>296</v>
      </c>
      <c r="C444">
        <f t="shared" si="13"/>
        <v>2021</v>
      </c>
    </row>
    <row r="445" spans="1:3" x14ac:dyDescent="0.35">
      <c r="A445" s="7">
        <v>44298</v>
      </c>
      <c r="B445" s="43">
        <v>292</v>
      </c>
      <c r="C445">
        <f t="shared" si="13"/>
        <v>2021</v>
      </c>
    </row>
    <row r="446" spans="1:3" x14ac:dyDescent="0.35">
      <c r="A446" s="7">
        <v>44295</v>
      </c>
      <c r="B446" s="43">
        <v>289</v>
      </c>
      <c r="C446">
        <f t="shared" si="13"/>
        <v>2021</v>
      </c>
    </row>
    <row r="447" spans="1:3" x14ac:dyDescent="0.35">
      <c r="A447" s="7">
        <v>44294</v>
      </c>
      <c r="B447" s="43">
        <v>289</v>
      </c>
      <c r="C447">
        <f t="shared" si="13"/>
        <v>2021</v>
      </c>
    </row>
    <row r="448" spans="1:3" x14ac:dyDescent="0.35">
      <c r="A448" s="7">
        <v>44293</v>
      </c>
      <c r="B448" s="43">
        <v>286</v>
      </c>
      <c r="C448">
        <f t="shared" si="13"/>
        <v>2021</v>
      </c>
    </row>
    <row r="449" spans="1:3" x14ac:dyDescent="0.35">
      <c r="A449" s="7">
        <v>44292</v>
      </c>
      <c r="B449" s="43">
        <v>288</v>
      </c>
      <c r="C449">
        <f t="shared" si="13"/>
        <v>2021</v>
      </c>
    </row>
    <row r="450" spans="1:3" x14ac:dyDescent="0.35">
      <c r="A450" s="7">
        <v>44291</v>
      </c>
      <c r="B450" s="43">
        <v>289</v>
      </c>
      <c r="C450">
        <f t="shared" si="13"/>
        <v>2021</v>
      </c>
    </row>
    <row r="451" spans="1:3" x14ac:dyDescent="0.35">
      <c r="A451" s="7">
        <v>44287</v>
      </c>
      <c r="B451" s="43">
        <v>292</v>
      </c>
      <c r="C451">
        <f t="shared" ref="C451:C514" si="14">YEAR(A451)</f>
        <v>2021</v>
      </c>
    </row>
    <row r="452" spans="1:3" x14ac:dyDescent="0.35">
      <c r="A452" s="7">
        <v>44286</v>
      </c>
      <c r="B452" s="43">
        <v>290</v>
      </c>
      <c r="C452">
        <f t="shared" si="14"/>
        <v>2021</v>
      </c>
    </row>
    <row r="453" spans="1:3" x14ac:dyDescent="0.35">
      <c r="A453" s="7">
        <v>44285</v>
      </c>
      <c r="B453" s="43">
        <v>299</v>
      </c>
      <c r="C453">
        <f t="shared" si="14"/>
        <v>2021</v>
      </c>
    </row>
    <row r="454" spans="1:3" x14ac:dyDescent="0.35">
      <c r="A454" s="7">
        <v>44284</v>
      </c>
      <c r="B454" s="43">
        <v>295</v>
      </c>
      <c r="C454">
        <f t="shared" si="14"/>
        <v>2021</v>
      </c>
    </row>
    <row r="455" spans="1:3" x14ac:dyDescent="0.35">
      <c r="A455" s="7">
        <v>44281</v>
      </c>
      <c r="B455" s="43">
        <v>299</v>
      </c>
      <c r="C455">
        <f t="shared" si="14"/>
        <v>2021</v>
      </c>
    </row>
    <row r="456" spans="1:3" x14ac:dyDescent="0.35">
      <c r="A456" s="7">
        <v>44280</v>
      </c>
      <c r="B456" s="43">
        <v>301</v>
      </c>
      <c r="C456">
        <f t="shared" si="14"/>
        <v>2021</v>
      </c>
    </row>
    <row r="457" spans="1:3" x14ac:dyDescent="0.35">
      <c r="A457" s="7">
        <v>44279</v>
      </c>
      <c r="B457" s="43">
        <v>294</v>
      </c>
      <c r="C457">
        <f t="shared" si="14"/>
        <v>2021</v>
      </c>
    </row>
    <row r="458" spans="1:3" x14ac:dyDescent="0.35">
      <c r="A458" s="7">
        <v>44278</v>
      </c>
      <c r="B458" s="43">
        <v>289</v>
      </c>
      <c r="C458">
        <f t="shared" si="14"/>
        <v>2021</v>
      </c>
    </row>
    <row r="459" spans="1:3" x14ac:dyDescent="0.35">
      <c r="A459" s="7">
        <v>44277</v>
      </c>
      <c r="B459" s="43">
        <v>289</v>
      </c>
      <c r="C459">
        <f t="shared" si="14"/>
        <v>2021</v>
      </c>
    </row>
    <row r="460" spans="1:3" x14ac:dyDescent="0.35">
      <c r="A460" s="7">
        <v>44274</v>
      </c>
      <c r="B460" s="43">
        <v>288</v>
      </c>
      <c r="C460">
        <f t="shared" si="14"/>
        <v>2021</v>
      </c>
    </row>
    <row r="461" spans="1:3" x14ac:dyDescent="0.35">
      <c r="A461" s="7">
        <v>44273</v>
      </c>
      <c r="B461" s="43">
        <v>289</v>
      </c>
      <c r="C461">
        <f t="shared" si="14"/>
        <v>2021</v>
      </c>
    </row>
    <row r="462" spans="1:3" x14ac:dyDescent="0.35">
      <c r="A462" s="7">
        <v>44272</v>
      </c>
      <c r="B462" s="43">
        <v>294</v>
      </c>
      <c r="C462">
        <f t="shared" si="14"/>
        <v>2021</v>
      </c>
    </row>
    <row r="463" spans="1:3" x14ac:dyDescent="0.35">
      <c r="A463" s="7">
        <v>44271</v>
      </c>
      <c r="B463" s="43">
        <v>295</v>
      </c>
      <c r="C463">
        <f t="shared" si="14"/>
        <v>2021</v>
      </c>
    </row>
    <row r="464" spans="1:3" x14ac:dyDescent="0.35">
      <c r="A464" s="7">
        <v>44270</v>
      </c>
      <c r="B464" s="43">
        <v>302</v>
      </c>
      <c r="C464">
        <f t="shared" si="14"/>
        <v>2021</v>
      </c>
    </row>
    <row r="465" spans="1:3" x14ac:dyDescent="0.35">
      <c r="A465" s="7">
        <v>44267</v>
      </c>
      <c r="B465" s="43">
        <v>302</v>
      </c>
      <c r="C465">
        <f t="shared" si="14"/>
        <v>2021</v>
      </c>
    </row>
    <row r="466" spans="1:3" x14ac:dyDescent="0.35">
      <c r="A466" s="7">
        <v>44266</v>
      </c>
      <c r="B466" s="43">
        <v>310</v>
      </c>
      <c r="C466">
        <f t="shared" si="14"/>
        <v>2021</v>
      </c>
    </row>
    <row r="467" spans="1:3" x14ac:dyDescent="0.35">
      <c r="A467" s="7">
        <v>44265</v>
      </c>
      <c r="B467" s="43">
        <v>320</v>
      </c>
      <c r="C467">
        <f t="shared" si="14"/>
        <v>2021</v>
      </c>
    </row>
    <row r="468" spans="1:3" x14ac:dyDescent="0.35">
      <c r="A468" s="7">
        <v>44264</v>
      </c>
      <c r="B468" s="43">
        <v>324</v>
      </c>
      <c r="C468">
        <f t="shared" si="14"/>
        <v>2021</v>
      </c>
    </row>
    <row r="469" spans="1:3" x14ac:dyDescent="0.35">
      <c r="A469" s="7">
        <v>44263</v>
      </c>
      <c r="B469" s="43">
        <v>323</v>
      </c>
      <c r="C469">
        <f t="shared" si="14"/>
        <v>2021</v>
      </c>
    </row>
    <row r="470" spans="1:3" x14ac:dyDescent="0.35">
      <c r="A470" s="7">
        <v>44260</v>
      </c>
      <c r="B470" s="43">
        <v>306</v>
      </c>
      <c r="C470">
        <f t="shared" si="14"/>
        <v>2021</v>
      </c>
    </row>
    <row r="471" spans="1:3" x14ac:dyDescent="0.35">
      <c r="A471" s="7">
        <v>44259</v>
      </c>
      <c r="B471" s="43">
        <v>299</v>
      </c>
      <c r="C471">
        <f t="shared" si="14"/>
        <v>2021</v>
      </c>
    </row>
    <row r="472" spans="1:3" x14ac:dyDescent="0.35">
      <c r="A472" s="7">
        <v>44258</v>
      </c>
      <c r="B472" s="43">
        <v>304</v>
      </c>
      <c r="C472">
        <f t="shared" si="14"/>
        <v>2021</v>
      </c>
    </row>
    <row r="473" spans="1:3" x14ac:dyDescent="0.35">
      <c r="A473" s="7">
        <v>44257</v>
      </c>
      <c r="B473" s="43">
        <v>303</v>
      </c>
      <c r="C473">
        <f t="shared" si="14"/>
        <v>2021</v>
      </c>
    </row>
    <row r="474" spans="1:3" x14ac:dyDescent="0.35">
      <c r="A474" s="7">
        <v>44256</v>
      </c>
      <c r="B474" s="43">
        <v>296</v>
      </c>
      <c r="C474">
        <f t="shared" si="14"/>
        <v>2021</v>
      </c>
    </row>
    <row r="475" spans="1:3" x14ac:dyDescent="0.35">
      <c r="A475" s="7">
        <v>44253</v>
      </c>
      <c r="B475" s="43">
        <v>299</v>
      </c>
      <c r="C475">
        <f t="shared" si="14"/>
        <v>2021</v>
      </c>
    </row>
    <row r="476" spans="1:3" x14ac:dyDescent="0.35">
      <c r="A476" s="7">
        <v>44252</v>
      </c>
      <c r="B476" s="43">
        <v>285</v>
      </c>
      <c r="C476">
        <f t="shared" si="14"/>
        <v>2021</v>
      </c>
    </row>
    <row r="477" spans="1:3" x14ac:dyDescent="0.35">
      <c r="A477" s="7">
        <v>44251</v>
      </c>
      <c r="B477" s="43">
        <v>280</v>
      </c>
      <c r="C477">
        <f t="shared" si="14"/>
        <v>2021</v>
      </c>
    </row>
    <row r="478" spans="1:3" x14ac:dyDescent="0.35">
      <c r="A478" s="7">
        <v>44250</v>
      </c>
      <c r="B478" s="43">
        <v>288</v>
      </c>
      <c r="C478">
        <f t="shared" si="14"/>
        <v>2021</v>
      </c>
    </row>
    <row r="479" spans="1:3" x14ac:dyDescent="0.35">
      <c r="A479" s="7">
        <v>44249</v>
      </c>
      <c r="B479" s="43">
        <v>292</v>
      </c>
      <c r="C479">
        <f t="shared" si="14"/>
        <v>2021</v>
      </c>
    </row>
    <row r="480" spans="1:3" x14ac:dyDescent="0.35">
      <c r="A480" s="7">
        <v>44246</v>
      </c>
      <c r="B480" s="43">
        <v>274</v>
      </c>
      <c r="C480">
        <f t="shared" si="14"/>
        <v>2021</v>
      </c>
    </row>
    <row r="481" spans="1:3" x14ac:dyDescent="0.35">
      <c r="A481" s="7">
        <v>44245</v>
      </c>
      <c r="B481" s="43">
        <v>279</v>
      </c>
      <c r="C481">
        <f t="shared" si="14"/>
        <v>2021</v>
      </c>
    </row>
    <row r="482" spans="1:3" x14ac:dyDescent="0.35">
      <c r="A482" s="7">
        <v>44244</v>
      </c>
      <c r="B482" s="43">
        <v>271</v>
      </c>
      <c r="C482">
        <f t="shared" si="14"/>
        <v>2021</v>
      </c>
    </row>
    <row r="483" spans="1:3" x14ac:dyDescent="0.35">
      <c r="A483" s="7">
        <v>44243</v>
      </c>
      <c r="B483" s="43">
        <v>270</v>
      </c>
      <c r="C483">
        <f t="shared" si="14"/>
        <v>2021</v>
      </c>
    </row>
    <row r="484" spans="1:3" x14ac:dyDescent="0.35">
      <c r="A484" s="7">
        <v>44242</v>
      </c>
      <c r="B484" s="43">
        <v>269</v>
      </c>
      <c r="C484">
        <f t="shared" si="14"/>
        <v>2021</v>
      </c>
    </row>
    <row r="485" spans="1:3" x14ac:dyDescent="0.35">
      <c r="A485" s="7">
        <v>44239</v>
      </c>
      <c r="B485" s="43">
        <v>269</v>
      </c>
      <c r="C485">
        <f t="shared" si="14"/>
        <v>2021</v>
      </c>
    </row>
    <row r="486" spans="1:3" x14ac:dyDescent="0.35">
      <c r="A486" s="7">
        <v>44238</v>
      </c>
      <c r="B486" s="43">
        <v>271</v>
      </c>
      <c r="C486">
        <f t="shared" si="14"/>
        <v>2021</v>
      </c>
    </row>
    <row r="487" spans="1:3" x14ac:dyDescent="0.35">
      <c r="A487" s="7">
        <v>44237</v>
      </c>
      <c r="B487" s="43">
        <v>273</v>
      </c>
      <c r="C487">
        <f t="shared" si="14"/>
        <v>2021</v>
      </c>
    </row>
    <row r="488" spans="1:3" x14ac:dyDescent="0.35">
      <c r="A488" s="7">
        <v>44236</v>
      </c>
      <c r="B488" s="43">
        <v>270</v>
      </c>
      <c r="C488">
        <f t="shared" si="14"/>
        <v>2021</v>
      </c>
    </row>
    <row r="489" spans="1:3" x14ac:dyDescent="0.35">
      <c r="A489" s="7">
        <v>44235</v>
      </c>
      <c r="B489" s="43">
        <v>268</v>
      </c>
      <c r="C489">
        <f t="shared" si="14"/>
        <v>2021</v>
      </c>
    </row>
    <row r="490" spans="1:3" x14ac:dyDescent="0.35">
      <c r="A490" s="7">
        <v>44232</v>
      </c>
      <c r="B490" s="43">
        <v>266</v>
      </c>
      <c r="C490">
        <f t="shared" si="14"/>
        <v>2021</v>
      </c>
    </row>
    <row r="491" spans="1:3" x14ac:dyDescent="0.35">
      <c r="A491" s="7">
        <v>44231</v>
      </c>
      <c r="B491" s="43">
        <v>270</v>
      </c>
      <c r="C491">
        <f t="shared" si="14"/>
        <v>2021</v>
      </c>
    </row>
    <row r="492" spans="1:3" x14ac:dyDescent="0.35">
      <c r="A492" s="7">
        <v>44230</v>
      </c>
      <c r="B492" s="43">
        <v>276</v>
      </c>
      <c r="C492">
        <f t="shared" si="14"/>
        <v>2021</v>
      </c>
    </row>
    <row r="493" spans="1:3" x14ac:dyDescent="0.35">
      <c r="A493" s="7">
        <v>44229</v>
      </c>
      <c r="B493" s="43">
        <v>276</v>
      </c>
      <c r="C493">
        <f t="shared" si="14"/>
        <v>2021</v>
      </c>
    </row>
    <row r="494" spans="1:3" x14ac:dyDescent="0.35">
      <c r="A494" s="7">
        <v>44228</v>
      </c>
      <c r="B494" s="43">
        <v>283</v>
      </c>
      <c r="C494">
        <f t="shared" si="14"/>
        <v>2021</v>
      </c>
    </row>
    <row r="495" spans="1:3" x14ac:dyDescent="0.35">
      <c r="A495" s="7">
        <v>44225</v>
      </c>
      <c r="B495" s="43">
        <v>288</v>
      </c>
      <c r="C495">
        <f t="shared" si="14"/>
        <v>2021</v>
      </c>
    </row>
    <row r="496" spans="1:3" x14ac:dyDescent="0.35">
      <c r="A496" s="7">
        <v>44224</v>
      </c>
      <c r="B496" s="43">
        <v>287</v>
      </c>
      <c r="C496">
        <f t="shared" si="14"/>
        <v>2021</v>
      </c>
    </row>
    <row r="497" spans="1:3" x14ac:dyDescent="0.35">
      <c r="A497" s="7">
        <v>44223</v>
      </c>
      <c r="B497" s="43">
        <v>294</v>
      </c>
      <c r="C497">
        <f t="shared" si="14"/>
        <v>2021</v>
      </c>
    </row>
    <row r="498" spans="1:3" x14ac:dyDescent="0.35">
      <c r="A498" s="7">
        <v>44222</v>
      </c>
      <c r="B498" s="43">
        <v>290</v>
      </c>
      <c r="C498">
        <f t="shared" si="14"/>
        <v>2021</v>
      </c>
    </row>
    <row r="499" spans="1:3" x14ac:dyDescent="0.35">
      <c r="A499" s="7">
        <v>44221</v>
      </c>
      <c r="B499" s="43">
        <v>291</v>
      </c>
      <c r="C499">
        <f t="shared" si="14"/>
        <v>2021</v>
      </c>
    </row>
    <row r="500" spans="1:3" x14ac:dyDescent="0.35">
      <c r="A500" s="7">
        <v>44218</v>
      </c>
      <c r="B500" s="43">
        <v>287</v>
      </c>
      <c r="C500">
        <f t="shared" si="14"/>
        <v>2021</v>
      </c>
    </row>
    <row r="501" spans="1:3" x14ac:dyDescent="0.35">
      <c r="A501" s="7">
        <v>44217</v>
      </c>
      <c r="B501" s="43">
        <v>283</v>
      </c>
      <c r="C501">
        <f t="shared" si="14"/>
        <v>2021</v>
      </c>
    </row>
    <row r="502" spans="1:3" x14ac:dyDescent="0.35">
      <c r="A502" s="7">
        <v>44216</v>
      </c>
      <c r="B502" s="43">
        <v>283</v>
      </c>
      <c r="C502">
        <f t="shared" si="14"/>
        <v>2021</v>
      </c>
    </row>
    <row r="503" spans="1:3" x14ac:dyDescent="0.35">
      <c r="A503" s="7">
        <v>44215</v>
      </c>
      <c r="B503" s="43">
        <v>283</v>
      </c>
      <c r="C503">
        <f t="shared" si="14"/>
        <v>2021</v>
      </c>
    </row>
    <row r="504" spans="1:3" x14ac:dyDescent="0.35">
      <c r="A504" s="7">
        <v>44214</v>
      </c>
      <c r="B504" s="43">
        <v>280</v>
      </c>
      <c r="C504">
        <f t="shared" si="14"/>
        <v>2021</v>
      </c>
    </row>
    <row r="505" spans="1:3" x14ac:dyDescent="0.35">
      <c r="A505" s="7">
        <v>44211</v>
      </c>
      <c r="B505" s="43">
        <v>280</v>
      </c>
      <c r="C505">
        <f t="shared" si="14"/>
        <v>2021</v>
      </c>
    </row>
    <row r="506" spans="1:3" x14ac:dyDescent="0.35">
      <c r="A506" s="7">
        <v>44210</v>
      </c>
      <c r="B506" s="43">
        <v>272</v>
      </c>
      <c r="C506">
        <f t="shared" si="14"/>
        <v>2021</v>
      </c>
    </row>
    <row r="507" spans="1:3" x14ac:dyDescent="0.35">
      <c r="A507" s="7">
        <v>44209</v>
      </c>
      <c r="B507" s="43">
        <v>273</v>
      </c>
      <c r="C507">
        <f t="shared" si="14"/>
        <v>2021</v>
      </c>
    </row>
    <row r="508" spans="1:3" x14ac:dyDescent="0.35">
      <c r="A508" s="7">
        <v>44208</v>
      </c>
      <c r="B508" s="43">
        <v>273</v>
      </c>
      <c r="C508">
        <f t="shared" si="14"/>
        <v>2021</v>
      </c>
    </row>
    <row r="509" spans="1:3" x14ac:dyDescent="0.35">
      <c r="A509" s="7">
        <v>44207</v>
      </c>
      <c r="B509" s="43">
        <v>270</v>
      </c>
      <c r="C509">
        <f t="shared" si="14"/>
        <v>2021</v>
      </c>
    </row>
    <row r="510" spans="1:3" x14ac:dyDescent="0.35">
      <c r="A510" s="7">
        <v>44204</v>
      </c>
      <c r="B510" s="43">
        <v>265</v>
      </c>
      <c r="C510">
        <f t="shared" si="14"/>
        <v>2021</v>
      </c>
    </row>
    <row r="511" spans="1:3" x14ac:dyDescent="0.35">
      <c r="A511" s="7">
        <v>44203</v>
      </c>
      <c r="B511" s="43">
        <v>268</v>
      </c>
      <c r="C511">
        <f t="shared" si="14"/>
        <v>2021</v>
      </c>
    </row>
    <row r="512" spans="1:3" x14ac:dyDescent="0.35">
      <c r="A512" s="7">
        <v>44202</v>
      </c>
      <c r="B512" s="43">
        <v>266</v>
      </c>
      <c r="C512">
        <f t="shared" si="14"/>
        <v>2021</v>
      </c>
    </row>
    <row r="513" spans="1:3" x14ac:dyDescent="0.35">
      <c r="A513" s="7">
        <v>44201</v>
      </c>
      <c r="B513" s="43">
        <v>264</v>
      </c>
      <c r="C513">
        <f t="shared" si="14"/>
        <v>2021</v>
      </c>
    </row>
    <row r="514" spans="1:3" x14ac:dyDescent="0.35">
      <c r="A514" s="7">
        <v>44200</v>
      </c>
      <c r="B514" s="43">
        <v>261</v>
      </c>
      <c r="C514">
        <f t="shared" si="14"/>
        <v>2021</v>
      </c>
    </row>
    <row r="515" spans="1:3" x14ac:dyDescent="0.35">
      <c r="A515" s="7">
        <v>44196</v>
      </c>
      <c r="B515" s="43">
        <v>260</v>
      </c>
      <c r="C515">
        <f t="shared" ref="C515:C578" si="15">YEAR(A515)</f>
        <v>2020</v>
      </c>
    </row>
    <row r="516" spans="1:3" x14ac:dyDescent="0.35">
      <c r="A516" s="7">
        <v>44195</v>
      </c>
      <c r="B516" s="43">
        <v>259</v>
      </c>
      <c r="C516">
        <f t="shared" si="15"/>
        <v>2020</v>
      </c>
    </row>
    <row r="517" spans="1:3" x14ac:dyDescent="0.35">
      <c r="A517" s="7">
        <v>44194</v>
      </c>
      <c r="B517" s="43">
        <v>259</v>
      </c>
      <c r="C517">
        <f t="shared" si="15"/>
        <v>2020</v>
      </c>
    </row>
    <row r="518" spans="1:3" x14ac:dyDescent="0.35">
      <c r="A518" s="7">
        <v>44193</v>
      </c>
      <c r="B518" s="43">
        <v>261</v>
      </c>
      <c r="C518">
        <f t="shared" si="15"/>
        <v>2020</v>
      </c>
    </row>
    <row r="519" spans="1:3" x14ac:dyDescent="0.35">
      <c r="A519" s="7">
        <v>44189</v>
      </c>
      <c r="B519" s="43">
        <v>261</v>
      </c>
      <c r="C519">
        <f t="shared" si="15"/>
        <v>2020</v>
      </c>
    </row>
    <row r="520" spans="1:3" x14ac:dyDescent="0.35">
      <c r="A520" s="7">
        <v>44188</v>
      </c>
      <c r="B520" s="43">
        <v>259</v>
      </c>
      <c r="C520">
        <f t="shared" si="15"/>
        <v>2020</v>
      </c>
    </row>
    <row r="521" spans="1:3" x14ac:dyDescent="0.35">
      <c r="A521" s="7">
        <v>44187</v>
      </c>
      <c r="B521" s="43">
        <v>263</v>
      </c>
      <c r="C521">
        <f t="shared" si="15"/>
        <v>2020</v>
      </c>
    </row>
    <row r="522" spans="1:3" x14ac:dyDescent="0.35">
      <c r="A522" s="7">
        <v>44186</v>
      </c>
      <c r="B522" s="43">
        <v>261</v>
      </c>
      <c r="C522">
        <f t="shared" si="15"/>
        <v>2020</v>
      </c>
    </row>
    <row r="523" spans="1:3" x14ac:dyDescent="0.35">
      <c r="A523" s="7">
        <v>44183</v>
      </c>
      <c r="B523" s="43">
        <v>256</v>
      </c>
      <c r="C523">
        <f t="shared" si="15"/>
        <v>2020</v>
      </c>
    </row>
    <row r="524" spans="1:3" x14ac:dyDescent="0.35">
      <c r="A524" s="7">
        <v>44182</v>
      </c>
      <c r="B524" s="43">
        <v>258</v>
      </c>
      <c r="C524">
        <f t="shared" si="15"/>
        <v>2020</v>
      </c>
    </row>
    <row r="525" spans="1:3" x14ac:dyDescent="0.35">
      <c r="A525" s="7">
        <v>44181</v>
      </c>
      <c r="B525" s="43">
        <v>260</v>
      </c>
      <c r="C525">
        <f t="shared" si="15"/>
        <v>2020</v>
      </c>
    </row>
    <row r="526" spans="1:3" x14ac:dyDescent="0.35">
      <c r="A526" s="7">
        <v>44180</v>
      </c>
      <c r="B526" s="43">
        <v>263</v>
      </c>
      <c r="C526">
        <f t="shared" si="15"/>
        <v>2020</v>
      </c>
    </row>
    <row r="527" spans="1:3" x14ac:dyDescent="0.35">
      <c r="A527" s="7">
        <v>44179</v>
      </c>
      <c r="B527" s="43">
        <v>268</v>
      </c>
      <c r="C527">
        <f t="shared" si="15"/>
        <v>2020</v>
      </c>
    </row>
    <row r="528" spans="1:3" x14ac:dyDescent="0.35">
      <c r="A528" s="7">
        <v>44176</v>
      </c>
      <c r="B528" s="43">
        <v>269</v>
      </c>
      <c r="C528">
        <f t="shared" si="15"/>
        <v>2020</v>
      </c>
    </row>
    <row r="529" spans="1:3" x14ac:dyDescent="0.35">
      <c r="A529" s="7">
        <v>44175</v>
      </c>
      <c r="B529" s="43">
        <v>268</v>
      </c>
      <c r="C529">
        <f t="shared" si="15"/>
        <v>2020</v>
      </c>
    </row>
    <row r="530" spans="1:3" x14ac:dyDescent="0.35">
      <c r="A530" s="7">
        <v>44174</v>
      </c>
      <c r="B530" s="43">
        <v>267</v>
      </c>
      <c r="C530">
        <f t="shared" si="15"/>
        <v>2020</v>
      </c>
    </row>
    <row r="531" spans="1:3" x14ac:dyDescent="0.35">
      <c r="A531" s="7">
        <v>44173</v>
      </c>
      <c r="B531" s="43">
        <v>270</v>
      </c>
      <c r="C531">
        <f t="shared" si="15"/>
        <v>2020</v>
      </c>
    </row>
    <row r="532" spans="1:3" x14ac:dyDescent="0.35">
      <c r="A532" s="7">
        <v>44172</v>
      </c>
      <c r="B532" s="43">
        <v>266</v>
      </c>
      <c r="C532">
        <f t="shared" si="15"/>
        <v>2020</v>
      </c>
    </row>
    <row r="533" spans="1:3" x14ac:dyDescent="0.35">
      <c r="A533" s="7">
        <v>44169</v>
      </c>
      <c r="B533" s="43">
        <v>262</v>
      </c>
      <c r="C533">
        <f t="shared" si="15"/>
        <v>2020</v>
      </c>
    </row>
    <row r="534" spans="1:3" x14ac:dyDescent="0.35">
      <c r="A534" s="7">
        <v>44168</v>
      </c>
      <c r="B534" s="43">
        <v>267</v>
      </c>
      <c r="C534">
        <f t="shared" si="15"/>
        <v>2020</v>
      </c>
    </row>
    <row r="535" spans="1:3" x14ac:dyDescent="0.35">
      <c r="A535" s="7">
        <v>44167</v>
      </c>
      <c r="B535" s="43">
        <v>266</v>
      </c>
      <c r="C535">
        <f t="shared" si="15"/>
        <v>2020</v>
      </c>
    </row>
    <row r="536" spans="1:3" x14ac:dyDescent="0.35">
      <c r="A536" s="7">
        <v>44166</v>
      </c>
      <c r="B536" s="43">
        <v>264</v>
      </c>
      <c r="C536">
        <f t="shared" si="15"/>
        <v>2020</v>
      </c>
    </row>
    <row r="537" spans="1:3" x14ac:dyDescent="0.35">
      <c r="A537" s="7">
        <v>44165</v>
      </c>
      <c r="B537" s="43">
        <v>275</v>
      </c>
      <c r="C537">
        <f t="shared" si="15"/>
        <v>2020</v>
      </c>
    </row>
    <row r="538" spans="1:3" x14ac:dyDescent="0.35">
      <c r="A538" s="7">
        <v>44164</v>
      </c>
      <c r="B538" s="43">
        <v>259</v>
      </c>
      <c r="C538">
        <f t="shared" si="15"/>
        <v>2020</v>
      </c>
    </row>
    <row r="539" spans="1:3" x14ac:dyDescent="0.35">
      <c r="A539" s="7">
        <v>44163</v>
      </c>
      <c r="B539" s="43">
        <v>261</v>
      </c>
      <c r="C539">
        <f t="shared" si="15"/>
        <v>2020</v>
      </c>
    </row>
    <row r="540" spans="1:3" x14ac:dyDescent="0.35">
      <c r="A540" s="7">
        <v>44162</v>
      </c>
      <c r="B540" s="43">
        <v>275</v>
      </c>
      <c r="C540">
        <f t="shared" si="15"/>
        <v>2020</v>
      </c>
    </row>
    <row r="541" spans="1:3" x14ac:dyDescent="0.35">
      <c r="A541" s="7">
        <v>44161</v>
      </c>
      <c r="B541" s="43">
        <v>271</v>
      </c>
      <c r="C541">
        <f t="shared" si="15"/>
        <v>2020</v>
      </c>
    </row>
    <row r="542" spans="1:3" x14ac:dyDescent="0.35">
      <c r="A542" s="7">
        <v>44160</v>
      </c>
      <c r="B542" s="43">
        <v>271</v>
      </c>
      <c r="C542">
        <f t="shared" si="15"/>
        <v>2020</v>
      </c>
    </row>
    <row r="543" spans="1:3" x14ac:dyDescent="0.35">
      <c r="A543" s="7">
        <v>44159</v>
      </c>
      <c r="B543" s="43">
        <v>272</v>
      </c>
      <c r="C543">
        <f t="shared" si="15"/>
        <v>2020</v>
      </c>
    </row>
    <row r="544" spans="1:3" x14ac:dyDescent="0.35">
      <c r="A544" s="7">
        <v>44158</v>
      </c>
      <c r="B544" s="43">
        <v>275</v>
      </c>
      <c r="C544">
        <f t="shared" si="15"/>
        <v>2020</v>
      </c>
    </row>
    <row r="545" spans="1:3" x14ac:dyDescent="0.35">
      <c r="A545" s="7">
        <v>44157</v>
      </c>
      <c r="B545" s="43">
        <v>263</v>
      </c>
      <c r="C545">
        <f t="shared" si="15"/>
        <v>2020</v>
      </c>
    </row>
    <row r="546" spans="1:3" x14ac:dyDescent="0.35">
      <c r="A546" s="7">
        <v>44156</v>
      </c>
      <c r="B546" s="43">
        <v>261</v>
      </c>
      <c r="C546">
        <f t="shared" si="15"/>
        <v>2020</v>
      </c>
    </row>
    <row r="547" spans="1:3" x14ac:dyDescent="0.35">
      <c r="A547" s="7">
        <v>44155</v>
      </c>
      <c r="B547" s="43">
        <v>276</v>
      </c>
      <c r="C547">
        <f t="shared" si="15"/>
        <v>2020</v>
      </c>
    </row>
    <row r="548" spans="1:3" x14ac:dyDescent="0.35">
      <c r="A548" s="7">
        <v>44154</v>
      </c>
      <c r="B548" s="43">
        <v>277</v>
      </c>
      <c r="C548">
        <f t="shared" si="15"/>
        <v>2020</v>
      </c>
    </row>
    <row r="549" spans="1:3" x14ac:dyDescent="0.35">
      <c r="A549" s="7">
        <v>44153</v>
      </c>
      <c r="B549" s="43">
        <v>275</v>
      </c>
      <c r="C549">
        <f t="shared" si="15"/>
        <v>2020</v>
      </c>
    </row>
    <row r="550" spans="1:3" x14ac:dyDescent="0.35">
      <c r="A550" s="7">
        <v>44152</v>
      </c>
      <c r="B550" s="43">
        <v>279</v>
      </c>
      <c r="C550">
        <f t="shared" si="15"/>
        <v>2020</v>
      </c>
    </row>
    <row r="551" spans="1:3" x14ac:dyDescent="0.35">
      <c r="A551" s="7">
        <v>44151</v>
      </c>
      <c r="B551" s="43">
        <v>276</v>
      </c>
      <c r="C551">
        <f t="shared" si="15"/>
        <v>2020</v>
      </c>
    </row>
    <row r="552" spans="1:3" x14ac:dyDescent="0.35">
      <c r="A552" s="7">
        <v>44148</v>
      </c>
      <c r="B552" s="43">
        <v>279</v>
      </c>
      <c r="C552">
        <f t="shared" si="15"/>
        <v>2020</v>
      </c>
    </row>
    <row r="553" spans="1:3" x14ac:dyDescent="0.35">
      <c r="A553" s="7">
        <v>44147</v>
      </c>
      <c r="B553" s="43">
        <v>279</v>
      </c>
      <c r="C553">
        <f t="shared" si="15"/>
        <v>2020</v>
      </c>
    </row>
    <row r="554" spans="1:3" x14ac:dyDescent="0.35">
      <c r="A554" s="7">
        <v>44146</v>
      </c>
      <c r="B554" s="43">
        <v>273</v>
      </c>
      <c r="C554">
        <f t="shared" si="15"/>
        <v>2020</v>
      </c>
    </row>
    <row r="555" spans="1:3" x14ac:dyDescent="0.35">
      <c r="A555" s="7">
        <v>44145</v>
      </c>
      <c r="B555" s="43">
        <v>273</v>
      </c>
      <c r="C555">
        <f t="shared" si="15"/>
        <v>2020</v>
      </c>
    </row>
    <row r="556" spans="1:3" x14ac:dyDescent="0.35">
      <c r="A556" s="7">
        <v>44144</v>
      </c>
      <c r="B556" s="43">
        <v>271</v>
      </c>
      <c r="C556">
        <f t="shared" si="15"/>
        <v>2020</v>
      </c>
    </row>
    <row r="557" spans="1:3" x14ac:dyDescent="0.35">
      <c r="A557" s="7">
        <v>44141</v>
      </c>
      <c r="B557" s="43">
        <v>289</v>
      </c>
      <c r="C557">
        <f t="shared" si="15"/>
        <v>2020</v>
      </c>
    </row>
    <row r="558" spans="1:3" x14ac:dyDescent="0.35">
      <c r="A558" s="7">
        <v>44140</v>
      </c>
      <c r="B558" s="43">
        <v>290</v>
      </c>
      <c r="C558">
        <f t="shared" si="15"/>
        <v>2020</v>
      </c>
    </row>
    <row r="559" spans="1:3" x14ac:dyDescent="0.35">
      <c r="A559" s="7">
        <v>44139</v>
      </c>
      <c r="B559" s="43">
        <v>296</v>
      </c>
      <c r="C559">
        <f t="shared" si="15"/>
        <v>2020</v>
      </c>
    </row>
    <row r="560" spans="1:3" x14ac:dyDescent="0.35">
      <c r="A560" s="7">
        <v>44138</v>
      </c>
      <c r="B560" s="43">
        <v>307</v>
      </c>
      <c r="C560">
        <f t="shared" si="15"/>
        <v>2020</v>
      </c>
    </row>
    <row r="561" spans="1:3" x14ac:dyDescent="0.35">
      <c r="A561" s="7">
        <v>44137</v>
      </c>
      <c r="B561" s="43">
        <v>317</v>
      </c>
      <c r="C561">
        <f t="shared" si="15"/>
        <v>2020</v>
      </c>
    </row>
    <row r="562" spans="1:3" x14ac:dyDescent="0.35">
      <c r="A562" s="7">
        <v>44134</v>
      </c>
      <c r="B562" s="43">
        <v>318</v>
      </c>
      <c r="C562">
        <f t="shared" si="15"/>
        <v>2020</v>
      </c>
    </row>
    <row r="563" spans="1:3" x14ac:dyDescent="0.35">
      <c r="A563" s="7">
        <v>44133</v>
      </c>
      <c r="B563" s="43">
        <v>319</v>
      </c>
      <c r="C563">
        <f t="shared" si="15"/>
        <v>2020</v>
      </c>
    </row>
    <row r="564" spans="1:3" x14ac:dyDescent="0.35">
      <c r="A564" s="7">
        <v>44132</v>
      </c>
      <c r="B564" s="43">
        <v>321</v>
      </c>
      <c r="C564">
        <f t="shared" si="15"/>
        <v>2020</v>
      </c>
    </row>
    <row r="565" spans="1:3" x14ac:dyDescent="0.35">
      <c r="A565" s="7">
        <v>44131</v>
      </c>
      <c r="B565" s="43">
        <v>315</v>
      </c>
      <c r="C565">
        <f t="shared" si="15"/>
        <v>2020</v>
      </c>
    </row>
    <row r="566" spans="1:3" x14ac:dyDescent="0.35">
      <c r="A566" s="7">
        <v>44130</v>
      </c>
      <c r="B566" s="43">
        <v>317</v>
      </c>
      <c r="C566">
        <f t="shared" si="15"/>
        <v>2020</v>
      </c>
    </row>
    <row r="567" spans="1:3" x14ac:dyDescent="0.35">
      <c r="A567" s="7">
        <v>44127</v>
      </c>
      <c r="B567" s="43">
        <v>310</v>
      </c>
      <c r="C567">
        <f t="shared" si="15"/>
        <v>2020</v>
      </c>
    </row>
    <row r="568" spans="1:3" x14ac:dyDescent="0.35">
      <c r="A568" s="7">
        <v>44126</v>
      </c>
      <c r="B568" s="43">
        <v>306</v>
      </c>
      <c r="C568">
        <f t="shared" si="15"/>
        <v>2020</v>
      </c>
    </row>
    <row r="569" spans="1:3" x14ac:dyDescent="0.35">
      <c r="A569" s="7">
        <v>44125</v>
      </c>
      <c r="B569" s="43">
        <v>306</v>
      </c>
      <c r="C569">
        <f t="shared" si="15"/>
        <v>2020</v>
      </c>
    </row>
    <row r="570" spans="1:3" x14ac:dyDescent="0.35">
      <c r="A570" s="7">
        <v>44124</v>
      </c>
      <c r="B570" s="43">
        <v>305</v>
      </c>
      <c r="C570">
        <f t="shared" si="15"/>
        <v>2020</v>
      </c>
    </row>
    <row r="571" spans="1:3" x14ac:dyDescent="0.35">
      <c r="A571" s="7">
        <v>44123</v>
      </c>
      <c r="B571" s="43">
        <v>306</v>
      </c>
      <c r="C571">
        <f t="shared" si="15"/>
        <v>2020</v>
      </c>
    </row>
    <row r="572" spans="1:3" x14ac:dyDescent="0.35">
      <c r="A572" s="7">
        <v>44120</v>
      </c>
      <c r="B572" s="43">
        <v>307</v>
      </c>
      <c r="C572">
        <f t="shared" si="15"/>
        <v>2020</v>
      </c>
    </row>
    <row r="573" spans="1:3" x14ac:dyDescent="0.35">
      <c r="A573" s="7">
        <v>44119</v>
      </c>
      <c r="B573" s="43">
        <v>310</v>
      </c>
      <c r="C573">
        <f t="shared" si="15"/>
        <v>2020</v>
      </c>
    </row>
    <row r="574" spans="1:3" x14ac:dyDescent="0.35">
      <c r="A574" s="7">
        <v>44118</v>
      </c>
      <c r="B574" s="43">
        <v>309</v>
      </c>
      <c r="C574">
        <f t="shared" si="15"/>
        <v>2020</v>
      </c>
    </row>
    <row r="575" spans="1:3" x14ac:dyDescent="0.35">
      <c r="A575" s="7">
        <v>44117</v>
      </c>
      <c r="B575" s="43">
        <v>311</v>
      </c>
      <c r="C575">
        <f t="shared" si="15"/>
        <v>2020</v>
      </c>
    </row>
    <row r="576" spans="1:3" x14ac:dyDescent="0.35">
      <c r="A576" s="7">
        <v>44116</v>
      </c>
      <c r="B576" s="43">
        <v>308</v>
      </c>
      <c r="C576">
        <f t="shared" si="15"/>
        <v>2020</v>
      </c>
    </row>
    <row r="577" spans="1:3" x14ac:dyDescent="0.35">
      <c r="A577" s="7">
        <v>44113</v>
      </c>
      <c r="B577" s="43">
        <v>309</v>
      </c>
      <c r="C577">
        <f t="shared" si="15"/>
        <v>2020</v>
      </c>
    </row>
    <row r="578" spans="1:3" x14ac:dyDescent="0.35">
      <c r="A578" s="7">
        <v>44112</v>
      </c>
      <c r="B578" s="43">
        <v>315</v>
      </c>
      <c r="C578">
        <f t="shared" si="15"/>
        <v>2020</v>
      </c>
    </row>
    <row r="579" spans="1:3" x14ac:dyDescent="0.35">
      <c r="A579" s="7">
        <v>44111</v>
      </c>
      <c r="B579" s="43">
        <v>320</v>
      </c>
      <c r="C579">
        <f t="shared" ref="C579:C642" si="16">YEAR(A579)</f>
        <v>2020</v>
      </c>
    </row>
    <row r="580" spans="1:3" x14ac:dyDescent="0.35">
      <c r="A580" s="7">
        <v>44110</v>
      </c>
      <c r="B580" s="43">
        <v>328</v>
      </c>
      <c r="C580">
        <f t="shared" si="16"/>
        <v>2020</v>
      </c>
    </row>
    <row r="581" spans="1:3" x14ac:dyDescent="0.35">
      <c r="A581" s="7">
        <v>44109</v>
      </c>
      <c r="B581" s="43">
        <v>331</v>
      </c>
      <c r="C581">
        <f t="shared" si="16"/>
        <v>2020</v>
      </c>
    </row>
    <row r="582" spans="1:3" x14ac:dyDescent="0.35">
      <c r="A582" s="7">
        <v>44106</v>
      </c>
      <c r="B582" s="43">
        <v>341</v>
      </c>
      <c r="C582">
        <f t="shared" si="16"/>
        <v>2020</v>
      </c>
    </row>
    <row r="583" spans="1:3" x14ac:dyDescent="0.35">
      <c r="A583" s="7">
        <v>44105</v>
      </c>
      <c r="B583" s="43">
        <v>343</v>
      </c>
      <c r="C583">
        <f t="shared" si="16"/>
        <v>2020</v>
      </c>
    </row>
    <row r="584" spans="1:3" x14ac:dyDescent="0.35">
      <c r="A584" s="7">
        <v>44104</v>
      </c>
      <c r="B584" s="43">
        <v>343</v>
      </c>
      <c r="C584">
        <f t="shared" si="16"/>
        <v>2020</v>
      </c>
    </row>
    <row r="585" spans="1:3" x14ac:dyDescent="0.35">
      <c r="A585" s="7">
        <v>44103</v>
      </c>
      <c r="B585" s="43">
        <v>353</v>
      </c>
      <c r="C585">
        <f t="shared" si="16"/>
        <v>2020</v>
      </c>
    </row>
    <row r="586" spans="1:3" x14ac:dyDescent="0.35">
      <c r="A586" s="7">
        <v>44102</v>
      </c>
      <c r="B586" s="43">
        <v>347</v>
      </c>
      <c r="C586">
        <f t="shared" si="16"/>
        <v>2020</v>
      </c>
    </row>
    <row r="587" spans="1:3" x14ac:dyDescent="0.35">
      <c r="A587" s="7">
        <v>44099</v>
      </c>
      <c r="B587" s="43">
        <v>346</v>
      </c>
      <c r="C587">
        <f t="shared" si="16"/>
        <v>2020</v>
      </c>
    </row>
    <row r="588" spans="1:3" x14ac:dyDescent="0.35">
      <c r="A588" s="7">
        <v>44098</v>
      </c>
      <c r="B588" s="43">
        <v>348</v>
      </c>
      <c r="C588">
        <f t="shared" si="16"/>
        <v>2020</v>
      </c>
    </row>
    <row r="589" spans="1:3" x14ac:dyDescent="0.35">
      <c r="A589" s="7">
        <v>44097</v>
      </c>
      <c r="B589" s="43">
        <v>348</v>
      </c>
      <c r="C589">
        <f t="shared" si="16"/>
        <v>2020</v>
      </c>
    </row>
    <row r="590" spans="1:3" x14ac:dyDescent="0.35">
      <c r="A590" s="7">
        <v>44096</v>
      </c>
      <c r="B590" s="43">
        <v>332</v>
      </c>
      <c r="C590">
        <f t="shared" si="16"/>
        <v>2020</v>
      </c>
    </row>
    <row r="591" spans="1:3" x14ac:dyDescent="0.35">
      <c r="A591" s="7">
        <v>44095</v>
      </c>
      <c r="B591" s="43">
        <v>327</v>
      </c>
      <c r="C591">
        <f t="shared" si="16"/>
        <v>2020</v>
      </c>
    </row>
    <row r="592" spans="1:3" x14ac:dyDescent="0.35">
      <c r="A592" s="7">
        <v>44092</v>
      </c>
      <c r="B592" s="43">
        <v>313</v>
      </c>
      <c r="C592">
        <f t="shared" si="16"/>
        <v>2020</v>
      </c>
    </row>
    <row r="593" spans="1:3" x14ac:dyDescent="0.35">
      <c r="A593" s="7">
        <v>44091</v>
      </c>
      <c r="B593" s="43">
        <v>310</v>
      </c>
      <c r="C593">
        <f t="shared" si="16"/>
        <v>2020</v>
      </c>
    </row>
    <row r="594" spans="1:3" x14ac:dyDescent="0.35">
      <c r="A594" s="7">
        <v>44090</v>
      </c>
      <c r="B594" s="43">
        <v>306</v>
      </c>
      <c r="C594">
        <f t="shared" si="16"/>
        <v>2020</v>
      </c>
    </row>
    <row r="595" spans="1:3" x14ac:dyDescent="0.35">
      <c r="A595" s="7">
        <v>44089</v>
      </c>
      <c r="B595" s="43">
        <v>307</v>
      </c>
      <c r="C595">
        <f t="shared" si="16"/>
        <v>2020</v>
      </c>
    </row>
    <row r="596" spans="1:3" x14ac:dyDescent="0.35">
      <c r="A596" s="7">
        <v>44088</v>
      </c>
      <c r="B596" s="43">
        <v>310</v>
      </c>
      <c r="C596">
        <f t="shared" si="16"/>
        <v>2020</v>
      </c>
    </row>
    <row r="597" spans="1:3" x14ac:dyDescent="0.35">
      <c r="A597" s="7">
        <v>44085</v>
      </c>
      <c r="B597" s="43">
        <v>311</v>
      </c>
      <c r="C597">
        <f t="shared" si="16"/>
        <v>2020</v>
      </c>
    </row>
    <row r="598" spans="1:3" x14ac:dyDescent="0.35">
      <c r="A598" s="7">
        <v>44084</v>
      </c>
      <c r="B598" s="43">
        <v>308</v>
      </c>
      <c r="C598">
        <f t="shared" si="16"/>
        <v>2020</v>
      </c>
    </row>
    <row r="599" spans="1:3" x14ac:dyDescent="0.35">
      <c r="A599" s="7">
        <v>44083</v>
      </c>
      <c r="B599" s="43">
        <v>311</v>
      </c>
      <c r="C599">
        <f t="shared" si="16"/>
        <v>2020</v>
      </c>
    </row>
    <row r="600" spans="1:3" x14ac:dyDescent="0.35">
      <c r="A600" s="7">
        <v>44082</v>
      </c>
      <c r="B600" s="43">
        <v>317</v>
      </c>
      <c r="C600">
        <f t="shared" si="16"/>
        <v>2020</v>
      </c>
    </row>
    <row r="601" spans="1:3" x14ac:dyDescent="0.35">
      <c r="A601" s="7">
        <v>44081</v>
      </c>
      <c r="B601" s="43">
        <v>312</v>
      </c>
      <c r="C601">
        <f t="shared" si="16"/>
        <v>2020</v>
      </c>
    </row>
    <row r="602" spans="1:3" x14ac:dyDescent="0.35">
      <c r="A602" s="7">
        <v>44078</v>
      </c>
      <c r="B602" s="43">
        <v>312</v>
      </c>
      <c r="C602">
        <f t="shared" si="16"/>
        <v>2020</v>
      </c>
    </row>
    <row r="603" spans="1:3" x14ac:dyDescent="0.35">
      <c r="A603" s="7">
        <v>44077</v>
      </c>
      <c r="B603" s="43">
        <v>318</v>
      </c>
      <c r="C603">
        <f t="shared" si="16"/>
        <v>2020</v>
      </c>
    </row>
    <row r="604" spans="1:3" x14ac:dyDescent="0.35">
      <c r="A604" s="7">
        <v>44076</v>
      </c>
      <c r="B604" s="43">
        <v>312</v>
      </c>
      <c r="C604">
        <f t="shared" si="16"/>
        <v>2020</v>
      </c>
    </row>
    <row r="605" spans="1:3" x14ac:dyDescent="0.35">
      <c r="A605" s="7">
        <v>44075</v>
      </c>
      <c r="B605" s="43">
        <v>314</v>
      </c>
      <c r="C605">
        <f t="shared" si="16"/>
        <v>2020</v>
      </c>
    </row>
    <row r="606" spans="1:3" x14ac:dyDescent="0.35">
      <c r="A606" s="7">
        <v>44074</v>
      </c>
      <c r="B606" s="43">
        <v>319</v>
      </c>
      <c r="C606">
        <f t="shared" si="16"/>
        <v>2020</v>
      </c>
    </row>
    <row r="607" spans="1:3" x14ac:dyDescent="0.35">
      <c r="A607" s="7">
        <v>44071</v>
      </c>
      <c r="B607" s="43">
        <v>320</v>
      </c>
      <c r="C607">
        <f t="shared" si="16"/>
        <v>2020</v>
      </c>
    </row>
    <row r="608" spans="1:3" x14ac:dyDescent="0.35">
      <c r="A608" s="7">
        <v>44070</v>
      </c>
      <c r="B608" s="43">
        <v>327</v>
      </c>
      <c r="C608">
        <f t="shared" si="16"/>
        <v>2020</v>
      </c>
    </row>
    <row r="609" spans="1:3" x14ac:dyDescent="0.35">
      <c r="A609" s="7">
        <v>44069</v>
      </c>
      <c r="B609" s="43">
        <v>334</v>
      </c>
      <c r="C609">
        <f t="shared" si="16"/>
        <v>2020</v>
      </c>
    </row>
    <row r="610" spans="1:3" x14ac:dyDescent="0.35">
      <c r="A610" s="7">
        <v>44068</v>
      </c>
      <c r="B610" s="43">
        <v>334</v>
      </c>
      <c r="C610">
        <f t="shared" si="16"/>
        <v>2020</v>
      </c>
    </row>
    <row r="611" spans="1:3" x14ac:dyDescent="0.35">
      <c r="A611" s="7">
        <v>44067</v>
      </c>
      <c r="B611" s="43">
        <v>329</v>
      </c>
      <c r="C611">
        <f t="shared" si="16"/>
        <v>2020</v>
      </c>
    </row>
    <row r="612" spans="1:3" x14ac:dyDescent="0.35">
      <c r="A612" s="7">
        <v>44064</v>
      </c>
      <c r="B612" s="43">
        <v>333</v>
      </c>
      <c r="C612">
        <f t="shared" si="16"/>
        <v>2020</v>
      </c>
    </row>
    <row r="613" spans="1:3" x14ac:dyDescent="0.35">
      <c r="A613" s="7">
        <v>44063</v>
      </c>
      <c r="B613" s="43">
        <v>338</v>
      </c>
      <c r="C613">
        <f t="shared" si="16"/>
        <v>2020</v>
      </c>
    </row>
    <row r="614" spans="1:3" x14ac:dyDescent="0.35">
      <c r="A614" s="7">
        <v>44062</v>
      </c>
      <c r="B614" s="43">
        <v>327</v>
      </c>
      <c r="C614">
        <f t="shared" si="16"/>
        <v>2020</v>
      </c>
    </row>
    <row r="615" spans="1:3" x14ac:dyDescent="0.35">
      <c r="A615" s="7">
        <v>44061</v>
      </c>
      <c r="B615" s="43">
        <v>325</v>
      </c>
      <c r="C615">
        <f t="shared" si="16"/>
        <v>2020</v>
      </c>
    </row>
    <row r="616" spans="1:3" x14ac:dyDescent="0.35">
      <c r="A616" s="7">
        <v>44060</v>
      </c>
      <c r="B616" s="43">
        <v>321</v>
      </c>
      <c r="C616">
        <f t="shared" si="16"/>
        <v>2020</v>
      </c>
    </row>
    <row r="617" spans="1:3" x14ac:dyDescent="0.35">
      <c r="A617" s="7">
        <v>44057</v>
      </c>
      <c r="B617" s="43">
        <v>317</v>
      </c>
      <c r="C617">
        <f t="shared" si="16"/>
        <v>2020</v>
      </c>
    </row>
    <row r="618" spans="1:3" x14ac:dyDescent="0.35">
      <c r="A618" s="7">
        <v>44056</v>
      </c>
      <c r="B618" s="43">
        <v>307</v>
      </c>
      <c r="C618">
        <f t="shared" si="16"/>
        <v>2020</v>
      </c>
    </row>
    <row r="619" spans="1:3" x14ac:dyDescent="0.35">
      <c r="A619" s="7">
        <v>44055</v>
      </c>
      <c r="B619" s="43">
        <v>307</v>
      </c>
      <c r="C619">
        <f t="shared" si="16"/>
        <v>2020</v>
      </c>
    </row>
    <row r="620" spans="1:3" x14ac:dyDescent="0.35">
      <c r="A620" s="7">
        <v>44054</v>
      </c>
      <c r="B620" s="43">
        <v>298</v>
      </c>
      <c r="C620">
        <f t="shared" si="16"/>
        <v>2020</v>
      </c>
    </row>
    <row r="621" spans="1:3" x14ac:dyDescent="0.35">
      <c r="A621" s="7">
        <v>44053</v>
      </c>
      <c r="B621" s="43">
        <v>309</v>
      </c>
      <c r="C621">
        <f t="shared" si="16"/>
        <v>2020</v>
      </c>
    </row>
    <row r="622" spans="1:3" x14ac:dyDescent="0.35">
      <c r="A622" s="7">
        <v>44050</v>
      </c>
      <c r="B622" s="43">
        <v>317</v>
      </c>
      <c r="C622">
        <f t="shared" si="16"/>
        <v>2020</v>
      </c>
    </row>
    <row r="623" spans="1:3" x14ac:dyDescent="0.35">
      <c r="A623" s="7">
        <v>44049</v>
      </c>
      <c r="B623" s="43">
        <v>323</v>
      </c>
      <c r="C623">
        <f t="shared" si="16"/>
        <v>2020</v>
      </c>
    </row>
    <row r="624" spans="1:3" x14ac:dyDescent="0.35">
      <c r="A624" s="7">
        <v>44048</v>
      </c>
      <c r="B624" s="43">
        <v>323</v>
      </c>
      <c r="C624">
        <f t="shared" si="16"/>
        <v>2020</v>
      </c>
    </row>
    <row r="625" spans="1:3" x14ac:dyDescent="0.35">
      <c r="A625" s="7">
        <v>44047</v>
      </c>
      <c r="B625" s="43">
        <v>333</v>
      </c>
      <c r="C625">
        <f t="shared" si="16"/>
        <v>2020</v>
      </c>
    </row>
    <row r="626" spans="1:3" x14ac:dyDescent="0.35">
      <c r="A626" s="7">
        <v>44046</v>
      </c>
      <c r="B626" s="43">
        <v>329</v>
      </c>
      <c r="C626">
        <f t="shared" si="16"/>
        <v>2020</v>
      </c>
    </row>
    <row r="627" spans="1:3" x14ac:dyDescent="0.35">
      <c r="A627" s="7">
        <v>44043</v>
      </c>
      <c r="B627" s="43">
        <v>334</v>
      </c>
      <c r="C627">
        <f t="shared" si="16"/>
        <v>2020</v>
      </c>
    </row>
    <row r="628" spans="1:3" x14ac:dyDescent="0.35">
      <c r="A628" s="7">
        <v>44042</v>
      </c>
      <c r="B628" s="43">
        <v>342</v>
      </c>
      <c r="C628">
        <f t="shared" si="16"/>
        <v>2020</v>
      </c>
    </row>
    <row r="629" spans="1:3" x14ac:dyDescent="0.35">
      <c r="A629" s="7">
        <v>44041</v>
      </c>
      <c r="B629" s="43">
        <v>340</v>
      </c>
      <c r="C629">
        <f t="shared" si="16"/>
        <v>2020</v>
      </c>
    </row>
    <row r="630" spans="1:3" x14ac:dyDescent="0.35">
      <c r="A630" s="7">
        <v>44040</v>
      </c>
      <c r="B630" s="43">
        <v>349</v>
      </c>
      <c r="C630">
        <f t="shared" si="16"/>
        <v>2020</v>
      </c>
    </row>
    <row r="631" spans="1:3" x14ac:dyDescent="0.35">
      <c r="A631" s="7">
        <v>44039</v>
      </c>
      <c r="B631" s="43">
        <v>346</v>
      </c>
      <c r="C631">
        <f t="shared" si="16"/>
        <v>2020</v>
      </c>
    </row>
    <row r="632" spans="1:3" x14ac:dyDescent="0.35">
      <c r="A632" s="7">
        <v>44036</v>
      </c>
      <c r="B632" s="43">
        <v>352</v>
      </c>
      <c r="C632">
        <f t="shared" si="16"/>
        <v>2020</v>
      </c>
    </row>
    <row r="633" spans="1:3" x14ac:dyDescent="0.35">
      <c r="A633" s="7">
        <v>44035</v>
      </c>
      <c r="B633" s="43">
        <v>351</v>
      </c>
      <c r="C633">
        <f t="shared" si="16"/>
        <v>2020</v>
      </c>
    </row>
    <row r="634" spans="1:3" x14ac:dyDescent="0.35">
      <c r="A634" s="7">
        <v>44034</v>
      </c>
      <c r="B634" s="43">
        <v>342</v>
      </c>
      <c r="C634">
        <f t="shared" si="16"/>
        <v>2020</v>
      </c>
    </row>
    <row r="635" spans="1:3" x14ac:dyDescent="0.35">
      <c r="A635" s="7">
        <v>44033</v>
      </c>
      <c r="B635" s="43">
        <v>346</v>
      </c>
      <c r="C635">
        <f t="shared" si="16"/>
        <v>2020</v>
      </c>
    </row>
    <row r="636" spans="1:3" x14ac:dyDescent="0.35">
      <c r="A636" s="7">
        <v>44032</v>
      </c>
      <c r="B636" s="43">
        <v>355</v>
      </c>
      <c r="C636">
        <f t="shared" si="16"/>
        <v>2020</v>
      </c>
    </row>
    <row r="637" spans="1:3" x14ac:dyDescent="0.35">
      <c r="A637" s="7">
        <v>44029</v>
      </c>
      <c r="B637" s="43">
        <v>364</v>
      </c>
      <c r="C637">
        <f t="shared" si="16"/>
        <v>2020</v>
      </c>
    </row>
    <row r="638" spans="1:3" x14ac:dyDescent="0.35">
      <c r="A638" s="7">
        <v>44028</v>
      </c>
      <c r="B638" s="43">
        <v>375</v>
      </c>
      <c r="C638">
        <f t="shared" si="16"/>
        <v>2020</v>
      </c>
    </row>
    <row r="639" spans="1:3" x14ac:dyDescent="0.35">
      <c r="A639" s="7">
        <v>44027</v>
      </c>
      <c r="B639" s="43">
        <v>376</v>
      </c>
      <c r="C639">
        <f t="shared" si="16"/>
        <v>2020</v>
      </c>
    </row>
    <row r="640" spans="1:3" x14ac:dyDescent="0.35">
      <c r="A640" s="7">
        <v>44026</v>
      </c>
      <c r="B640" s="43">
        <v>385</v>
      </c>
      <c r="C640">
        <f t="shared" si="16"/>
        <v>2020</v>
      </c>
    </row>
    <row r="641" spans="1:3" x14ac:dyDescent="0.35">
      <c r="A641" s="7">
        <v>44025</v>
      </c>
      <c r="B641" s="43">
        <v>377</v>
      </c>
      <c r="C641">
        <f t="shared" si="16"/>
        <v>2020</v>
      </c>
    </row>
    <row r="642" spans="1:3" x14ac:dyDescent="0.35">
      <c r="A642" s="7">
        <v>44022</v>
      </c>
      <c r="B642" s="43">
        <v>382</v>
      </c>
      <c r="C642">
        <f t="shared" si="16"/>
        <v>2020</v>
      </c>
    </row>
    <row r="643" spans="1:3" x14ac:dyDescent="0.35">
      <c r="A643" s="7">
        <v>44021</v>
      </c>
      <c r="B643" s="43">
        <v>382</v>
      </c>
      <c r="C643">
        <f t="shared" ref="C643:C706" si="17">YEAR(A643)</f>
        <v>2020</v>
      </c>
    </row>
    <row r="644" spans="1:3" x14ac:dyDescent="0.35">
      <c r="A644" s="7">
        <v>44020</v>
      </c>
      <c r="B644" s="43">
        <v>374</v>
      </c>
      <c r="C644">
        <f t="shared" si="17"/>
        <v>2020</v>
      </c>
    </row>
    <row r="645" spans="1:3" x14ac:dyDescent="0.35">
      <c r="A645" s="7">
        <v>44019</v>
      </c>
      <c r="B645" s="43">
        <v>375</v>
      </c>
      <c r="C645">
        <f t="shared" si="17"/>
        <v>2020</v>
      </c>
    </row>
    <row r="646" spans="1:3" x14ac:dyDescent="0.35">
      <c r="A646" s="7">
        <v>44018</v>
      </c>
      <c r="B646" s="43">
        <v>362</v>
      </c>
      <c r="C646">
        <f t="shared" si="17"/>
        <v>2020</v>
      </c>
    </row>
    <row r="647" spans="1:3" x14ac:dyDescent="0.35">
      <c r="A647" s="7">
        <v>44015</v>
      </c>
      <c r="B647" s="43">
        <v>366</v>
      </c>
      <c r="C647">
        <f t="shared" si="17"/>
        <v>2020</v>
      </c>
    </row>
    <row r="648" spans="1:3" x14ac:dyDescent="0.35">
      <c r="A648" s="7">
        <v>44014</v>
      </c>
      <c r="B648" s="43">
        <v>366</v>
      </c>
      <c r="C648">
        <f t="shared" si="17"/>
        <v>2020</v>
      </c>
    </row>
    <row r="649" spans="1:3" x14ac:dyDescent="0.35">
      <c r="A649" s="7">
        <v>44013</v>
      </c>
      <c r="B649" s="43">
        <v>372</v>
      </c>
      <c r="C649">
        <f t="shared" si="17"/>
        <v>2020</v>
      </c>
    </row>
    <row r="650" spans="1:3" x14ac:dyDescent="0.35">
      <c r="A650" s="7">
        <v>44012</v>
      </c>
      <c r="B650" s="43">
        <v>380</v>
      </c>
      <c r="C650">
        <f t="shared" si="17"/>
        <v>2020</v>
      </c>
    </row>
    <row r="651" spans="1:3" x14ac:dyDescent="0.35">
      <c r="A651" s="7">
        <v>44011</v>
      </c>
      <c r="B651" s="43">
        <v>384</v>
      </c>
      <c r="C651">
        <f t="shared" si="17"/>
        <v>2020</v>
      </c>
    </row>
    <row r="652" spans="1:3" x14ac:dyDescent="0.35">
      <c r="A652" s="7">
        <v>44008</v>
      </c>
      <c r="B652" s="43">
        <v>384</v>
      </c>
      <c r="C652">
        <f t="shared" si="17"/>
        <v>2020</v>
      </c>
    </row>
    <row r="653" spans="1:3" x14ac:dyDescent="0.35">
      <c r="A653" s="7">
        <v>44007</v>
      </c>
      <c r="B653" s="43">
        <v>377</v>
      </c>
      <c r="C653">
        <f t="shared" si="17"/>
        <v>2020</v>
      </c>
    </row>
    <row r="654" spans="1:3" x14ac:dyDescent="0.35">
      <c r="A654" s="7">
        <v>44006</v>
      </c>
      <c r="B654" s="43">
        <v>376</v>
      </c>
      <c r="C654">
        <f t="shared" si="17"/>
        <v>2020</v>
      </c>
    </row>
    <row r="655" spans="1:3" x14ac:dyDescent="0.35">
      <c r="A655" s="7">
        <v>44005</v>
      </c>
      <c r="B655" s="43">
        <v>375</v>
      </c>
      <c r="C655">
        <f t="shared" si="17"/>
        <v>2020</v>
      </c>
    </row>
    <row r="656" spans="1:3" x14ac:dyDescent="0.35">
      <c r="A656" s="7">
        <v>44004</v>
      </c>
      <c r="B656" s="43">
        <v>375</v>
      </c>
      <c r="C656">
        <f t="shared" si="17"/>
        <v>2020</v>
      </c>
    </row>
    <row r="657" spans="1:3" x14ac:dyDescent="0.35">
      <c r="A657" s="7">
        <v>44001</v>
      </c>
      <c r="B657" s="43">
        <v>377</v>
      </c>
      <c r="C657">
        <f t="shared" si="17"/>
        <v>2020</v>
      </c>
    </row>
    <row r="658" spans="1:3" x14ac:dyDescent="0.35">
      <c r="A658" s="7">
        <v>44000</v>
      </c>
      <c r="B658" s="43">
        <v>380</v>
      </c>
      <c r="C658">
        <f t="shared" si="17"/>
        <v>2020</v>
      </c>
    </row>
    <row r="659" spans="1:3" x14ac:dyDescent="0.35">
      <c r="A659" s="7">
        <v>43999</v>
      </c>
      <c r="B659" s="43">
        <v>374</v>
      </c>
      <c r="C659">
        <f t="shared" si="17"/>
        <v>2020</v>
      </c>
    </row>
    <row r="660" spans="1:3" x14ac:dyDescent="0.35">
      <c r="A660" s="7">
        <v>43998</v>
      </c>
      <c r="B660" s="43">
        <v>367</v>
      </c>
      <c r="C660">
        <f t="shared" si="17"/>
        <v>2020</v>
      </c>
    </row>
    <row r="661" spans="1:3" x14ac:dyDescent="0.35">
      <c r="A661" s="7">
        <v>43997</v>
      </c>
      <c r="B661" s="43">
        <v>387</v>
      </c>
      <c r="C661">
        <f t="shared" si="17"/>
        <v>2020</v>
      </c>
    </row>
    <row r="662" spans="1:3" x14ac:dyDescent="0.35">
      <c r="A662" s="7">
        <v>43994</v>
      </c>
      <c r="B662" s="43">
        <v>384</v>
      </c>
      <c r="C662">
        <f t="shared" si="17"/>
        <v>2020</v>
      </c>
    </row>
    <row r="663" spans="1:3" x14ac:dyDescent="0.35">
      <c r="A663" s="7">
        <v>43993</v>
      </c>
      <c r="B663" s="43">
        <v>389</v>
      </c>
      <c r="C663">
        <f t="shared" si="17"/>
        <v>2020</v>
      </c>
    </row>
    <row r="664" spans="1:3" x14ac:dyDescent="0.35">
      <c r="A664" s="7">
        <v>43992</v>
      </c>
      <c r="B664" s="43">
        <v>355</v>
      </c>
      <c r="C664">
        <f t="shared" si="17"/>
        <v>2020</v>
      </c>
    </row>
    <row r="665" spans="1:3" x14ac:dyDescent="0.35">
      <c r="A665" s="7">
        <v>43991</v>
      </c>
      <c r="B665" s="43">
        <v>344</v>
      </c>
      <c r="C665">
        <f t="shared" si="17"/>
        <v>2020</v>
      </c>
    </row>
    <row r="666" spans="1:3" x14ac:dyDescent="0.35">
      <c r="A666" s="7">
        <v>43990</v>
      </c>
      <c r="B666" s="43">
        <v>332</v>
      </c>
      <c r="C666">
        <f t="shared" si="17"/>
        <v>2020</v>
      </c>
    </row>
    <row r="667" spans="1:3" x14ac:dyDescent="0.35">
      <c r="A667" s="7">
        <v>43987</v>
      </c>
      <c r="B667" s="43">
        <v>334</v>
      </c>
      <c r="C667">
        <f t="shared" si="17"/>
        <v>2020</v>
      </c>
    </row>
    <row r="668" spans="1:3" x14ac:dyDescent="0.35">
      <c r="A668" s="7">
        <v>43986</v>
      </c>
      <c r="B668" s="43">
        <v>348</v>
      </c>
      <c r="C668">
        <f t="shared" si="17"/>
        <v>2020</v>
      </c>
    </row>
    <row r="669" spans="1:3" x14ac:dyDescent="0.35">
      <c r="A669" s="7">
        <v>43985</v>
      </c>
      <c r="B669" s="43">
        <v>351</v>
      </c>
      <c r="C669">
        <f t="shared" si="17"/>
        <v>2020</v>
      </c>
    </row>
    <row r="670" spans="1:3" x14ac:dyDescent="0.35">
      <c r="A670" s="7">
        <v>43984</v>
      </c>
      <c r="B670" s="43">
        <v>375</v>
      </c>
      <c r="C670">
        <f t="shared" si="17"/>
        <v>2020</v>
      </c>
    </row>
    <row r="671" spans="1:3" x14ac:dyDescent="0.35">
      <c r="A671" s="7">
        <v>43983</v>
      </c>
      <c r="B671" s="43">
        <v>386</v>
      </c>
      <c r="C671">
        <f t="shared" si="17"/>
        <v>2020</v>
      </c>
    </row>
    <row r="672" spans="1:3" x14ac:dyDescent="0.35">
      <c r="A672" s="7">
        <v>43980</v>
      </c>
      <c r="B672" s="43">
        <v>392</v>
      </c>
      <c r="C672">
        <f t="shared" si="17"/>
        <v>2020</v>
      </c>
    </row>
    <row r="673" spans="1:3" x14ac:dyDescent="0.35">
      <c r="A673" s="7">
        <v>43979</v>
      </c>
      <c r="B673" s="43">
        <v>379</v>
      </c>
      <c r="C673">
        <f t="shared" si="17"/>
        <v>2020</v>
      </c>
    </row>
    <row r="674" spans="1:3" x14ac:dyDescent="0.35">
      <c r="A674" s="7">
        <v>43978</v>
      </c>
      <c r="B674" s="43">
        <v>384</v>
      </c>
      <c r="C674">
        <f t="shared" si="17"/>
        <v>2020</v>
      </c>
    </row>
    <row r="675" spans="1:3" x14ac:dyDescent="0.35">
      <c r="A675" s="7">
        <v>43977</v>
      </c>
      <c r="B675" s="43">
        <v>387</v>
      </c>
      <c r="C675">
        <f t="shared" si="17"/>
        <v>2020</v>
      </c>
    </row>
    <row r="676" spans="1:3" x14ac:dyDescent="0.35">
      <c r="A676" s="7">
        <v>43976</v>
      </c>
      <c r="B676" s="43">
        <v>405</v>
      </c>
      <c r="C676">
        <f t="shared" si="17"/>
        <v>2020</v>
      </c>
    </row>
    <row r="677" spans="1:3" x14ac:dyDescent="0.35">
      <c r="A677" s="7">
        <v>43973</v>
      </c>
      <c r="B677" s="43">
        <v>405</v>
      </c>
      <c r="C677">
        <f t="shared" si="17"/>
        <v>2020</v>
      </c>
    </row>
    <row r="678" spans="1:3" x14ac:dyDescent="0.35">
      <c r="A678" s="7">
        <v>43972</v>
      </c>
      <c r="B678" s="43">
        <v>405</v>
      </c>
      <c r="C678">
        <f t="shared" si="17"/>
        <v>2020</v>
      </c>
    </row>
    <row r="679" spans="1:3" x14ac:dyDescent="0.35">
      <c r="A679" s="7">
        <v>43971</v>
      </c>
      <c r="B679" s="43">
        <v>420</v>
      </c>
      <c r="C679">
        <f t="shared" si="17"/>
        <v>2020</v>
      </c>
    </row>
    <row r="680" spans="1:3" x14ac:dyDescent="0.35">
      <c r="A680" s="7">
        <v>43970</v>
      </c>
      <c r="B680" s="43">
        <v>429</v>
      </c>
      <c r="C680">
        <f t="shared" si="17"/>
        <v>2020</v>
      </c>
    </row>
    <row r="681" spans="1:3" x14ac:dyDescent="0.35">
      <c r="A681" s="7">
        <v>43969</v>
      </c>
      <c r="B681" s="43">
        <v>427</v>
      </c>
      <c r="C681">
        <f t="shared" si="17"/>
        <v>2020</v>
      </c>
    </row>
    <row r="682" spans="1:3" x14ac:dyDescent="0.35">
      <c r="A682" s="7">
        <v>43966</v>
      </c>
      <c r="B682" s="43">
        <v>451</v>
      </c>
      <c r="C682">
        <f t="shared" si="17"/>
        <v>2020</v>
      </c>
    </row>
    <row r="683" spans="1:3" x14ac:dyDescent="0.35">
      <c r="A683" s="7">
        <v>43965</v>
      </c>
      <c r="B683" s="43">
        <v>450</v>
      </c>
      <c r="C683">
        <f t="shared" si="17"/>
        <v>2020</v>
      </c>
    </row>
    <row r="684" spans="1:3" x14ac:dyDescent="0.35">
      <c r="A684" s="7">
        <v>43964</v>
      </c>
      <c r="B684" s="43">
        <v>438</v>
      </c>
      <c r="C684">
        <f t="shared" si="17"/>
        <v>2020</v>
      </c>
    </row>
    <row r="685" spans="1:3" x14ac:dyDescent="0.35">
      <c r="A685" s="7">
        <v>43963</v>
      </c>
      <c r="B685" s="43">
        <v>420</v>
      </c>
      <c r="C685">
        <f t="shared" si="17"/>
        <v>2020</v>
      </c>
    </row>
    <row r="686" spans="1:3" x14ac:dyDescent="0.35">
      <c r="A686" s="7">
        <v>43962</v>
      </c>
      <c r="B686" s="43">
        <v>414</v>
      </c>
      <c r="C686">
        <f t="shared" si="17"/>
        <v>2020</v>
      </c>
    </row>
    <row r="687" spans="1:3" x14ac:dyDescent="0.35">
      <c r="A687" s="7">
        <v>43959</v>
      </c>
      <c r="B687" s="43">
        <v>419</v>
      </c>
      <c r="C687">
        <f t="shared" si="17"/>
        <v>2020</v>
      </c>
    </row>
    <row r="688" spans="1:3" x14ac:dyDescent="0.35">
      <c r="A688" s="7">
        <v>43958</v>
      </c>
      <c r="B688" s="43">
        <v>432</v>
      </c>
      <c r="C688">
        <f t="shared" si="17"/>
        <v>2020</v>
      </c>
    </row>
    <row r="689" spans="1:3" x14ac:dyDescent="0.35">
      <c r="A689" s="7">
        <v>43957</v>
      </c>
      <c r="B689" s="43">
        <v>429</v>
      </c>
      <c r="C689">
        <f t="shared" si="17"/>
        <v>2020</v>
      </c>
    </row>
    <row r="690" spans="1:3" x14ac:dyDescent="0.35">
      <c r="A690" s="7">
        <v>43956</v>
      </c>
      <c r="B690" s="43">
        <v>423</v>
      </c>
      <c r="C690">
        <f t="shared" si="17"/>
        <v>2020</v>
      </c>
    </row>
    <row r="691" spans="1:3" x14ac:dyDescent="0.35">
      <c r="A691" s="7">
        <v>43955</v>
      </c>
      <c r="B691" s="43">
        <v>426</v>
      </c>
      <c r="C691">
        <f t="shared" si="17"/>
        <v>2020</v>
      </c>
    </row>
    <row r="692" spans="1:3" x14ac:dyDescent="0.35">
      <c r="A692" s="7">
        <v>43952</v>
      </c>
      <c r="B692" s="43">
        <v>422</v>
      </c>
      <c r="C692">
        <f t="shared" si="17"/>
        <v>2020</v>
      </c>
    </row>
    <row r="693" spans="1:3" x14ac:dyDescent="0.35">
      <c r="A693" s="7">
        <v>43951</v>
      </c>
      <c r="B693" s="43">
        <v>422</v>
      </c>
      <c r="C693">
        <f t="shared" si="17"/>
        <v>2020</v>
      </c>
    </row>
    <row r="694" spans="1:3" x14ac:dyDescent="0.35">
      <c r="A694" s="7">
        <v>43950</v>
      </c>
      <c r="B694" s="43">
        <v>446</v>
      </c>
      <c r="C694">
        <f t="shared" si="17"/>
        <v>2020</v>
      </c>
    </row>
    <row r="695" spans="1:3" x14ac:dyDescent="0.35">
      <c r="A695" s="7">
        <v>43949</v>
      </c>
      <c r="B695" s="43">
        <v>470</v>
      </c>
      <c r="C695">
        <f t="shared" si="17"/>
        <v>2020</v>
      </c>
    </row>
    <row r="696" spans="1:3" x14ac:dyDescent="0.35">
      <c r="A696" s="7">
        <v>43948</v>
      </c>
      <c r="B696" s="43">
        <v>475</v>
      </c>
      <c r="C696">
        <f t="shared" si="17"/>
        <v>2020</v>
      </c>
    </row>
    <row r="697" spans="1:3" x14ac:dyDescent="0.35">
      <c r="A697" s="7">
        <v>43945</v>
      </c>
      <c r="B697" s="43">
        <v>473</v>
      </c>
      <c r="C697">
        <f t="shared" si="17"/>
        <v>2020</v>
      </c>
    </row>
    <row r="698" spans="1:3" x14ac:dyDescent="0.35">
      <c r="A698" s="7">
        <v>43944</v>
      </c>
      <c r="B698" s="43">
        <v>442</v>
      </c>
      <c r="C698">
        <f t="shared" si="17"/>
        <v>2020</v>
      </c>
    </row>
    <row r="699" spans="1:3" x14ac:dyDescent="0.35">
      <c r="A699" s="7">
        <v>43943</v>
      </c>
      <c r="B699" s="43">
        <v>426</v>
      </c>
      <c r="C699">
        <f t="shared" si="17"/>
        <v>2020</v>
      </c>
    </row>
    <row r="700" spans="1:3" x14ac:dyDescent="0.35">
      <c r="A700" s="7">
        <v>43942</v>
      </c>
      <c r="B700" s="43">
        <v>421</v>
      </c>
      <c r="C700">
        <f t="shared" si="17"/>
        <v>2020</v>
      </c>
    </row>
    <row r="701" spans="1:3" x14ac:dyDescent="0.35">
      <c r="A701" s="7">
        <v>43941</v>
      </c>
      <c r="B701" s="43">
        <v>403</v>
      </c>
      <c r="C701">
        <f t="shared" si="17"/>
        <v>2020</v>
      </c>
    </row>
    <row r="702" spans="1:3" x14ac:dyDescent="0.35">
      <c r="A702" s="7">
        <v>43938</v>
      </c>
      <c r="B702" s="43">
        <v>397</v>
      </c>
      <c r="C702">
        <f t="shared" si="17"/>
        <v>2020</v>
      </c>
    </row>
    <row r="703" spans="1:3" x14ac:dyDescent="0.35">
      <c r="A703" s="7">
        <v>43937</v>
      </c>
      <c r="B703" s="43">
        <v>400</v>
      </c>
      <c r="C703">
        <f t="shared" si="17"/>
        <v>2020</v>
      </c>
    </row>
    <row r="704" spans="1:3" x14ac:dyDescent="0.35">
      <c r="A704" s="7">
        <v>43936</v>
      </c>
      <c r="B704" s="43">
        <v>394</v>
      </c>
      <c r="C704">
        <f t="shared" si="17"/>
        <v>2020</v>
      </c>
    </row>
    <row r="705" spans="1:3" x14ac:dyDescent="0.35">
      <c r="A705" s="7">
        <v>43935</v>
      </c>
      <c r="B705" s="43">
        <v>366</v>
      </c>
      <c r="C705">
        <f t="shared" si="17"/>
        <v>2020</v>
      </c>
    </row>
    <row r="706" spans="1:3" x14ac:dyDescent="0.35">
      <c r="A706" s="7">
        <v>43934</v>
      </c>
      <c r="B706" s="43">
        <v>374</v>
      </c>
      <c r="C706">
        <f t="shared" si="17"/>
        <v>2020</v>
      </c>
    </row>
    <row r="707" spans="1:3" x14ac:dyDescent="0.35">
      <c r="A707" s="7">
        <v>43930</v>
      </c>
      <c r="B707" s="43">
        <v>390</v>
      </c>
      <c r="C707">
        <f t="shared" ref="C707:C770" si="18">YEAR(A707)</f>
        <v>2020</v>
      </c>
    </row>
    <row r="708" spans="1:3" x14ac:dyDescent="0.35">
      <c r="A708" s="7">
        <v>43929</v>
      </c>
      <c r="B708" s="43">
        <v>415</v>
      </c>
      <c r="C708">
        <f t="shared" si="18"/>
        <v>2020</v>
      </c>
    </row>
    <row r="709" spans="1:3" x14ac:dyDescent="0.35">
      <c r="A709" s="7">
        <v>43928</v>
      </c>
      <c r="B709" s="43">
        <v>418</v>
      </c>
      <c r="C709">
        <f t="shared" si="18"/>
        <v>2020</v>
      </c>
    </row>
    <row r="710" spans="1:3" x14ac:dyDescent="0.35">
      <c r="A710" s="7">
        <v>43927</v>
      </c>
      <c r="B710" s="43">
        <v>437</v>
      </c>
      <c r="C710">
        <f t="shared" si="18"/>
        <v>2020</v>
      </c>
    </row>
    <row r="711" spans="1:3" x14ac:dyDescent="0.35">
      <c r="A711" s="7">
        <v>43924</v>
      </c>
      <c r="B711" s="43">
        <v>445</v>
      </c>
      <c r="C711">
        <f t="shared" si="18"/>
        <v>2020</v>
      </c>
    </row>
    <row r="712" spans="1:3" x14ac:dyDescent="0.35">
      <c r="A712" s="7">
        <v>43923</v>
      </c>
      <c r="B712" s="43">
        <v>427</v>
      </c>
      <c r="C712">
        <f t="shared" si="18"/>
        <v>2020</v>
      </c>
    </row>
    <row r="713" spans="1:3" x14ac:dyDescent="0.35">
      <c r="A713" s="7">
        <v>43922</v>
      </c>
      <c r="B713" s="43">
        <v>414</v>
      </c>
      <c r="C713">
        <f t="shared" si="18"/>
        <v>2020</v>
      </c>
    </row>
    <row r="714" spans="1:3" x14ac:dyDescent="0.35">
      <c r="A714" s="7">
        <v>43921</v>
      </c>
      <c r="B714" s="43">
        <v>389</v>
      </c>
      <c r="C714">
        <f t="shared" si="18"/>
        <v>2020</v>
      </c>
    </row>
    <row r="715" spans="1:3" x14ac:dyDescent="0.35">
      <c r="A715" s="7">
        <v>43920</v>
      </c>
      <c r="B715" s="43">
        <v>393</v>
      </c>
      <c r="C715">
        <f t="shared" si="18"/>
        <v>2020</v>
      </c>
    </row>
    <row r="716" spans="1:3" x14ac:dyDescent="0.35">
      <c r="A716" s="7">
        <v>43917</v>
      </c>
      <c r="B716" s="43">
        <v>375</v>
      </c>
      <c r="C716">
        <f t="shared" si="18"/>
        <v>2020</v>
      </c>
    </row>
    <row r="717" spans="1:3" x14ac:dyDescent="0.35">
      <c r="A717" s="7">
        <v>43916</v>
      </c>
      <c r="B717" s="43">
        <v>343</v>
      </c>
      <c r="C717">
        <f t="shared" si="18"/>
        <v>2020</v>
      </c>
    </row>
    <row r="718" spans="1:3" x14ac:dyDescent="0.35">
      <c r="A718" s="7">
        <v>43915</v>
      </c>
      <c r="B718" s="43">
        <v>370</v>
      </c>
      <c r="C718">
        <f t="shared" si="18"/>
        <v>2020</v>
      </c>
    </row>
    <row r="719" spans="1:3" x14ac:dyDescent="0.35">
      <c r="A719" s="7">
        <v>43914</v>
      </c>
      <c r="B719" s="43">
        <v>427</v>
      </c>
      <c r="C719">
        <f t="shared" si="18"/>
        <v>2020</v>
      </c>
    </row>
    <row r="720" spans="1:3" x14ac:dyDescent="0.35">
      <c r="A720" s="7">
        <v>43913</v>
      </c>
      <c r="B720" s="43">
        <v>476</v>
      </c>
      <c r="C720">
        <f t="shared" si="18"/>
        <v>2020</v>
      </c>
    </row>
    <row r="721" spans="1:3" x14ac:dyDescent="0.35">
      <c r="A721" s="7">
        <v>43910</v>
      </c>
      <c r="B721" s="43">
        <v>453</v>
      </c>
      <c r="C721">
        <f t="shared" si="18"/>
        <v>2020</v>
      </c>
    </row>
    <row r="722" spans="1:3" x14ac:dyDescent="0.35">
      <c r="A722" s="7">
        <v>43909</v>
      </c>
      <c r="B722" s="43">
        <v>465</v>
      </c>
      <c r="C722">
        <f t="shared" si="18"/>
        <v>2020</v>
      </c>
    </row>
    <row r="723" spans="1:3" x14ac:dyDescent="0.35">
      <c r="A723" s="7">
        <v>43908</v>
      </c>
      <c r="B723" s="43">
        <v>441</v>
      </c>
      <c r="C723">
        <f t="shared" si="18"/>
        <v>2020</v>
      </c>
    </row>
    <row r="724" spans="1:3" x14ac:dyDescent="0.35">
      <c r="A724" s="7">
        <v>43907</v>
      </c>
      <c r="B724" s="43">
        <v>374</v>
      </c>
      <c r="C724">
        <f t="shared" si="18"/>
        <v>2020</v>
      </c>
    </row>
    <row r="725" spans="1:3" x14ac:dyDescent="0.35">
      <c r="A725" s="7">
        <v>43906</v>
      </c>
      <c r="B725" s="43">
        <v>395</v>
      </c>
      <c r="C725">
        <f t="shared" si="18"/>
        <v>2020</v>
      </c>
    </row>
    <row r="726" spans="1:3" x14ac:dyDescent="0.35">
      <c r="A726" s="7">
        <v>43903</v>
      </c>
      <c r="B726" s="43">
        <v>335</v>
      </c>
      <c r="C726">
        <f t="shared" si="18"/>
        <v>2020</v>
      </c>
    </row>
    <row r="727" spans="1:3" x14ac:dyDescent="0.35">
      <c r="A727" s="7">
        <v>43902</v>
      </c>
      <c r="B727" s="43">
        <v>367</v>
      </c>
      <c r="C727">
        <f t="shared" si="18"/>
        <v>2020</v>
      </c>
    </row>
    <row r="728" spans="1:3" x14ac:dyDescent="0.35">
      <c r="A728" s="7">
        <v>43901</v>
      </c>
      <c r="B728" s="43">
        <v>302</v>
      </c>
      <c r="C728">
        <f t="shared" si="18"/>
        <v>2020</v>
      </c>
    </row>
    <row r="729" spans="1:3" x14ac:dyDescent="0.35">
      <c r="A729" s="7">
        <v>43900</v>
      </c>
      <c r="B729" s="43">
        <v>284</v>
      </c>
      <c r="C729">
        <f t="shared" si="18"/>
        <v>2020</v>
      </c>
    </row>
    <row r="730" spans="1:3" x14ac:dyDescent="0.35">
      <c r="A730" s="7">
        <v>43899</v>
      </c>
      <c r="B730" s="43">
        <v>312</v>
      </c>
      <c r="C730">
        <f t="shared" si="18"/>
        <v>2020</v>
      </c>
    </row>
    <row r="731" spans="1:3" x14ac:dyDescent="0.35">
      <c r="A731" s="7">
        <v>43896</v>
      </c>
      <c r="B731" s="43">
        <v>262</v>
      </c>
      <c r="C731">
        <f t="shared" si="18"/>
        <v>2020</v>
      </c>
    </row>
    <row r="732" spans="1:3" x14ac:dyDescent="0.35">
      <c r="A732" s="7">
        <v>43895</v>
      </c>
      <c r="B732" s="43">
        <v>239</v>
      </c>
      <c r="C732">
        <f t="shared" si="18"/>
        <v>2020</v>
      </c>
    </row>
    <row r="733" spans="1:3" x14ac:dyDescent="0.35">
      <c r="A733" s="7">
        <v>43894</v>
      </c>
      <c r="B733" s="43">
        <v>223</v>
      </c>
      <c r="C733">
        <f t="shared" si="18"/>
        <v>2020</v>
      </c>
    </row>
    <row r="734" spans="1:3" x14ac:dyDescent="0.35">
      <c r="A734" s="7">
        <v>43893</v>
      </c>
      <c r="B734" s="43">
        <v>240</v>
      </c>
      <c r="C734">
        <f t="shared" si="18"/>
        <v>2020</v>
      </c>
    </row>
    <row r="735" spans="1:3" x14ac:dyDescent="0.35">
      <c r="A735" s="7">
        <v>43892</v>
      </c>
      <c r="B735" s="43">
        <v>247</v>
      </c>
      <c r="C735">
        <f t="shared" si="18"/>
        <v>2020</v>
      </c>
    </row>
    <row r="736" spans="1:3" x14ac:dyDescent="0.35">
      <c r="A736" s="7">
        <v>43889</v>
      </c>
      <c r="B736" s="43">
        <v>252</v>
      </c>
      <c r="C736">
        <f t="shared" si="18"/>
        <v>2020</v>
      </c>
    </row>
    <row r="737" spans="1:3" x14ac:dyDescent="0.35">
      <c r="A737" s="7">
        <v>43888</v>
      </c>
      <c r="B737" s="43">
        <v>233</v>
      </c>
      <c r="C737">
        <f t="shared" si="18"/>
        <v>2020</v>
      </c>
    </row>
    <row r="738" spans="1:3" x14ac:dyDescent="0.35">
      <c r="A738" s="7">
        <v>43887</v>
      </c>
      <c r="B738" s="43">
        <v>218</v>
      </c>
      <c r="C738">
        <f t="shared" si="18"/>
        <v>2020</v>
      </c>
    </row>
    <row r="739" spans="1:3" x14ac:dyDescent="0.35">
      <c r="A739" s="7">
        <v>43886</v>
      </c>
      <c r="B739" s="43">
        <v>214</v>
      </c>
      <c r="C739">
        <f t="shared" si="18"/>
        <v>2020</v>
      </c>
    </row>
    <row r="740" spans="1:3" x14ac:dyDescent="0.35">
      <c r="A740" s="7">
        <v>43885</v>
      </c>
      <c r="B740" s="43">
        <v>208</v>
      </c>
      <c r="C740">
        <f t="shared" si="18"/>
        <v>2020</v>
      </c>
    </row>
    <row r="741" spans="1:3" x14ac:dyDescent="0.35">
      <c r="A741" s="7">
        <v>43882</v>
      </c>
      <c r="B741" s="43">
        <v>202</v>
      </c>
      <c r="C741">
        <f t="shared" si="18"/>
        <v>2020</v>
      </c>
    </row>
    <row r="742" spans="1:3" x14ac:dyDescent="0.35">
      <c r="A742" s="7">
        <v>43881</v>
      </c>
      <c r="B742" s="43">
        <v>193</v>
      </c>
      <c r="C742">
        <f t="shared" si="18"/>
        <v>2020</v>
      </c>
    </row>
    <row r="743" spans="1:3" x14ac:dyDescent="0.35">
      <c r="A743" s="7">
        <v>43880</v>
      </c>
      <c r="B743" s="43">
        <v>189</v>
      </c>
      <c r="C743">
        <f t="shared" si="18"/>
        <v>2020</v>
      </c>
    </row>
    <row r="744" spans="1:3" x14ac:dyDescent="0.35">
      <c r="A744" s="7">
        <v>43879</v>
      </c>
      <c r="B744" s="43">
        <v>198</v>
      </c>
      <c r="C744">
        <f t="shared" si="18"/>
        <v>2020</v>
      </c>
    </row>
    <row r="745" spans="1:3" x14ac:dyDescent="0.35">
      <c r="A745" s="7">
        <v>43878</v>
      </c>
      <c r="B745" s="43">
        <v>196</v>
      </c>
      <c r="C745">
        <f t="shared" si="18"/>
        <v>2020</v>
      </c>
    </row>
    <row r="746" spans="1:3" x14ac:dyDescent="0.35">
      <c r="A746" s="7">
        <v>43875</v>
      </c>
      <c r="B746" s="43">
        <v>196</v>
      </c>
      <c r="C746">
        <f t="shared" si="18"/>
        <v>2020</v>
      </c>
    </row>
    <row r="747" spans="1:3" x14ac:dyDescent="0.35">
      <c r="A747" s="7">
        <v>43874</v>
      </c>
      <c r="B747" s="43">
        <v>203</v>
      </c>
      <c r="C747">
        <f t="shared" si="18"/>
        <v>2020</v>
      </c>
    </row>
    <row r="748" spans="1:3" x14ac:dyDescent="0.35">
      <c r="A748" s="7">
        <v>43873</v>
      </c>
      <c r="B748" s="43">
        <v>203</v>
      </c>
      <c r="C748">
        <f t="shared" si="18"/>
        <v>2020</v>
      </c>
    </row>
    <row r="749" spans="1:3" x14ac:dyDescent="0.35">
      <c r="A749" s="7">
        <v>43872</v>
      </c>
      <c r="B749" s="43">
        <v>209</v>
      </c>
      <c r="C749">
        <f t="shared" si="18"/>
        <v>2020</v>
      </c>
    </row>
    <row r="750" spans="1:3" x14ac:dyDescent="0.35">
      <c r="A750" s="7">
        <v>43871</v>
      </c>
      <c r="B750" s="43">
        <v>216</v>
      </c>
      <c r="C750">
        <f t="shared" si="18"/>
        <v>2020</v>
      </c>
    </row>
    <row r="751" spans="1:3" x14ac:dyDescent="0.35">
      <c r="A751" s="7">
        <v>43868</v>
      </c>
      <c r="B751" s="43">
        <v>217</v>
      </c>
      <c r="C751">
        <f t="shared" si="18"/>
        <v>2020</v>
      </c>
    </row>
    <row r="752" spans="1:3" x14ac:dyDescent="0.35">
      <c r="A752" s="7">
        <v>43867</v>
      </c>
      <c r="B752" s="43">
        <v>213</v>
      </c>
      <c r="C752">
        <f t="shared" si="18"/>
        <v>2020</v>
      </c>
    </row>
    <row r="753" spans="1:3" x14ac:dyDescent="0.35">
      <c r="A753" s="7">
        <v>43866</v>
      </c>
      <c r="B753" s="43">
        <v>214</v>
      </c>
      <c r="C753">
        <f t="shared" si="18"/>
        <v>2020</v>
      </c>
    </row>
    <row r="754" spans="1:3" x14ac:dyDescent="0.35">
      <c r="A754" s="7">
        <v>43865</v>
      </c>
      <c r="B754" s="43">
        <v>219</v>
      </c>
      <c r="C754">
        <f t="shared" si="18"/>
        <v>2020</v>
      </c>
    </row>
    <row r="755" spans="1:3" x14ac:dyDescent="0.35">
      <c r="A755" s="7">
        <v>43864</v>
      </c>
      <c r="B755" s="43">
        <v>226</v>
      </c>
      <c r="C755">
        <f t="shared" si="18"/>
        <v>2020</v>
      </c>
    </row>
    <row r="756" spans="1:3" x14ac:dyDescent="0.35">
      <c r="A756" s="7">
        <v>43861</v>
      </c>
      <c r="B756" s="43">
        <v>225</v>
      </c>
      <c r="C756">
        <f t="shared" si="18"/>
        <v>2020</v>
      </c>
    </row>
    <row r="757" spans="1:3" x14ac:dyDescent="0.35">
      <c r="A757" s="7">
        <v>43860</v>
      </c>
      <c r="B757" s="43">
        <v>224</v>
      </c>
      <c r="C757">
        <f t="shared" si="18"/>
        <v>2020</v>
      </c>
    </row>
    <row r="758" spans="1:3" x14ac:dyDescent="0.35">
      <c r="A758" s="7">
        <v>43859</v>
      </c>
      <c r="B758" s="43">
        <v>225</v>
      </c>
      <c r="C758">
        <f t="shared" si="18"/>
        <v>2020</v>
      </c>
    </row>
    <row r="759" spans="1:3" x14ac:dyDescent="0.35">
      <c r="A759" s="7">
        <v>43858</v>
      </c>
      <c r="B759" s="43">
        <v>227</v>
      </c>
      <c r="C759">
        <f t="shared" si="18"/>
        <v>2020</v>
      </c>
    </row>
    <row r="760" spans="1:3" x14ac:dyDescent="0.35">
      <c r="A760" s="7">
        <v>43857</v>
      </c>
      <c r="B760" s="43">
        <v>232</v>
      </c>
      <c r="C760">
        <f t="shared" si="18"/>
        <v>2020</v>
      </c>
    </row>
    <row r="761" spans="1:3" x14ac:dyDescent="0.35">
      <c r="A761" s="7">
        <v>43854</v>
      </c>
      <c r="B761" s="43">
        <v>225</v>
      </c>
      <c r="C761">
        <f t="shared" si="18"/>
        <v>2020</v>
      </c>
    </row>
    <row r="762" spans="1:3" x14ac:dyDescent="0.35">
      <c r="A762" s="7">
        <v>43853</v>
      </c>
      <c r="B762" s="43">
        <v>220</v>
      </c>
      <c r="C762">
        <f t="shared" si="18"/>
        <v>2020</v>
      </c>
    </row>
    <row r="763" spans="1:3" x14ac:dyDescent="0.35">
      <c r="A763" s="7">
        <v>43852</v>
      </c>
      <c r="B763" s="43">
        <v>216</v>
      </c>
      <c r="C763">
        <f t="shared" si="18"/>
        <v>2020</v>
      </c>
    </row>
    <row r="764" spans="1:3" x14ac:dyDescent="0.35">
      <c r="A764" s="7">
        <v>43851</v>
      </c>
      <c r="B764" s="43">
        <v>214</v>
      </c>
      <c r="C764">
        <f t="shared" si="18"/>
        <v>2020</v>
      </c>
    </row>
    <row r="765" spans="1:3" x14ac:dyDescent="0.35">
      <c r="A765" s="7">
        <v>43850</v>
      </c>
      <c r="B765" s="43">
        <v>209</v>
      </c>
      <c r="C765">
        <f t="shared" si="18"/>
        <v>2020</v>
      </c>
    </row>
    <row r="766" spans="1:3" x14ac:dyDescent="0.35">
      <c r="A766" s="7">
        <v>43847</v>
      </c>
      <c r="B766" s="43">
        <v>209</v>
      </c>
      <c r="C766">
        <f t="shared" si="18"/>
        <v>2020</v>
      </c>
    </row>
    <row r="767" spans="1:3" x14ac:dyDescent="0.35">
      <c r="A767" s="7">
        <v>43846</v>
      </c>
      <c r="B767" s="43">
        <v>211</v>
      </c>
      <c r="C767">
        <f t="shared" si="18"/>
        <v>2020</v>
      </c>
    </row>
    <row r="768" spans="1:3" x14ac:dyDescent="0.35">
      <c r="A768" s="7">
        <v>43845</v>
      </c>
      <c r="B768" s="43">
        <v>217</v>
      </c>
      <c r="C768">
        <f t="shared" si="18"/>
        <v>2020</v>
      </c>
    </row>
    <row r="769" spans="1:3" x14ac:dyDescent="0.35">
      <c r="A769" s="7">
        <v>43844</v>
      </c>
      <c r="B769" s="43">
        <v>215</v>
      </c>
      <c r="C769">
        <f t="shared" si="18"/>
        <v>2020</v>
      </c>
    </row>
    <row r="770" spans="1:3" x14ac:dyDescent="0.35">
      <c r="A770" s="7">
        <v>43843</v>
      </c>
      <c r="B770" s="43">
        <v>213</v>
      </c>
      <c r="C770">
        <f t="shared" si="18"/>
        <v>2020</v>
      </c>
    </row>
    <row r="771" spans="1:3" x14ac:dyDescent="0.35">
      <c r="A771" s="7">
        <v>43840</v>
      </c>
      <c r="B771" s="43">
        <v>213</v>
      </c>
      <c r="C771">
        <f t="shared" ref="C771:C834" si="19">YEAR(A771)</f>
        <v>2020</v>
      </c>
    </row>
    <row r="772" spans="1:3" x14ac:dyDescent="0.35">
      <c r="A772" s="7">
        <v>43839</v>
      </c>
      <c r="B772" s="43">
        <v>215</v>
      </c>
      <c r="C772">
        <f t="shared" si="19"/>
        <v>2020</v>
      </c>
    </row>
    <row r="773" spans="1:3" x14ac:dyDescent="0.35">
      <c r="A773" s="7">
        <v>43838</v>
      </c>
      <c r="B773" s="43">
        <v>215</v>
      </c>
      <c r="C773">
        <f t="shared" si="19"/>
        <v>2020</v>
      </c>
    </row>
    <row r="774" spans="1:3" x14ac:dyDescent="0.35">
      <c r="A774" s="7">
        <v>43837</v>
      </c>
      <c r="B774" s="43">
        <v>220</v>
      </c>
      <c r="C774">
        <f t="shared" si="19"/>
        <v>2020</v>
      </c>
    </row>
    <row r="775" spans="1:3" x14ac:dyDescent="0.35">
      <c r="A775" s="7">
        <v>43836</v>
      </c>
      <c r="B775" s="43">
        <v>222</v>
      </c>
      <c r="C775">
        <f t="shared" si="19"/>
        <v>2020</v>
      </c>
    </row>
    <row r="776" spans="1:3" x14ac:dyDescent="0.35">
      <c r="A776" s="7">
        <v>43833</v>
      </c>
      <c r="B776" s="43">
        <v>225</v>
      </c>
      <c r="C776">
        <f t="shared" si="19"/>
        <v>2020</v>
      </c>
    </row>
    <row r="777" spans="1:3" x14ac:dyDescent="0.35">
      <c r="A777" s="7">
        <v>43832</v>
      </c>
      <c r="B777" s="43">
        <v>218</v>
      </c>
      <c r="C777">
        <f t="shared" si="19"/>
        <v>2020</v>
      </c>
    </row>
    <row r="778" spans="1:3" x14ac:dyDescent="0.35">
      <c r="A778" s="7">
        <v>43830</v>
      </c>
      <c r="B778" s="43">
        <v>214</v>
      </c>
      <c r="C778">
        <f t="shared" si="19"/>
        <v>2019</v>
      </c>
    </row>
    <row r="779" spans="1:3" x14ac:dyDescent="0.35">
      <c r="A779" s="7">
        <v>43829</v>
      </c>
      <c r="B779" s="43">
        <v>215</v>
      </c>
      <c r="C779">
        <f t="shared" si="19"/>
        <v>2019</v>
      </c>
    </row>
    <row r="780" spans="1:3" x14ac:dyDescent="0.35">
      <c r="A780" s="7">
        <v>43826</v>
      </c>
      <c r="B780" s="43">
        <v>215</v>
      </c>
      <c r="C780">
        <f t="shared" si="19"/>
        <v>2019</v>
      </c>
    </row>
    <row r="781" spans="1:3" x14ac:dyDescent="0.35">
      <c r="A781" s="7">
        <v>43825</v>
      </c>
      <c r="B781" s="43">
        <v>214</v>
      </c>
      <c r="C781">
        <f t="shared" si="19"/>
        <v>2019</v>
      </c>
    </row>
    <row r="782" spans="1:3" x14ac:dyDescent="0.35">
      <c r="A782" s="7">
        <v>43823</v>
      </c>
      <c r="B782" s="43">
        <v>215</v>
      </c>
      <c r="C782">
        <f t="shared" si="19"/>
        <v>2019</v>
      </c>
    </row>
    <row r="783" spans="1:3" x14ac:dyDescent="0.35">
      <c r="A783" s="7">
        <v>43822</v>
      </c>
      <c r="B783" s="43">
        <v>212</v>
      </c>
      <c r="C783">
        <f t="shared" si="19"/>
        <v>2019</v>
      </c>
    </row>
    <row r="784" spans="1:3" x14ac:dyDescent="0.35">
      <c r="A784" s="7">
        <v>43819</v>
      </c>
      <c r="B784" s="43">
        <v>214</v>
      </c>
      <c r="C784">
        <f t="shared" si="19"/>
        <v>2019</v>
      </c>
    </row>
    <row r="785" spans="1:3" x14ac:dyDescent="0.35">
      <c r="A785" s="7">
        <v>43818</v>
      </c>
      <c r="B785" s="43">
        <v>213</v>
      </c>
      <c r="C785">
        <f t="shared" si="19"/>
        <v>2019</v>
      </c>
    </row>
    <row r="786" spans="1:3" x14ac:dyDescent="0.35">
      <c r="A786" s="7">
        <v>43817</v>
      </c>
      <c r="B786" s="43">
        <v>208</v>
      </c>
      <c r="C786">
        <f t="shared" si="19"/>
        <v>2019</v>
      </c>
    </row>
    <row r="787" spans="1:3" x14ac:dyDescent="0.35">
      <c r="A787" s="7">
        <v>43816</v>
      </c>
      <c r="B787" s="43">
        <v>211</v>
      </c>
      <c r="C787">
        <f t="shared" si="19"/>
        <v>2019</v>
      </c>
    </row>
    <row r="788" spans="1:3" x14ac:dyDescent="0.35">
      <c r="A788" s="7">
        <v>43815</v>
      </c>
      <c r="B788" s="43">
        <v>212</v>
      </c>
      <c r="C788">
        <f t="shared" si="19"/>
        <v>2019</v>
      </c>
    </row>
    <row r="789" spans="1:3" x14ac:dyDescent="0.35">
      <c r="A789" s="7">
        <v>43812</v>
      </c>
      <c r="B789" s="43">
        <v>218</v>
      </c>
      <c r="C789">
        <f t="shared" si="19"/>
        <v>2019</v>
      </c>
    </row>
    <row r="790" spans="1:3" x14ac:dyDescent="0.35">
      <c r="A790" s="7">
        <v>43811</v>
      </c>
      <c r="B790" s="43">
        <v>215</v>
      </c>
      <c r="C790">
        <f t="shared" si="19"/>
        <v>2019</v>
      </c>
    </row>
    <row r="791" spans="1:3" x14ac:dyDescent="0.35">
      <c r="A791" s="7">
        <v>43810</v>
      </c>
      <c r="B791" s="43">
        <v>230</v>
      </c>
      <c r="C791">
        <f t="shared" si="19"/>
        <v>2019</v>
      </c>
    </row>
    <row r="792" spans="1:3" x14ac:dyDescent="0.35">
      <c r="A792" s="7">
        <v>43809</v>
      </c>
      <c r="B792" s="43">
        <v>228</v>
      </c>
      <c r="C792">
        <f t="shared" si="19"/>
        <v>2019</v>
      </c>
    </row>
    <row r="793" spans="1:3" x14ac:dyDescent="0.35">
      <c r="A793" s="7">
        <v>43808</v>
      </c>
      <c r="B793" s="43">
        <v>231</v>
      </c>
      <c r="C793">
        <f t="shared" si="19"/>
        <v>2019</v>
      </c>
    </row>
    <row r="794" spans="1:3" x14ac:dyDescent="0.35">
      <c r="A794" s="7">
        <v>43805</v>
      </c>
      <c r="B794" s="43">
        <v>231</v>
      </c>
      <c r="C794">
        <f t="shared" si="19"/>
        <v>2019</v>
      </c>
    </row>
    <row r="795" spans="1:3" x14ac:dyDescent="0.35">
      <c r="A795" s="7">
        <v>43804</v>
      </c>
      <c r="B795" s="43">
        <v>238</v>
      </c>
      <c r="C795">
        <f t="shared" si="19"/>
        <v>2019</v>
      </c>
    </row>
    <row r="796" spans="1:3" x14ac:dyDescent="0.35">
      <c r="A796" s="7">
        <v>43803</v>
      </c>
      <c r="B796" s="43">
        <v>240</v>
      </c>
      <c r="C796">
        <f t="shared" si="19"/>
        <v>2019</v>
      </c>
    </row>
    <row r="797" spans="1:3" x14ac:dyDescent="0.35">
      <c r="A797" s="7">
        <v>43802</v>
      </c>
      <c r="B797" s="43">
        <v>250</v>
      </c>
      <c r="C797">
        <f t="shared" si="19"/>
        <v>2019</v>
      </c>
    </row>
    <row r="798" spans="1:3" x14ac:dyDescent="0.35">
      <c r="A798" s="7">
        <v>43801</v>
      </c>
      <c r="B798" s="43">
        <v>240</v>
      </c>
      <c r="C798">
        <f t="shared" si="19"/>
        <v>2019</v>
      </c>
    </row>
    <row r="799" spans="1:3" x14ac:dyDescent="0.35">
      <c r="A799" s="7">
        <v>43798</v>
      </c>
      <c r="B799" s="43">
        <v>239</v>
      </c>
      <c r="C799">
        <f t="shared" si="19"/>
        <v>2019</v>
      </c>
    </row>
    <row r="800" spans="1:3" x14ac:dyDescent="0.35">
      <c r="A800" s="7">
        <v>43797</v>
      </c>
      <c r="B800" s="43">
        <v>244</v>
      </c>
      <c r="C800">
        <f t="shared" si="19"/>
        <v>2019</v>
      </c>
    </row>
    <row r="801" spans="1:3" x14ac:dyDescent="0.35">
      <c r="A801" s="7">
        <v>43796</v>
      </c>
      <c r="B801" s="43">
        <v>244</v>
      </c>
      <c r="C801">
        <f t="shared" si="19"/>
        <v>2019</v>
      </c>
    </row>
    <row r="802" spans="1:3" x14ac:dyDescent="0.35">
      <c r="A802" s="7">
        <v>43795</v>
      </c>
      <c r="B802" s="43">
        <v>246</v>
      </c>
      <c r="C802">
        <f t="shared" si="19"/>
        <v>2019</v>
      </c>
    </row>
    <row r="803" spans="1:3" x14ac:dyDescent="0.35">
      <c r="A803" s="7">
        <v>43794</v>
      </c>
      <c r="B803" s="43">
        <v>242</v>
      </c>
      <c r="C803">
        <f t="shared" si="19"/>
        <v>2019</v>
      </c>
    </row>
    <row r="804" spans="1:3" x14ac:dyDescent="0.35">
      <c r="A804" s="7">
        <v>43791</v>
      </c>
      <c r="B804" s="43">
        <v>241</v>
      </c>
      <c r="C804">
        <f t="shared" si="19"/>
        <v>2019</v>
      </c>
    </row>
    <row r="805" spans="1:3" x14ac:dyDescent="0.35">
      <c r="A805" s="7">
        <v>43790</v>
      </c>
      <c r="B805" s="43">
        <v>245</v>
      </c>
      <c r="C805">
        <f t="shared" si="19"/>
        <v>2019</v>
      </c>
    </row>
    <row r="806" spans="1:3" x14ac:dyDescent="0.35">
      <c r="A806" s="7">
        <v>43789</v>
      </c>
      <c r="B806" s="43">
        <v>249</v>
      </c>
      <c r="C806">
        <f t="shared" si="19"/>
        <v>2019</v>
      </c>
    </row>
    <row r="807" spans="1:3" x14ac:dyDescent="0.35">
      <c r="A807" s="7">
        <v>43788</v>
      </c>
      <c r="B807" s="43">
        <v>246</v>
      </c>
      <c r="C807">
        <f t="shared" si="19"/>
        <v>2019</v>
      </c>
    </row>
    <row r="808" spans="1:3" x14ac:dyDescent="0.35">
      <c r="A808" s="7">
        <v>43787</v>
      </c>
      <c r="B808" s="43">
        <v>240</v>
      </c>
      <c r="C808">
        <f t="shared" si="19"/>
        <v>2019</v>
      </c>
    </row>
    <row r="809" spans="1:3" x14ac:dyDescent="0.35">
      <c r="A809" s="7">
        <v>43784</v>
      </c>
      <c r="B809" s="43">
        <v>238</v>
      </c>
      <c r="C809">
        <f t="shared" si="19"/>
        <v>2019</v>
      </c>
    </row>
    <row r="810" spans="1:3" x14ac:dyDescent="0.35">
      <c r="A810" s="7">
        <v>43783</v>
      </c>
      <c r="B810" s="43">
        <v>238</v>
      </c>
      <c r="C810">
        <f t="shared" si="19"/>
        <v>2019</v>
      </c>
    </row>
    <row r="811" spans="1:3" x14ac:dyDescent="0.35">
      <c r="A811" s="7">
        <v>43782</v>
      </c>
      <c r="B811" s="43">
        <v>235</v>
      </c>
      <c r="C811">
        <f t="shared" si="19"/>
        <v>2019</v>
      </c>
    </row>
    <row r="812" spans="1:3" x14ac:dyDescent="0.35">
      <c r="A812" s="7">
        <v>43781</v>
      </c>
      <c r="B812" s="43">
        <v>232</v>
      </c>
      <c r="C812">
        <f t="shared" si="19"/>
        <v>2019</v>
      </c>
    </row>
    <row r="813" spans="1:3" x14ac:dyDescent="0.35">
      <c r="A813" s="7">
        <v>43780</v>
      </c>
      <c r="B813" s="43">
        <v>229</v>
      </c>
      <c r="C813">
        <f t="shared" si="19"/>
        <v>2019</v>
      </c>
    </row>
    <row r="814" spans="1:3" x14ac:dyDescent="0.35">
      <c r="A814" s="7">
        <v>43777</v>
      </c>
      <c r="B814" s="43">
        <v>229</v>
      </c>
      <c r="C814">
        <f t="shared" si="19"/>
        <v>2019</v>
      </c>
    </row>
    <row r="815" spans="1:3" x14ac:dyDescent="0.35">
      <c r="A815" s="7">
        <v>43776</v>
      </c>
      <c r="B815" s="43">
        <v>230</v>
      </c>
      <c r="C815">
        <f t="shared" si="19"/>
        <v>2019</v>
      </c>
    </row>
    <row r="816" spans="1:3" x14ac:dyDescent="0.35">
      <c r="A816" s="7">
        <v>43775</v>
      </c>
      <c r="B816" s="43">
        <v>235</v>
      </c>
      <c r="C816">
        <f t="shared" si="19"/>
        <v>2019</v>
      </c>
    </row>
    <row r="817" spans="1:3" x14ac:dyDescent="0.35">
      <c r="A817" s="7">
        <v>43774</v>
      </c>
      <c r="B817" s="43">
        <v>231</v>
      </c>
      <c r="C817">
        <f t="shared" si="19"/>
        <v>2019</v>
      </c>
    </row>
    <row r="818" spans="1:3" x14ac:dyDescent="0.35">
      <c r="A818" s="7">
        <v>43773</v>
      </c>
      <c r="B818" s="43">
        <v>229</v>
      </c>
      <c r="C818">
        <f t="shared" si="19"/>
        <v>2019</v>
      </c>
    </row>
    <row r="819" spans="1:3" x14ac:dyDescent="0.35">
      <c r="A819" s="7">
        <v>43770</v>
      </c>
      <c r="B819" s="43">
        <v>231</v>
      </c>
      <c r="C819">
        <f t="shared" si="19"/>
        <v>2019</v>
      </c>
    </row>
    <row r="820" spans="1:3" x14ac:dyDescent="0.35">
      <c r="A820" s="7">
        <v>43769</v>
      </c>
      <c r="B820" s="43">
        <v>240</v>
      </c>
      <c r="C820">
        <f t="shared" si="19"/>
        <v>2019</v>
      </c>
    </row>
    <row r="821" spans="1:3" x14ac:dyDescent="0.35">
      <c r="A821" s="7">
        <v>43768</v>
      </c>
      <c r="B821" s="43">
        <v>237</v>
      </c>
      <c r="C821">
        <f t="shared" si="19"/>
        <v>2019</v>
      </c>
    </row>
    <row r="822" spans="1:3" x14ac:dyDescent="0.35">
      <c r="A822" s="7">
        <v>43767</v>
      </c>
      <c r="B822" s="43">
        <v>228</v>
      </c>
      <c r="C822">
        <f t="shared" si="19"/>
        <v>2019</v>
      </c>
    </row>
    <row r="823" spans="1:3" x14ac:dyDescent="0.35">
      <c r="A823" s="7">
        <v>43766</v>
      </c>
      <c r="B823" s="43">
        <v>227</v>
      </c>
      <c r="C823">
        <f t="shared" si="19"/>
        <v>2019</v>
      </c>
    </row>
    <row r="824" spans="1:3" x14ac:dyDescent="0.35">
      <c r="A824" s="7">
        <v>43763</v>
      </c>
      <c r="B824" s="43">
        <v>231</v>
      </c>
      <c r="C824">
        <f t="shared" si="19"/>
        <v>2019</v>
      </c>
    </row>
    <row r="825" spans="1:3" x14ac:dyDescent="0.35">
      <c r="A825" s="7">
        <v>43762</v>
      </c>
      <c r="B825" s="43">
        <v>235</v>
      </c>
      <c r="C825">
        <f t="shared" si="19"/>
        <v>2019</v>
      </c>
    </row>
    <row r="826" spans="1:3" x14ac:dyDescent="0.35">
      <c r="A826" s="7">
        <v>43761</v>
      </c>
      <c r="B826" s="43">
        <v>237</v>
      </c>
      <c r="C826">
        <f t="shared" si="19"/>
        <v>2019</v>
      </c>
    </row>
    <row r="827" spans="1:3" x14ac:dyDescent="0.35">
      <c r="A827" s="7">
        <v>43760</v>
      </c>
      <c r="B827" s="43">
        <v>237</v>
      </c>
      <c r="C827">
        <f t="shared" si="19"/>
        <v>2019</v>
      </c>
    </row>
    <row r="828" spans="1:3" x14ac:dyDescent="0.35">
      <c r="A828" s="7">
        <v>43759</v>
      </c>
      <c r="B828" s="43">
        <v>235</v>
      </c>
      <c r="C828">
        <f t="shared" si="19"/>
        <v>2019</v>
      </c>
    </row>
    <row r="829" spans="1:3" x14ac:dyDescent="0.35">
      <c r="A829" s="7">
        <v>43756</v>
      </c>
      <c r="B829" s="43">
        <v>238</v>
      </c>
      <c r="C829">
        <f t="shared" si="19"/>
        <v>2019</v>
      </c>
    </row>
    <row r="830" spans="1:3" x14ac:dyDescent="0.35">
      <c r="A830" s="7">
        <v>43755</v>
      </c>
      <c r="B830" s="43">
        <v>238</v>
      </c>
      <c r="C830">
        <f t="shared" si="19"/>
        <v>2019</v>
      </c>
    </row>
    <row r="831" spans="1:3" x14ac:dyDescent="0.35">
      <c r="A831" s="7">
        <v>43754</v>
      </c>
      <c r="B831" s="43">
        <v>239</v>
      </c>
      <c r="C831">
        <f t="shared" si="19"/>
        <v>2019</v>
      </c>
    </row>
    <row r="832" spans="1:3" x14ac:dyDescent="0.35">
      <c r="A832" s="7">
        <v>43753</v>
      </c>
      <c r="B832" s="43">
        <v>237</v>
      </c>
      <c r="C832">
        <f t="shared" si="19"/>
        <v>2019</v>
      </c>
    </row>
    <row r="833" spans="1:3" x14ac:dyDescent="0.35">
      <c r="A833" s="7">
        <v>43752</v>
      </c>
      <c r="B833" s="43">
        <v>240</v>
      </c>
      <c r="C833">
        <f t="shared" si="19"/>
        <v>2019</v>
      </c>
    </row>
    <row r="834" spans="1:3" x14ac:dyDescent="0.35">
      <c r="A834" s="7">
        <v>43749</v>
      </c>
      <c r="B834" s="43">
        <v>240</v>
      </c>
      <c r="C834">
        <f t="shared" si="19"/>
        <v>2019</v>
      </c>
    </row>
    <row r="835" spans="1:3" x14ac:dyDescent="0.35">
      <c r="A835" s="7">
        <v>43748</v>
      </c>
      <c r="B835" s="43">
        <v>247</v>
      </c>
      <c r="C835">
        <f t="shared" ref="C835:C898" si="20">YEAR(A835)</f>
        <v>2019</v>
      </c>
    </row>
    <row r="836" spans="1:3" x14ac:dyDescent="0.35">
      <c r="A836" s="7">
        <v>43747</v>
      </c>
      <c r="B836" s="43">
        <v>255</v>
      </c>
      <c r="C836">
        <f t="shared" si="20"/>
        <v>2019</v>
      </c>
    </row>
    <row r="837" spans="1:3" x14ac:dyDescent="0.35">
      <c r="A837" s="7">
        <v>43746</v>
      </c>
      <c r="B837" s="43">
        <v>262</v>
      </c>
      <c r="C837">
        <f t="shared" si="20"/>
        <v>2019</v>
      </c>
    </row>
    <row r="838" spans="1:3" x14ac:dyDescent="0.35">
      <c r="A838" s="7">
        <v>43745</v>
      </c>
      <c r="B838" s="43">
        <v>259</v>
      </c>
      <c r="C838">
        <f t="shared" si="20"/>
        <v>2019</v>
      </c>
    </row>
    <row r="839" spans="1:3" x14ac:dyDescent="0.35">
      <c r="A839" s="7">
        <v>43742</v>
      </c>
      <c r="B839" s="43">
        <v>264</v>
      </c>
      <c r="C839">
        <f t="shared" si="20"/>
        <v>2019</v>
      </c>
    </row>
    <row r="840" spans="1:3" x14ac:dyDescent="0.35">
      <c r="A840" s="7">
        <v>43741</v>
      </c>
      <c r="B840" s="43">
        <v>264</v>
      </c>
      <c r="C840">
        <f t="shared" si="20"/>
        <v>2019</v>
      </c>
    </row>
    <row r="841" spans="1:3" x14ac:dyDescent="0.35">
      <c r="A841" s="7">
        <v>43740</v>
      </c>
      <c r="B841" s="43">
        <v>259</v>
      </c>
      <c r="C841">
        <f t="shared" si="20"/>
        <v>2019</v>
      </c>
    </row>
    <row r="842" spans="1:3" x14ac:dyDescent="0.35">
      <c r="A842" s="7">
        <v>43739</v>
      </c>
      <c r="B842" s="43">
        <v>252</v>
      </c>
      <c r="C842">
        <f t="shared" si="20"/>
        <v>2019</v>
      </c>
    </row>
    <row r="843" spans="1:3" x14ac:dyDescent="0.35">
      <c r="A843" s="7">
        <v>43738</v>
      </c>
      <c r="B843" s="43">
        <v>247</v>
      </c>
      <c r="C843">
        <f t="shared" si="20"/>
        <v>2019</v>
      </c>
    </row>
    <row r="844" spans="1:3" x14ac:dyDescent="0.35">
      <c r="A844" s="7">
        <v>43735</v>
      </c>
      <c r="B844" s="43">
        <v>246</v>
      </c>
      <c r="C844">
        <f t="shared" si="20"/>
        <v>2019</v>
      </c>
    </row>
    <row r="845" spans="1:3" x14ac:dyDescent="0.35">
      <c r="A845" s="7">
        <v>43734</v>
      </c>
      <c r="B845" s="43">
        <v>243</v>
      </c>
      <c r="C845">
        <f t="shared" si="20"/>
        <v>2019</v>
      </c>
    </row>
    <row r="846" spans="1:3" x14ac:dyDescent="0.35">
      <c r="A846" s="7">
        <v>43733</v>
      </c>
      <c r="B846" s="43">
        <v>240</v>
      </c>
      <c r="C846">
        <f t="shared" si="20"/>
        <v>2019</v>
      </c>
    </row>
    <row r="847" spans="1:3" x14ac:dyDescent="0.35">
      <c r="A847" s="7">
        <v>43732</v>
      </c>
      <c r="B847" s="43">
        <v>243</v>
      </c>
      <c r="C847">
        <f t="shared" si="20"/>
        <v>2019</v>
      </c>
    </row>
    <row r="848" spans="1:3" x14ac:dyDescent="0.35">
      <c r="A848" s="7">
        <v>43731</v>
      </c>
      <c r="B848" s="43">
        <v>234</v>
      </c>
      <c r="C848">
        <f t="shared" si="20"/>
        <v>2019</v>
      </c>
    </row>
    <row r="849" spans="1:3" x14ac:dyDescent="0.35">
      <c r="A849" s="7">
        <v>43728</v>
      </c>
      <c r="B849" s="43">
        <v>232</v>
      </c>
      <c r="C849">
        <f t="shared" si="20"/>
        <v>2019</v>
      </c>
    </row>
    <row r="850" spans="1:3" x14ac:dyDescent="0.35">
      <c r="A850" s="7">
        <v>43727</v>
      </c>
      <c r="B850" s="43">
        <v>227</v>
      </c>
      <c r="C850">
        <f t="shared" si="20"/>
        <v>2019</v>
      </c>
    </row>
    <row r="851" spans="1:3" x14ac:dyDescent="0.35">
      <c r="A851" s="7">
        <v>43726</v>
      </c>
      <c r="B851" s="43">
        <v>225</v>
      </c>
      <c r="C851">
        <f t="shared" si="20"/>
        <v>2019</v>
      </c>
    </row>
    <row r="852" spans="1:3" x14ac:dyDescent="0.35">
      <c r="A852" s="7">
        <v>43725</v>
      </c>
      <c r="B852" s="43">
        <v>227</v>
      </c>
      <c r="C852">
        <f t="shared" si="20"/>
        <v>2019</v>
      </c>
    </row>
    <row r="853" spans="1:3" x14ac:dyDescent="0.35">
      <c r="A853" s="7">
        <v>43724</v>
      </c>
      <c r="B853" s="43">
        <v>224</v>
      </c>
      <c r="C853">
        <f t="shared" si="20"/>
        <v>2019</v>
      </c>
    </row>
    <row r="854" spans="1:3" x14ac:dyDescent="0.35">
      <c r="A854" s="7">
        <v>43721</v>
      </c>
      <c r="B854" s="43">
        <v>219</v>
      </c>
      <c r="C854">
        <f t="shared" si="20"/>
        <v>2019</v>
      </c>
    </row>
    <row r="855" spans="1:3" x14ac:dyDescent="0.35">
      <c r="A855" s="7">
        <v>43720</v>
      </c>
      <c r="B855" s="43">
        <v>222</v>
      </c>
      <c r="C855">
        <f t="shared" si="20"/>
        <v>2019</v>
      </c>
    </row>
    <row r="856" spans="1:3" x14ac:dyDescent="0.35">
      <c r="A856" s="7">
        <v>43719</v>
      </c>
      <c r="B856" s="43">
        <v>228</v>
      </c>
      <c r="C856">
        <f t="shared" si="20"/>
        <v>2019</v>
      </c>
    </row>
    <row r="857" spans="1:3" x14ac:dyDescent="0.35">
      <c r="A857" s="7">
        <v>43718</v>
      </c>
      <c r="B857" s="43">
        <v>229</v>
      </c>
      <c r="C857">
        <f t="shared" si="20"/>
        <v>2019</v>
      </c>
    </row>
    <row r="858" spans="1:3" x14ac:dyDescent="0.35">
      <c r="A858" s="7">
        <v>43717</v>
      </c>
      <c r="B858" s="43">
        <v>234</v>
      </c>
      <c r="C858">
        <f t="shared" si="20"/>
        <v>2019</v>
      </c>
    </row>
    <row r="859" spans="1:3" x14ac:dyDescent="0.35">
      <c r="A859" s="7">
        <v>43714</v>
      </c>
      <c r="B859" s="43">
        <v>240</v>
      </c>
      <c r="C859">
        <f t="shared" si="20"/>
        <v>2019</v>
      </c>
    </row>
    <row r="860" spans="1:3" x14ac:dyDescent="0.35">
      <c r="A860" s="7">
        <v>43713</v>
      </c>
      <c r="B860" s="43">
        <v>238</v>
      </c>
      <c r="C860">
        <f t="shared" si="20"/>
        <v>2019</v>
      </c>
    </row>
    <row r="861" spans="1:3" x14ac:dyDescent="0.35">
      <c r="A861" s="7">
        <v>43712</v>
      </c>
      <c r="B861" s="43">
        <v>247</v>
      </c>
      <c r="C861">
        <f t="shared" si="20"/>
        <v>2019</v>
      </c>
    </row>
    <row r="862" spans="1:3" x14ac:dyDescent="0.35">
      <c r="A862" s="7">
        <v>43711</v>
      </c>
      <c r="B862" s="43">
        <v>249</v>
      </c>
      <c r="C862">
        <f t="shared" si="20"/>
        <v>2019</v>
      </c>
    </row>
    <row r="863" spans="1:3" x14ac:dyDescent="0.35">
      <c r="A863" s="7">
        <v>43710</v>
      </c>
      <c r="B863" s="43">
        <v>248</v>
      </c>
      <c r="C863">
        <f t="shared" si="20"/>
        <v>2019</v>
      </c>
    </row>
    <row r="864" spans="1:3" x14ac:dyDescent="0.35">
      <c r="A864" s="7">
        <v>43707</v>
      </c>
      <c r="B864" s="43">
        <v>248</v>
      </c>
      <c r="C864">
        <f t="shared" si="20"/>
        <v>2019</v>
      </c>
    </row>
    <row r="865" spans="1:3" x14ac:dyDescent="0.35">
      <c r="A865" s="7">
        <v>43706</v>
      </c>
      <c r="B865" s="43">
        <v>247</v>
      </c>
      <c r="C865">
        <f t="shared" si="20"/>
        <v>2019</v>
      </c>
    </row>
    <row r="866" spans="1:3" x14ac:dyDescent="0.35">
      <c r="A866" s="7">
        <v>43705</v>
      </c>
      <c r="B866" s="43">
        <v>252</v>
      </c>
      <c r="C866">
        <f t="shared" si="20"/>
        <v>2019</v>
      </c>
    </row>
    <row r="867" spans="1:3" x14ac:dyDescent="0.35">
      <c r="A867" s="7">
        <v>43704</v>
      </c>
      <c r="B867" s="43">
        <v>250</v>
      </c>
      <c r="C867">
        <f t="shared" si="20"/>
        <v>2019</v>
      </c>
    </row>
    <row r="868" spans="1:3" x14ac:dyDescent="0.35">
      <c r="A868" s="7">
        <v>43703</v>
      </c>
      <c r="B868" s="43">
        <v>245</v>
      </c>
      <c r="C868">
        <f t="shared" si="20"/>
        <v>2019</v>
      </c>
    </row>
    <row r="869" spans="1:3" x14ac:dyDescent="0.35">
      <c r="A869" s="7">
        <v>43700</v>
      </c>
      <c r="B869" s="43">
        <v>246</v>
      </c>
      <c r="C869">
        <f t="shared" si="20"/>
        <v>2019</v>
      </c>
    </row>
    <row r="870" spans="1:3" x14ac:dyDescent="0.35">
      <c r="A870" s="7">
        <v>43699</v>
      </c>
      <c r="B870" s="43">
        <v>240</v>
      </c>
      <c r="C870">
        <f t="shared" si="20"/>
        <v>2019</v>
      </c>
    </row>
    <row r="871" spans="1:3" x14ac:dyDescent="0.35">
      <c r="A871" s="7">
        <v>43698</v>
      </c>
      <c r="B871" s="43">
        <v>244</v>
      </c>
      <c r="C871">
        <f t="shared" si="20"/>
        <v>2019</v>
      </c>
    </row>
    <row r="872" spans="1:3" x14ac:dyDescent="0.35">
      <c r="A872" s="7">
        <v>43697</v>
      </c>
      <c r="B872" s="43">
        <v>247</v>
      </c>
      <c r="C872">
        <f t="shared" si="20"/>
        <v>2019</v>
      </c>
    </row>
    <row r="873" spans="1:3" x14ac:dyDescent="0.35">
      <c r="A873" s="7">
        <v>43696</v>
      </c>
      <c r="B873" s="43">
        <v>243</v>
      </c>
      <c r="C873">
        <f t="shared" si="20"/>
        <v>2019</v>
      </c>
    </row>
    <row r="874" spans="1:3" x14ac:dyDescent="0.35">
      <c r="A874" s="7">
        <v>43693</v>
      </c>
      <c r="B874" s="43">
        <v>248</v>
      </c>
      <c r="C874">
        <f t="shared" si="20"/>
        <v>2019</v>
      </c>
    </row>
    <row r="875" spans="1:3" x14ac:dyDescent="0.35">
      <c r="A875" s="7">
        <v>43692</v>
      </c>
      <c r="B875" s="43">
        <v>251</v>
      </c>
      <c r="C875">
        <f t="shared" si="20"/>
        <v>2019</v>
      </c>
    </row>
    <row r="876" spans="1:3" x14ac:dyDescent="0.35">
      <c r="A876" s="7">
        <v>43691</v>
      </c>
      <c r="B876" s="43">
        <v>244</v>
      </c>
      <c r="C876">
        <f t="shared" si="20"/>
        <v>2019</v>
      </c>
    </row>
    <row r="877" spans="1:3" x14ac:dyDescent="0.35">
      <c r="A877" s="7">
        <v>43690</v>
      </c>
      <c r="B877" s="43">
        <v>236</v>
      </c>
      <c r="C877">
        <f t="shared" si="20"/>
        <v>2019</v>
      </c>
    </row>
    <row r="878" spans="1:3" x14ac:dyDescent="0.35">
      <c r="A878" s="7">
        <v>43689</v>
      </c>
      <c r="B878" s="43">
        <v>239</v>
      </c>
      <c r="C878">
        <f t="shared" si="20"/>
        <v>2019</v>
      </c>
    </row>
    <row r="879" spans="1:3" x14ac:dyDescent="0.35">
      <c r="A879" s="7">
        <v>43686</v>
      </c>
      <c r="B879" s="43">
        <v>226</v>
      </c>
      <c r="C879">
        <f t="shared" si="20"/>
        <v>2019</v>
      </c>
    </row>
    <row r="880" spans="1:3" x14ac:dyDescent="0.35">
      <c r="A880" s="7">
        <v>43685</v>
      </c>
      <c r="B880" s="43">
        <v>229</v>
      </c>
      <c r="C880">
        <f t="shared" si="20"/>
        <v>2019</v>
      </c>
    </row>
    <row r="881" spans="1:3" x14ac:dyDescent="0.35">
      <c r="A881" s="7">
        <v>43684</v>
      </c>
      <c r="B881" s="43">
        <v>232</v>
      </c>
      <c r="C881">
        <f t="shared" si="20"/>
        <v>2019</v>
      </c>
    </row>
    <row r="882" spans="1:3" x14ac:dyDescent="0.35">
      <c r="A882" s="7">
        <v>43683</v>
      </c>
      <c r="B882" s="43">
        <v>233</v>
      </c>
      <c r="C882">
        <f t="shared" si="20"/>
        <v>2019</v>
      </c>
    </row>
    <row r="883" spans="1:3" x14ac:dyDescent="0.35">
      <c r="A883" s="7">
        <v>43682</v>
      </c>
      <c r="B883" s="43">
        <v>235</v>
      </c>
      <c r="C883">
        <f t="shared" si="20"/>
        <v>2019</v>
      </c>
    </row>
    <row r="884" spans="1:3" x14ac:dyDescent="0.35">
      <c r="A884" s="7">
        <v>43679</v>
      </c>
      <c r="B884" s="43">
        <v>222</v>
      </c>
      <c r="C884">
        <f t="shared" si="20"/>
        <v>2019</v>
      </c>
    </row>
    <row r="885" spans="1:3" x14ac:dyDescent="0.35">
      <c r="A885" s="7">
        <v>43678</v>
      </c>
      <c r="B885" s="43">
        <v>221</v>
      </c>
      <c r="C885">
        <f t="shared" si="20"/>
        <v>2019</v>
      </c>
    </row>
    <row r="886" spans="1:3" x14ac:dyDescent="0.35">
      <c r="A886" s="7">
        <v>43677</v>
      </c>
      <c r="B886" s="43">
        <v>212</v>
      </c>
      <c r="C886">
        <f t="shared" si="20"/>
        <v>2019</v>
      </c>
    </row>
    <row r="887" spans="1:3" x14ac:dyDescent="0.35">
      <c r="A887" s="7">
        <v>43676</v>
      </c>
      <c r="B887" s="43">
        <v>209</v>
      </c>
      <c r="C887">
        <f t="shared" si="20"/>
        <v>2019</v>
      </c>
    </row>
    <row r="888" spans="1:3" x14ac:dyDescent="0.35">
      <c r="A888" s="7">
        <v>43675</v>
      </c>
      <c r="B888" s="43">
        <v>207</v>
      </c>
      <c r="C888">
        <f t="shared" si="20"/>
        <v>2019</v>
      </c>
    </row>
    <row r="889" spans="1:3" x14ac:dyDescent="0.35">
      <c r="A889" s="7">
        <v>43672</v>
      </c>
      <c r="B889" s="43">
        <v>207</v>
      </c>
      <c r="C889">
        <f t="shared" si="20"/>
        <v>2019</v>
      </c>
    </row>
    <row r="890" spans="1:3" x14ac:dyDescent="0.35">
      <c r="A890" s="7">
        <v>43671</v>
      </c>
      <c r="B890" s="43">
        <v>208</v>
      </c>
      <c r="C890">
        <f t="shared" si="20"/>
        <v>2019</v>
      </c>
    </row>
    <row r="891" spans="1:3" x14ac:dyDescent="0.35">
      <c r="A891" s="7">
        <v>43670</v>
      </c>
      <c r="B891" s="43">
        <v>213</v>
      </c>
      <c r="C891">
        <f t="shared" si="20"/>
        <v>2019</v>
      </c>
    </row>
    <row r="892" spans="1:3" x14ac:dyDescent="0.35">
      <c r="A892" s="7">
        <v>43669</v>
      </c>
      <c r="B892" s="43">
        <v>213</v>
      </c>
      <c r="C892">
        <f t="shared" si="20"/>
        <v>2019</v>
      </c>
    </row>
    <row r="893" spans="1:3" x14ac:dyDescent="0.35">
      <c r="A893" s="7">
        <v>43668</v>
      </c>
      <c r="B893" s="43">
        <v>216</v>
      </c>
      <c r="C893">
        <f t="shared" si="20"/>
        <v>2019</v>
      </c>
    </row>
    <row r="894" spans="1:3" x14ac:dyDescent="0.35">
      <c r="A894" s="7">
        <v>43665</v>
      </c>
      <c r="B894" s="43">
        <v>220</v>
      </c>
      <c r="C894">
        <f t="shared" si="20"/>
        <v>2019</v>
      </c>
    </row>
    <row r="895" spans="1:3" x14ac:dyDescent="0.35">
      <c r="A895" s="7">
        <v>43664</v>
      </c>
      <c r="B895" s="43">
        <v>222</v>
      </c>
      <c r="C895">
        <f t="shared" si="20"/>
        <v>2019</v>
      </c>
    </row>
    <row r="896" spans="1:3" x14ac:dyDescent="0.35">
      <c r="A896" s="7">
        <v>43663</v>
      </c>
      <c r="B896" s="43">
        <v>221</v>
      </c>
      <c r="C896">
        <f t="shared" si="20"/>
        <v>2019</v>
      </c>
    </row>
    <row r="897" spans="1:3" x14ac:dyDescent="0.35">
      <c r="A897" s="7">
        <v>43662</v>
      </c>
      <c r="B897" s="43">
        <v>215</v>
      </c>
      <c r="C897">
        <f t="shared" si="20"/>
        <v>2019</v>
      </c>
    </row>
    <row r="898" spans="1:3" x14ac:dyDescent="0.35">
      <c r="A898" s="7">
        <v>43661</v>
      </c>
      <c r="B898" s="43">
        <v>217</v>
      </c>
      <c r="C898">
        <f t="shared" si="20"/>
        <v>2019</v>
      </c>
    </row>
    <row r="899" spans="1:3" x14ac:dyDescent="0.35">
      <c r="A899" s="7">
        <v>43658</v>
      </c>
      <c r="B899" s="43">
        <v>217</v>
      </c>
      <c r="C899">
        <f t="shared" ref="C899:C962" si="21">YEAR(A899)</f>
        <v>2019</v>
      </c>
    </row>
    <row r="900" spans="1:3" x14ac:dyDescent="0.35">
      <c r="A900" s="7">
        <v>43657</v>
      </c>
      <c r="B900" s="43">
        <v>218</v>
      </c>
      <c r="C900">
        <f t="shared" si="21"/>
        <v>2019</v>
      </c>
    </row>
    <row r="901" spans="1:3" x14ac:dyDescent="0.35">
      <c r="A901" s="7">
        <v>43656</v>
      </c>
      <c r="B901" s="43">
        <v>224</v>
      </c>
      <c r="C901">
        <f t="shared" si="21"/>
        <v>2019</v>
      </c>
    </row>
    <row r="902" spans="1:3" x14ac:dyDescent="0.35">
      <c r="A902" s="7">
        <v>43655</v>
      </c>
      <c r="B902" s="43">
        <v>228</v>
      </c>
      <c r="C902">
        <f t="shared" si="21"/>
        <v>2019</v>
      </c>
    </row>
    <row r="903" spans="1:3" x14ac:dyDescent="0.35">
      <c r="A903" s="7">
        <v>43654</v>
      </c>
      <c r="B903" s="43">
        <v>232</v>
      </c>
      <c r="C903">
        <f t="shared" si="21"/>
        <v>2019</v>
      </c>
    </row>
    <row r="904" spans="1:3" x14ac:dyDescent="0.35">
      <c r="A904" s="7">
        <v>43651</v>
      </c>
      <c r="B904" s="43">
        <v>233</v>
      </c>
      <c r="C904">
        <f t="shared" si="21"/>
        <v>2019</v>
      </c>
    </row>
    <row r="905" spans="1:3" x14ac:dyDescent="0.35">
      <c r="A905" s="7">
        <v>43650</v>
      </c>
      <c r="B905" s="43">
        <v>238</v>
      </c>
      <c r="C905">
        <f t="shared" si="21"/>
        <v>2019</v>
      </c>
    </row>
    <row r="906" spans="1:3" x14ac:dyDescent="0.35">
      <c r="A906" s="7">
        <v>43649</v>
      </c>
      <c r="B906" s="43">
        <v>238</v>
      </c>
      <c r="C906">
        <f t="shared" si="21"/>
        <v>2019</v>
      </c>
    </row>
    <row r="907" spans="1:3" x14ac:dyDescent="0.35">
      <c r="A907" s="7">
        <v>43648</v>
      </c>
      <c r="B907" s="43">
        <v>238</v>
      </c>
      <c r="C907">
        <f t="shared" si="21"/>
        <v>2019</v>
      </c>
    </row>
    <row r="908" spans="1:3" x14ac:dyDescent="0.35">
      <c r="A908" s="7">
        <v>43647</v>
      </c>
      <c r="B908" s="43">
        <v>234</v>
      </c>
      <c r="C908">
        <f t="shared" si="21"/>
        <v>2019</v>
      </c>
    </row>
    <row r="909" spans="1:3" x14ac:dyDescent="0.35">
      <c r="A909" s="7">
        <v>43644</v>
      </c>
      <c r="B909" s="43">
        <v>239</v>
      </c>
      <c r="C909">
        <f t="shared" si="21"/>
        <v>2019</v>
      </c>
    </row>
    <row r="910" spans="1:3" x14ac:dyDescent="0.35">
      <c r="A910" s="7">
        <v>43643</v>
      </c>
      <c r="B910" s="43">
        <v>242</v>
      </c>
      <c r="C910">
        <f t="shared" si="21"/>
        <v>2019</v>
      </c>
    </row>
    <row r="911" spans="1:3" x14ac:dyDescent="0.35">
      <c r="A911" s="7">
        <v>43642</v>
      </c>
      <c r="B911" s="43">
        <v>240</v>
      </c>
      <c r="C911">
        <f t="shared" si="21"/>
        <v>2019</v>
      </c>
    </row>
    <row r="912" spans="1:3" x14ac:dyDescent="0.35">
      <c r="A912" s="7">
        <v>43641</v>
      </c>
      <c r="B912" s="43">
        <v>243</v>
      </c>
      <c r="C912">
        <f t="shared" si="21"/>
        <v>2019</v>
      </c>
    </row>
    <row r="913" spans="1:3" x14ac:dyDescent="0.35">
      <c r="A913" s="7">
        <v>43640</v>
      </c>
      <c r="B913" s="43">
        <v>239</v>
      </c>
      <c r="C913">
        <f t="shared" si="21"/>
        <v>2019</v>
      </c>
    </row>
    <row r="914" spans="1:3" x14ac:dyDescent="0.35">
      <c r="A914" s="7">
        <v>43637</v>
      </c>
      <c r="B914" s="43">
        <v>236</v>
      </c>
      <c r="C914">
        <f t="shared" si="21"/>
        <v>2019</v>
      </c>
    </row>
    <row r="915" spans="1:3" x14ac:dyDescent="0.35">
      <c r="A915" s="7">
        <v>43636</v>
      </c>
      <c r="B915" s="43">
        <v>237</v>
      </c>
      <c r="C915">
        <f t="shared" si="21"/>
        <v>2019</v>
      </c>
    </row>
    <row r="916" spans="1:3" x14ac:dyDescent="0.35">
      <c r="A916" s="7">
        <v>43635</v>
      </c>
      <c r="B916" s="43">
        <v>246</v>
      </c>
      <c r="C916">
        <f t="shared" si="21"/>
        <v>2019</v>
      </c>
    </row>
    <row r="917" spans="1:3" x14ac:dyDescent="0.35">
      <c r="A917" s="7">
        <v>43634</v>
      </c>
      <c r="B917" s="43">
        <v>247</v>
      </c>
      <c r="C917">
        <f t="shared" si="21"/>
        <v>2019</v>
      </c>
    </row>
    <row r="918" spans="1:3" x14ac:dyDescent="0.35">
      <c r="A918" s="7">
        <v>43633</v>
      </c>
      <c r="B918" s="43">
        <v>252</v>
      </c>
      <c r="C918">
        <f t="shared" si="21"/>
        <v>2019</v>
      </c>
    </row>
    <row r="919" spans="1:3" x14ac:dyDescent="0.35">
      <c r="A919" s="7">
        <v>43630</v>
      </c>
      <c r="B919" s="43">
        <v>250</v>
      </c>
      <c r="C919">
        <f t="shared" si="21"/>
        <v>2019</v>
      </c>
    </row>
    <row r="920" spans="1:3" x14ac:dyDescent="0.35">
      <c r="A920" s="7">
        <v>43629</v>
      </c>
      <c r="B920" s="43">
        <v>248</v>
      </c>
      <c r="C920">
        <f t="shared" si="21"/>
        <v>2019</v>
      </c>
    </row>
    <row r="921" spans="1:3" x14ac:dyDescent="0.35">
      <c r="A921" s="7">
        <v>43628</v>
      </c>
      <c r="B921" s="43">
        <v>247</v>
      </c>
      <c r="C921">
        <f t="shared" si="21"/>
        <v>2019</v>
      </c>
    </row>
    <row r="922" spans="1:3" x14ac:dyDescent="0.35">
      <c r="A922" s="7">
        <v>43627</v>
      </c>
      <c r="B922" s="43">
        <v>248</v>
      </c>
      <c r="C922">
        <f t="shared" si="21"/>
        <v>2019</v>
      </c>
    </row>
    <row r="923" spans="1:3" x14ac:dyDescent="0.35">
      <c r="A923" s="7">
        <v>43626</v>
      </c>
      <c r="B923" s="43">
        <v>250</v>
      </c>
      <c r="C923">
        <f t="shared" si="21"/>
        <v>2019</v>
      </c>
    </row>
    <row r="924" spans="1:3" x14ac:dyDescent="0.35">
      <c r="A924" s="7">
        <v>43623</v>
      </c>
      <c r="B924" s="43">
        <v>254</v>
      </c>
      <c r="C924">
        <f t="shared" si="21"/>
        <v>2019</v>
      </c>
    </row>
    <row r="925" spans="1:3" x14ac:dyDescent="0.35">
      <c r="A925" s="7">
        <v>43622</v>
      </c>
      <c r="B925" s="43">
        <v>255</v>
      </c>
      <c r="C925">
        <f t="shared" si="21"/>
        <v>2019</v>
      </c>
    </row>
    <row r="926" spans="1:3" x14ac:dyDescent="0.35">
      <c r="A926" s="7">
        <v>43621</v>
      </c>
      <c r="B926" s="43">
        <v>256</v>
      </c>
      <c r="C926">
        <f t="shared" si="21"/>
        <v>2019</v>
      </c>
    </row>
    <row r="927" spans="1:3" x14ac:dyDescent="0.35">
      <c r="A927" s="7">
        <v>43620</v>
      </c>
      <c r="B927" s="43">
        <v>261</v>
      </c>
      <c r="C927">
        <f t="shared" si="21"/>
        <v>2019</v>
      </c>
    </row>
    <row r="928" spans="1:3" x14ac:dyDescent="0.35">
      <c r="A928" s="7">
        <v>43619</v>
      </c>
      <c r="B928" s="43">
        <v>276</v>
      </c>
      <c r="C928">
        <f t="shared" si="21"/>
        <v>2019</v>
      </c>
    </row>
    <row r="929" spans="1:3" x14ac:dyDescent="0.35">
      <c r="A929" s="7">
        <v>43616</v>
      </c>
      <c r="B929" s="43">
        <v>274</v>
      </c>
      <c r="C929">
        <f t="shared" si="21"/>
        <v>2019</v>
      </c>
    </row>
    <row r="930" spans="1:3" x14ac:dyDescent="0.35">
      <c r="A930" s="7">
        <v>43615</v>
      </c>
      <c r="B930" s="43">
        <v>270</v>
      </c>
      <c r="C930">
        <f t="shared" si="21"/>
        <v>2019</v>
      </c>
    </row>
    <row r="931" spans="1:3" x14ac:dyDescent="0.35">
      <c r="A931" s="7">
        <v>43614</v>
      </c>
      <c r="B931" s="43">
        <v>269</v>
      </c>
      <c r="C931">
        <f t="shared" si="21"/>
        <v>2019</v>
      </c>
    </row>
    <row r="932" spans="1:3" x14ac:dyDescent="0.35">
      <c r="A932" s="7">
        <v>43613</v>
      </c>
      <c r="B932" s="43">
        <v>267</v>
      </c>
      <c r="C932">
        <f t="shared" si="21"/>
        <v>2019</v>
      </c>
    </row>
    <row r="933" spans="1:3" x14ac:dyDescent="0.35">
      <c r="A933" s="7">
        <v>43612</v>
      </c>
      <c r="B933" s="43">
        <v>265</v>
      </c>
      <c r="C933">
        <f t="shared" si="21"/>
        <v>2019</v>
      </c>
    </row>
    <row r="934" spans="1:3" x14ac:dyDescent="0.35">
      <c r="A934" s="7">
        <v>43609</v>
      </c>
      <c r="B934" s="43">
        <v>265</v>
      </c>
      <c r="C934">
        <f t="shared" si="21"/>
        <v>2019</v>
      </c>
    </row>
    <row r="935" spans="1:3" x14ac:dyDescent="0.35">
      <c r="A935" s="7">
        <v>43608</v>
      </c>
      <c r="B935" s="43">
        <v>266</v>
      </c>
      <c r="C935">
        <f t="shared" si="21"/>
        <v>2019</v>
      </c>
    </row>
    <row r="936" spans="1:3" x14ac:dyDescent="0.35">
      <c r="A936" s="7">
        <v>43607</v>
      </c>
      <c r="B936" s="43">
        <v>258</v>
      </c>
      <c r="C936">
        <f t="shared" si="21"/>
        <v>2019</v>
      </c>
    </row>
    <row r="937" spans="1:3" x14ac:dyDescent="0.35">
      <c r="A937" s="7">
        <v>43606</v>
      </c>
      <c r="B937" s="43">
        <v>257</v>
      </c>
      <c r="C937">
        <f t="shared" si="21"/>
        <v>2019</v>
      </c>
    </row>
    <row r="938" spans="1:3" x14ac:dyDescent="0.35">
      <c r="A938" s="7">
        <v>43605</v>
      </c>
      <c r="B938" s="43">
        <v>260</v>
      </c>
      <c r="C938">
        <f t="shared" si="21"/>
        <v>2019</v>
      </c>
    </row>
    <row r="939" spans="1:3" x14ac:dyDescent="0.35">
      <c r="A939" s="7">
        <v>43602</v>
      </c>
      <c r="B939" s="43">
        <v>263</v>
      </c>
      <c r="C939">
        <f t="shared" si="21"/>
        <v>2019</v>
      </c>
    </row>
    <row r="940" spans="1:3" x14ac:dyDescent="0.35">
      <c r="A940" s="7">
        <v>43601</v>
      </c>
      <c r="B940" s="43">
        <v>261</v>
      </c>
      <c r="C940">
        <f t="shared" si="21"/>
        <v>2019</v>
      </c>
    </row>
    <row r="941" spans="1:3" x14ac:dyDescent="0.35">
      <c r="A941" s="7">
        <v>43600</v>
      </c>
      <c r="B941" s="43">
        <v>260</v>
      </c>
      <c r="C941">
        <f t="shared" si="21"/>
        <v>2019</v>
      </c>
    </row>
    <row r="942" spans="1:3" x14ac:dyDescent="0.35">
      <c r="A942" s="7">
        <v>43599</v>
      </c>
      <c r="B942" s="43">
        <v>256</v>
      </c>
      <c r="C942">
        <f t="shared" si="21"/>
        <v>2019</v>
      </c>
    </row>
    <row r="943" spans="1:3" x14ac:dyDescent="0.35">
      <c r="A943" s="7">
        <v>43598</v>
      </c>
      <c r="B943" s="43">
        <v>260</v>
      </c>
      <c r="C943">
        <f t="shared" si="21"/>
        <v>2019</v>
      </c>
    </row>
    <row r="944" spans="1:3" x14ac:dyDescent="0.35">
      <c r="A944" s="7">
        <v>43595</v>
      </c>
      <c r="B944" s="43">
        <v>252</v>
      </c>
      <c r="C944">
        <f t="shared" si="21"/>
        <v>2019</v>
      </c>
    </row>
    <row r="945" spans="1:3" x14ac:dyDescent="0.35">
      <c r="A945" s="7">
        <v>43594</v>
      </c>
      <c r="B945" s="43">
        <v>253</v>
      </c>
      <c r="C945">
        <f t="shared" si="21"/>
        <v>2019</v>
      </c>
    </row>
    <row r="946" spans="1:3" x14ac:dyDescent="0.35">
      <c r="A946" s="7">
        <v>43593</v>
      </c>
      <c r="B946" s="43">
        <v>250</v>
      </c>
      <c r="C946">
        <f t="shared" si="21"/>
        <v>2019</v>
      </c>
    </row>
    <row r="947" spans="1:3" x14ac:dyDescent="0.35">
      <c r="A947" s="7">
        <v>43592</v>
      </c>
      <c r="B947" s="43">
        <v>255</v>
      </c>
      <c r="C947">
        <f t="shared" si="21"/>
        <v>2019</v>
      </c>
    </row>
    <row r="948" spans="1:3" x14ac:dyDescent="0.35">
      <c r="A948" s="7">
        <v>43591</v>
      </c>
      <c r="B948" s="43">
        <v>250</v>
      </c>
      <c r="C948">
        <f t="shared" si="21"/>
        <v>2019</v>
      </c>
    </row>
    <row r="949" spans="1:3" x14ac:dyDescent="0.35">
      <c r="A949" s="7">
        <v>43588</v>
      </c>
      <c r="B949" s="43">
        <v>248</v>
      </c>
      <c r="C949">
        <f t="shared" si="21"/>
        <v>2019</v>
      </c>
    </row>
    <row r="950" spans="1:3" x14ac:dyDescent="0.35">
      <c r="A950" s="7">
        <v>43587</v>
      </c>
      <c r="B950" s="43">
        <v>250</v>
      </c>
      <c r="C950">
        <f t="shared" si="21"/>
        <v>2019</v>
      </c>
    </row>
    <row r="951" spans="1:3" x14ac:dyDescent="0.35">
      <c r="A951" s="7">
        <v>43586</v>
      </c>
      <c r="B951" s="43">
        <v>250</v>
      </c>
      <c r="C951">
        <f t="shared" si="21"/>
        <v>2019</v>
      </c>
    </row>
    <row r="952" spans="1:3" x14ac:dyDescent="0.35">
      <c r="A952" s="7">
        <v>43585</v>
      </c>
      <c r="B952" s="43">
        <v>252</v>
      </c>
      <c r="C952">
        <f t="shared" si="21"/>
        <v>2019</v>
      </c>
    </row>
    <row r="953" spans="1:3" x14ac:dyDescent="0.35">
      <c r="A953" s="7">
        <v>43584</v>
      </c>
      <c r="B953" s="43">
        <v>248</v>
      </c>
      <c r="C953">
        <f t="shared" si="21"/>
        <v>2019</v>
      </c>
    </row>
    <row r="954" spans="1:3" x14ac:dyDescent="0.35">
      <c r="A954" s="7">
        <v>43581</v>
      </c>
      <c r="B954" s="43">
        <v>252</v>
      </c>
      <c r="C954">
        <f t="shared" si="21"/>
        <v>2019</v>
      </c>
    </row>
    <row r="955" spans="1:3" x14ac:dyDescent="0.35">
      <c r="A955" s="7">
        <v>43580</v>
      </c>
      <c r="B955" s="43">
        <v>252</v>
      </c>
      <c r="C955">
        <f t="shared" si="21"/>
        <v>2019</v>
      </c>
    </row>
    <row r="956" spans="1:3" x14ac:dyDescent="0.35">
      <c r="A956" s="7">
        <v>43579</v>
      </c>
      <c r="B956" s="43">
        <v>251</v>
      </c>
      <c r="C956">
        <f t="shared" si="21"/>
        <v>2019</v>
      </c>
    </row>
    <row r="957" spans="1:3" x14ac:dyDescent="0.35">
      <c r="A957" s="7">
        <v>43578</v>
      </c>
      <c r="B957" s="43">
        <v>247</v>
      </c>
      <c r="C957">
        <f t="shared" si="21"/>
        <v>2019</v>
      </c>
    </row>
    <row r="958" spans="1:3" x14ac:dyDescent="0.35">
      <c r="A958" s="7">
        <v>43577</v>
      </c>
      <c r="B958" s="43">
        <v>250</v>
      </c>
      <c r="C958">
        <f t="shared" si="21"/>
        <v>2019</v>
      </c>
    </row>
    <row r="959" spans="1:3" x14ac:dyDescent="0.35">
      <c r="A959" s="7">
        <v>43574</v>
      </c>
      <c r="B959" s="43">
        <v>253</v>
      </c>
      <c r="C959">
        <f t="shared" si="21"/>
        <v>2019</v>
      </c>
    </row>
    <row r="960" spans="1:3" x14ac:dyDescent="0.35">
      <c r="A960" s="7">
        <v>43573</v>
      </c>
      <c r="B960" s="43">
        <v>253</v>
      </c>
      <c r="C960">
        <f t="shared" si="21"/>
        <v>2019</v>
      </c>
    </row>
    <row r="961" spans="1:3" x14ac:dyDescent="0.35">
      <c r="A961" s="7">
        <v>43572</v>
      </c>
      <c r="B961" s="43">
        <v>249</v>
      </c>
      <c r="C961">
        <f t="shared" si="21"/>
        <v>2019</v>
      </c>
    </row>
    <row r="962" spans="1:3" x14ac:dyDescent="0.35">
      <c r="A962" s="7">
        <v>43571</v>
      </c>
      <c r="B962" s="43">
        <v>248</v>
      </c>
      <c r="C962">
        <f t="shared" si="21"/>
        <v>2019</v>
      </c>
    </row>
    <row r="963" spans="1:3" x14ac:dyDescent="0.35">
      <c r="A963" s="7">
        <v>43570</v>
      </c>
      <c r="B963" s="43">
        <v>254</v>
      </c>
      <c r="C963">
        <f t="shared" ref="C963:C1026" si="22">YEAR(A963)</f>
        <v>2019</v>
      </c>
    </row>
    <row r="964" spans="1:3" x14ac:dyDescent="0.35">
      <c r="A964" s="7">
        <v>43567</v>
      </c>
      <c r="B964" s="43">
        <v>252</v>
      </c>
      <c r="C964">
        <f t="shared" si="22"/>
        <v>2019</v>
      </c>
    </row>
    <row r="965" spans="1:3" x14ac:dyDescent="0.35">
      <c r="A965" s="7">
        <v>43566</v>
      </c>
      <c r="B965" s="43">
        <v>253</v>
      </c>
      <c r="C965">
        <f t="shared" si="22"/>
        <v>2019</v>
      </c>
    </row>
    <row r="966" spans="1:3" x14ac:dyDescent="0.35">
      <c r="A966" s="7">
        <v>43565</v>
      </c>
      <c r="B966" s="43">
        <v>253</v>
      </c>
      <c r="C966">
        <f t="shared" si="22"/>
        <v>2019</v>
      </c>
    </row>
    <row r="967" spans="1:3" x14ac:dyDescent="0.35">
      <c r="A967" s="7">
        <v>43564</v>
      </c>
      <c r="B967" s="43">
        <v>251</v>
      </c>
      <c r="C967">
        <f t="shared" si="22"/>
        <v>2019</v>
      </c>
    </row>
    <row r="968" spans="1:3" x14ac:dyDescent="0.35">
      <c r="A968" s="7">
        <v>43563</v>
      </c>
      <c r="B968" s="43">
        <v>250</v>
      </c>
      <c r="C968">
        <f t="shared" si="22"/>
        <v>2019</v>
      </c>
    </row>
    <row r="969" spans="1:3" x14ac:dyDescent="0.35">
      <c r="A969" s="7">
        <v>43560</v>
      </c>
      <c r="B969" s="43">
        <v>250</v>
      </c>
      <c r="C969">
        <f t="shared" si="22"/>
        <v>2019</v>
      </c>
    </row>
    <row r="970" spans="1:3" x14ac:dyDescent="0.35">
      <c r="A970" s="7">
        <v>43559</v>
      </c>
      <c r="B970" s="43">
        <v>250</v>
      </c>
      <c r="C970">
        <f t="shared" si="22"/>
        <v>2019</v>
      </c>
    </row>
    <row r="971" spans="1:3" x14ac:dyDescent="0.35">
      <c r="A971" s="7">
        <v>43558</v>
      </c>
      <c r="B971" s="43">
        <v>249</v>
      </c>
      <c r="C971">
        <f t="shared" si="22"/>
        <v>2019</v>
      </c>
    </row>
    <row r="972" spans="1:3" x14ac:dyDescent="0.35">
      <c r="A972" s="7">
        <v>43557</v>
      </c>
      <c r="B972" s="43">
        <v>253</v>
      </c>
      <c r="C972">
        <f t="shared" si="22"/>
        <v>2019</v>
      </c>
    </row>
    <row r="973" spans="1:3" x14ac:dyDescent="0.35">
      <c r="A973" s="7">
        <v>43556</v>
      </c>
      <c r="B973" s="43">
        <v>248</v>
      </c>
      <c r="C973">
        <f t="shared" si="22"/>
        <v>2019</v>
      </c>
    </row>
    <row r="974" spans="1:3" x14ac:dyDescent="0.35">
      <c r="A974" s="7">
        <v>43553</v>
      </c>
      <c r="B974" s="43">
        <v>253</v>
      </c>
      <c r="C974">
        <f t="shared" si="22"/>
        <v>2019</v>
      </c>
    </row>
    <row r="975" spans="1:3" x14ac:dyDescent="0.35">
      <c r="A975" s="7">
        <v>43552</v>
      </c>
      <c r="B975" s="43">
        <v>258</v>
      </c>
      <c r="C975">
        <f t="shared" si="22"/>
        <v>2019</v>
      </c>
    </row>
    <row r="976" spans="1:3" x14ac:dyDescent="0.35">
      <c r="A976" s="7">
        <v>43551</v>
      </c>
      <c r="B976" s="43">
        <v>262</v>
      </c>
      <c r="C976">
        <f t="shared" si="22"/>
        <v>2019</v>
      </c>
    </row>
    <row r="977" spans="1:3" x14ac:dyDescent="0.35">
      <c r="A977" s="7">
        <v>43550</v>
      </c>
      <c r="B977" s="43">
        <v>255</v>
      </c>
      <c r="C977">
        <f t="shared" si="22"/>
        <v>2019</v>
      </c>
    </row>
    <row r="978" spans="1:3" x14ac:dyDescent="0.35">
      <c r="A978" s="7">
        <v>43549</v>
      </c>
      <c r="B978" s="43">
        <v>255</v>
      </c>
      <c r="C978">
        <f t="shared" si="22"/>
        <v>2019</v>
      </c>
    </row>
    <row r="979" spans="1:3" x14ac:dyDescent="0.35">
      <c r="A979" s="7">
        <v>43546</v>
      </c>
      <c r="B979" s="43">
        <v>255</v>
      </c>
      <c r="C979">
        <f t="shared" si="22"/>
        <v>2019</v>
      </c>
    </row>
    <row r="980" spans="1:3" x14ac:dyDescent="0.35">
      <c r="A980" s="7">
        <v>43545</v>
      </c>
      <c r="B980" s="43">
        <v>239</v>
      </c>
      <c r="C980">
        <f t="shared" si="22"/>
        <v>2019</v>
      </c>
    </row>
    <row r="981" spans="1:3" x14ac:dyDescent="0.35">
      <c r="A981" s="7">
        <v>43544</v>
      </c>
      <c r="B981" s="43">
        <v>240</v>
      </c>
      <c r="C981">
        <f t="shared" si="22"/>
        <v>2019</v>
      </c>
    </row>
    <row r="982" spans="1:3" x14ac:dyDescent="0.35">
      <c r="A982" s="7">
        <v>43543</v>
      </c>
      <c r="B982" s="43">
        <v>240</v>
      </c>
      <c r="C982">
        <f t="shared" si="22"/>
        <v>2019</v>
      </c>
    </row>
    <row r="983" spans="1:3" x14ac:dyDescent="0.35">
      <c r="A983" s="7">
        <v>43542</v>
      </c>
      <c r="B983" s="43">
        <v>242</v>
      </c>
      <c r="C983">
        <f t="shared" si="22"/>
        <v>2019</v>
      </c>
    </row>
    <row r="984" spans="1:3" x14ac:dyDescent="0.35">
      <c r="A984" s="7">
        <v>43539</v>
      </c>
      <c r="B984" s="43">
        <v>246</v>
      </c>
      <c r="C984">
        <f t="shared" si="22"/>
        <v>2019</v>
      </c>
    </row>
    <row r="985" spans="1:3" x14ac:dyDescent="0.35">
      <c r="A985" s="7">
        <v>43538</v>
      </c>
      <c r="B985" s="43">
        <v>245</v>
      </c>
      <c r="C985">
        <f t="shared" si="22"/>
        <v>2019</v>
      </c>
    </row>
    <row r="986" spans="1:3" x14ac:dyDescent="0.35">
      <c r="A986" s="7">
        <v>43537</v>
      </c>
      <c r="B986" s="43">
        <v>249</v>
      </c>
      <c r="C986">
        <f t="shared" si="22"/>
        <v>2019</v>
      </c>
    </row>
    <row r="987" spans="1:3" x14ac:dyDescent="0.35">
      <c r="A987" s="7">
        <v>43536</v>
      </c>
      <c r="B987" s="43">
        <v>245</v>
      </c>
      <c r="C987">
        <f t="shared" si="22"/>
        <v>2019</v>
      </c>
    </row>
    <row r="988" spans="1:3" x14ac:dyDescent="0.35">
      <c r="A988" s="7">
        <v>43535</v>
      </c>
      <c r="B988" s="43">
        <v>243</v>
      </c>
      <c r="C988">
        <f t="shared" si="22"/>
        <v>2019</v>
      </c>
    </row>
    <row r="989" spans="1:3" x14ac:dyDescent="0.35">
      <c r="A989" s="7">
        <v>43532</v>
      </c>
      <c r="B989" s="43">
        <v>251</v>
      </c>
      <c r="C989">
        <f t="shared" si="22"/>
        <v>2019</v>
      </c>
    </row>
    <row r="990" spans="1:3" x14ac:dyDescent="0.35">
      <c r="A990" s="7">
        <v>43531</v>
      </c>
      <c r="B990" s="43">
        <v>249</v>
      </c>
      <c r="C990">
        <f t="shared" si="22"/>
        <v>2019</v>
      </c>
    </row>
    <row r="991" spans="1:3" x14ac:dyDescent="0.35">
      <c r="A991" s="7">
        <v>43530</v>
      </c>
      <c r="B991" s="43">
        <v>245</v>
      </c>
      <c r="C991">
        <f t="shared" si="22"/>
        <v>2019</v>
      </c>
    </row>
    <row r="992" spans="1:3" x14ac:dyDescent="0.35">
      <c r="A992" s="7">
        <v>43529</v>
      </c>
      <c r="B992" s="43">
        <v>242</v>
      </c>
      <c r="C992">
        <f t="shared" si="22"/>
        <v>2019</v>
      </c>
    </row>
    <row r="993" spans="1:3" x14ac:dyDescent="0.35">
      <c r="A993" s="7">
        <v>43528</v>
      </c>
      <c r="B993" s="43">
        <v>240</v>
      </c>
      <c r="C993">
        <f t="shared" si="22"/>
        <v>2019</v>
      </c>
    </row>
    <row r="994" spans="1:3" x14ac:dyDescent="0.35">
      <c r="A994" s="7">
        <v>43525</v>
      </c>
      <c r="B994" s="43">
        <v>236</v>
      </c>
      <c r="C994">
        <f t="shared" si="22"/>
        <v>2019</v>
      </c>
    </row>
    <row r="995" spans="1:3" x14ac:dyDescent="0.35">
      <c r="A995" s="7">
        <v>43524</v>
      </c>
      <c r="B995" s="43">
        <v>235</v>
      </c>
      <c r="C995">
        <f t="shared" si="22"/>
        <v>2019</v>
      </c>
    </row>
    <row r="996" spans="1:3" x14ac:dyDescent="0.35">
      <c r="A996" s="7">
        <v>43523</v>
      </c>
      <c r="B996" s="43">
        <v>236</v>
      </c>
      <c r="C996">
        <f t="shared" si="22"/>
        <v>2019</v>
      </c>
    </row>
    <row r="997" spans="1:3" x14ac:dyDescent="0.35">
      <c r="A997" s="7">
        <v>43522</v>
      </c>
      <c r="B997" s="43">
        <v>239</v>
      </c>
      <c r="C997">
        <f t="shared" si="22"/>
        <v>2019</v>
      </c>
    </row>
    <row r="998" spans="1:3" x14ac:dyDescent="0.35">
      <c r="A998" s="7">
        <v>43521</v>
      </c>
      <c r="B998" s="43">
        <v>240</v>
      </c>
      <c r="C998">
        <f t="shared" si="22"/>
        <v>2019</v>
      </c>
    </row>
    <row r="999" spans="1:3" x14ac:dyDescent="0.35">
      <c r="A999" s="7">
        <v>43518</v>
      </c>
      <c r="B999" s="43">
        <v>241</v>
      </c>
      <c r="C999">
        <f t="shared" si="22"/>
        <v>2019</v>
      </c>
    </row>
    <row r="1000" spans="1:3" x14ac:dyDescent="0.35">
      <c r="A1000" s="7">
        <v>43517</v>
      </c>
      <c r="B1000" s="43">
        <v>242</v>
      </c>
      <c r="C1000">
        <f t="shared" si="22"/>
        <v>2019</v>
      </c>
    </row>
    <row r="1001" spans="1:3" x14ac:dyDescent="0.35">
      <c r="A1001" s="7">
        <v>43516</v>
      </c>
      <c r="B1001" s="43">
        <v>241</v>
      </c>
      <c r="C1001">
        <f t="shared" si="22"/>
        <v>2019</v>
      </c>
    </row>
    <row r="1002" spans="1:3" x14ac:dyDescent="0.35">
      <c r="A1002" s="7">
        <v>43515</v>
      </c>
      <c r="B1002" s="43">
        <v>241</v>
      </c>
      <c r="C1002">
        <f t="shared" si="22"/>
        <v>2019</v>
      </c>
    </row>
    <row r="1003" spans="1:3" x14ac:dyDescent="0.35">
      <c r="A1003" s="7">
        <v>43514</v>
      </c>
      <c r="B1003" s="43">
        <v>241</v>
      </c>
      <c r="C1003">
        <f t="shared" si="22"/>
        <v>2019</v>
      </c>
    </row>
    <row r="1004" spans="1:3" x14ac:dyDescent="0.35">
      <c r="A1004" s="7">
        <v>43511</v>
      </c>
      <c r="B1004" s="43">
        <v>241</v>
      </c>
      <c r="C1004">
        <f t="shared" si="22"/>
        <v>2019</v>
      </c>
    </row>
    <row r="1005" spans="1:3" x14ac:dyDescent="0.35">
      <c r="A1005" s="7">
        <v>43510</v>
      </c>
      <c r="B1005" s="43">
        <v>240</v>
      </c>
      <c r="C1005">
        <f t="shared" si="22"/>
        <v>2019</v>
      </c>
    </row>
    <row r="1006" spans="1:3" x14ac:dyDescent="0.35">
      <c r="A1006" s="7">
        <v>43509</v>
      </c>
      <c r="B1006" s="43">
        <v>242</v>
      </c>
      <c r="C1006">
        <f t="shared" si="22"/>
        <v>2019</v>
      </c>
    </row>
    <row r="1007" spans="1:3" x14ac:dyDescent="0.35">
      <c r="A1007" s="7">
        <v>43508</v>
      </c>
      <c r="B1007" s="43">
        <v>244</v>
      </c>
      <c r="C1007">
        <f t="shared" si="22"/>
        <v>2019</v>
      </c>
    </row>
    <row r="1008" spans="1:3" x14ac:dyDescent="0.35">
      <c r="A1008" s="7">
        <v>43507</v>
      </c>
      <c r="B1008" s="43">
        <v>250</v>
      </c>
      <c r="C1008">
        <f t="shared" si="22"/>
        <v>2019</v>
      </c>
    </row>
    <row r="1009" spans="1:3" x14ac:dyDescent="0.35">
      <c r="A1009" s="7">
        <v>43504</v>
      </c>
      <c r="B1009" s="43">
        <v>249</v>
      </c>
      <c r="C1009">
        <f t="shared" si="22"/>
        <v>2019</v>
      </c>
    </row>
    <row r="1010" spans="1:3" x14ac:dyDescent="0.35">
      <c r="A1010" s="7">
        <v>43503</v>
      </c>
      <c r="B1010" s="43">
        <v>245</v>
      </c>
      <c r="C1010">
        <f t="shared" si="22"/>
        <v>2019</v>
      </c>
    </row>
    <row r="1011" spans="1:3" x14ac:dyDescent="0.35">
      <c r="A1011" s="7">
        <v>43502</v>
      </c>
      <c r="B1011" s="43">
        <v>239</v>
      </c>
      <c r="C1011">
        <f t="shared" si="22"/>
        <v>2019</v>
      </c>
    </row>
    <row r="1012" spans="1:3" x14ac:dyDescent="0.35">
      <c r="A1012" s="7">
        <v>43501</v>
      </c>
      <c r="B1012" s="43">
        <v>232</v>
      </c>
      <c r="C1012">
        <f t="shared" si="22"/>
        <v>2019</v>
      </c>
    </row>
    <row r="1013" spans="1:3" x14ac:dyDescent="0.35">
      <c r="A1013" s="7">
        <v>43500</v>
      </c>
      <c r="B1013" s="43">
        <v>234</v>
      </c>
      <c r="C1013">
        <f t="shared" si="22"/>
        <v>2019</v>
      </c>
    </row>
    <row r="1014" spans="1:3" x14ac:dyDescent="0.35">
      <c r="A1014" s="7">
        <v>43497</v>
      </c>
      <c r="B1014" s="43">
        <v>237</v>
      </c>
      <c r="C1014">
        <f t="shared" si="22"/>
        <v>2019</v>
      </c>
    </row>
    <row r="1015" spans="1:3" x14ac:dyDescent="0.35">
      <c r="A1015" s="7">
        <v>43496</v>
      </c>
      <c r="B1015" s="43">
        <v>238</v>
      </c>
      <c r="C1015">
        <f t="shared" si="22"/>
        <v>2019</v>
      </c>
    </row>
    <row r="1016" spans="1:3" x14ac:dyDescent="0.35">
      <c r="A1016" s="7">
        <v>43495</v>
      </c>
      <c r="B1016" s="43">
        <v>240</v>
      </c>
      <c r="C1016">
        <f t="shared" si="22"/>
        <v>2019</v>
      </c>
    </row>
    <row r="1017" spans="1:3" x14ac:dyDescent="0.35">
      <c r="A1017" s="7">
        <v>43494</v>
      </c>
      <c r="B1017" s="43">
        <v>244</v>
      </c>
      <c r="C1017">
        <f t="shared" si="22"/>
        <v>2019</v>
      </c>
    </row>
    <row r="1018" spans="1:3" x14ac:dyDescent="0.35">
      <c r="A1018" s="7">
        <v>43493</v>
      </c>
      <c r="B1018" s="43">
        <v>240</v>
      </c>
      <c r="C1018">
        <f t="shared" si="22"/>
        <v>2019</v>
      </c>
    </row>
    <row r="1019" spans="1:3" x14ac:dyDescent="0.35">
      <c r="A1019" s="7">
        <v>43490</v>
      </c>
      <c r="B1019" s="43">
        <v>239</v>
      </c>
      <c r="C1019">
        <f t="shared" si="22"/>
        <v>2019</v>
      </c>
    </row>
    <row r="1020" spans="1:3" x14ac:dyDescent="0.35">
      <c r="A1020" s="7">
        <v>43489</v>
      </c>
      <c r="B1020" s="43">
        <v>246</v>
      </c>
      <c r="C1020">
        <f t="shared" si="22"/>
        <v>2019</v>
      </c>
    </row>
    <row r="1021" spans="1:3" x14ac:dyDescent="0.35">
      <c r="A1021" s="7">
        <v>43488</v>
      </c>
      <c r="B1021" s="43">
        <v>247</v>
      </c>
      <c r="C1021">
        <f t="shared" si="22"/>
        <v>2019</v>
      </c>
    </row>
    <row r="1022" spans="1:3" x14ac:dyDescent="0.35">
      <c r="A1022" s="7">
        <v>43487</v>
      </c>
      <c r="B1022" s="43">
        <v>252</v>
      </c>
      <c r="C1022">
        <f t="shared" si="22"/>
        <v>2019</v>
      </c>
    </row>
    <row r="1023" spans="1:3" x14ac:dyDescent="0.35">
      <c r="A1023" s="7">
        <v>43486</v>
      </c>
      <c r="B1023" s="43">
        <v>245</v>
      </c>
      <c r="C1023">
        <f t="shared" si="22"/>
        <v>2019</v>
      </c>
    </row>
    <row r="1024" spans="1:3" x14ac:dyDescent="0.35">
      <c r="A1024" s="7">
        <v>43483</v>
      </c>
      <c r="B1024" s="43">
        <v>245</v>
      </c>
      <c r="C1024">
        <f t="shared" si="22"/>
        <v>2019</v>
      </c>
    </row>
    <row r="1025" spans="1:3" x14ac:dyDescent="0.35">
      <c r="A1025" s="7">
        <v>43482</v>
      </c>
      <c r="B1025" s="43">
        <v>255</v>
      </c>
      <c r="C1025">
        <f t="shared" si="22"/>
        <v>2019</v>
      </c>
    </row>
    <row r="1026" spans="1:3" x14ac:dyDescent="0.35">
      <c r="A1026" s="7">
        <v>43481</v>
      </c>
      <c r="B1026" s="43">
        <v>255</v>
      </c>
      <c r="C1026">
        <f t="shared" si="22"/>
        <v>2019</v>
      </c>
    </row>
    <row r="1027" spans="1:3" x14ac:dyDescent="0.35">
      <c r="A1027" s="7">
        <v>43480</v>
      </c>
      <c r="B1027" s="43">
        <v>255</v>
      </c>
      <c r="C1027">
        <f t="shared" ref="C1027:C1090" si="23">YEAR(A1027)</f>
        <v>2019</v>
      </c>
    </row>
    <row r="1028" spans="1:3" x14ac:dyDescent="0.35">
      <c r="A1028" s="7">
        <v>43479</v>
      </c>
      <c r="B1028" s="43">
        <v>258</v>
      </c>
      <c r="C1028">
        <f t="shared" si="23"/>
        <v>2019</v>
      </c>
    </row>
    <row r="1029" spans="1:3" x14ac:dyDescent="0.35">
      <c r="A1029" s="7">
        <v>43476</v>
      </c>
      <c r="B1029" s="43">
        <v>258</v>
      </c>
      <c r="C1029">
        <f t="shared" si="23"/>
        <v>2019</v>
      </c>
    </row>
    <row r="1030" spans="1:3" x14ac:dyDescent="0.35">
      <c r="A1030" s="7">
        <v>43475</v>
      </c>
      <c r="B1030" s="43">
        <v>254</v>
      </c>
      <c r="C1030">
        <f t="shared" si="23"/>
        <v>2019</v>
      </c>
    </row>
    <row r="1031" spans="1:3" x14ac:dyDescent="0.35">
      <c r="A1031" s="7">
        <v>43474</v>
      </c>
      <c r="B1031" s="43">
        <v>250</v>
      </c>
      <c r="C1031">
        <f t="shared" si="23"/>
        <v>2019</v>
      </c>
    </row>
    <row r="1032" spans="1:3" x14ac:dyDescent="0.35">
      <c r="A1032" s="7">
        <v>43473</v>
      </c>
      <c r="B1032" s="43">
        <v>254</v>
      </c>
      <c r="C1032">
        <f t="shared" si="23"/>
        <v>2019</v>
      </c>
    </row>
    <row r="1033" spans="1:3" x14ac:dyDescent="0.35">
      <c r="A1033" s="7">
        <v>43472</v>
      </c>
      <c r="B1033" s="43">
        <v>256</v>
      </c>
      <c r="C1033">
        <f t="shared" si="23"/>
        <v>2019</v>
      </c>
    </row>
    <row r="1034" spans="1:3" x14ac:dyDescent="0.35">
      <c r="A1034" s="7">
        <v>43469</v>
      </c>
      <c r="B1034" s="43">
        <v>264</v>
      </c>
      <c r="C1034">
        <f t="shared" si="23"/>
        <v>2019</v>
      </c>
    </row>
    <row r="1035" spans="1:3" x14ac:dyDescent="0.35">
      <c r="A1035" s="7">
        <v>43468</v>
      </c>
      <c r="B1035" s="43">
        <v>278</v>
      </c>
      <c r="C1035">
        <f t="shared" si="23"/>
        <v>2019</v>
      </c>
    </row>
    <row r="1036" spans="1:3" x14ac:dyDescent="0.35">
      <c r="A1036" s="7">
        <v>43467</v>
      </c>
      <c r="B1036" s="43">
        <v>275</v>
      </c>
      <c r="C1036">
        <f t="shared" si="23"/>
        <v>2019</v>
      </c>
    </row>
    <row r="1037" spans="1:3" x14ac:dyDescent="0.35">
      <c r="A1037" s="7">
        <v>43465</v>
      </c>
      <c r="B1037" s="43">
        <v>276</v>
      </c>
      <c r="C1037">
        <f t="shared" si="23"/>
        <v>2018</v>
      </c>
    </row>
    <row r="1038" spans="1:3" x14ac:dyDescent="0.35">
      <c r="A1038" s="7">
        <v>43462</v>
      </c>
      <c r="B1038" s="43">
        <v>272</v>
      </c>
      <c r="C1038">
        <f t="shared" si="23"/>
        <v>2018</v>
      </c>
    </row>
    <row r="1039" spans="1:3" x14ac:dyDescent="0.35">
      <c r="A1039" s="7">
        <v>43461</v>
      </c>
      <c r="B1039" s="43">
        <v>274</v>
      </c>
      <c r="C1039">
        <f t="shared" si="23"/>
        <v>2018</v>
      </c>
    </row>
    <row r="1040" spans="1:3" x14ac:dyDescent="0.35">
      <c r="A1040" s="7">
        <v>43460</v>
      </c>
      <c r="B1040" s="43">
        <v>273</v>
      </c>
      <c r="C1040">
        <f t="shared" si="23"/>
        <v>2018</v>
      </c>
    </row>
    <row r="1041" spans="1:3" x14ac:dyDescent="0.35">
      <c r="A1041" s="7">
        <v>43458</v>
      </c>
      <c r="B1041" s="43">
        <v>276</v>
      </c>
      <c r="C1041">
        <f t="shared" si="23"/>
        <v>2018</v>
      </c>
    </row>
    <row r="1042" spans="1:3" x14ac:dyDescent="0.35">
      <c r="A1042" s="7">
        <v>43455</v>
      </c>
      <c r="B1042" s="43">
        <v>273</v>
      </c>
      <c r="C1042">
        <f t="shared" si="23"/>
        <v>2018</v>
      </c>
    </row>
    <row r="1043" spans="1:3" x14ac:dyDescent="0.35">
      <c r="A1043" s="7">
        <v>43454</v>
      </c>
      <c r="B1043" s="43">
        <v>268</v>
      </c>
      <c r="C1043">
        <f t="shared" si="23"/>
        <v>2018</v>
      </c>
    </row>
    <row r="1044" spans="1:3" x14ac:dyDescent="0.35">
      <c r="A1044" s="7">
        <v>43453</v>
      </c>
      <c r="B1044" s="43">
        <v>270</v>
      </c>
      <c r="C1044">
        <f t="shared" si="23"/>
        <v>2018</v>
      </c>
    </row>
    <row r="1045" spans="1:3" x14ac:dyDescent="0.35">
      <c r="A1045" s="7">
        <v>43452</v>
      </c>
      <c r="B1045" s="43">
        <v>265</v>
      </c>
      <c r="C1045">
        <f t="shared" si="23"/>
        <v>2018</v>
      </c>
    </row>
    <row r="1046" spans="1:3" x14ac:dyDescent="0.35">
      <c r="A1046" s="7">
        <v>43451</v>
      </c>
      <c r="B1046" s="43">
        <v>260</v>
      </c>
      <c r="C1046">
        <f t="shared" si="23"/>
        <v>2018</v>
      </c>
    </row>
    <row r="1047" spans="1:3" x14ac:dyDescent="0.35">
      <c r="A1047" s="7">
        <v>43448</v>
      </c>
      <c r="B1047" s="43">
        <v>261</v>
      </c>
      <c r="C1047">
        <f t="shared" si="23"/>
        <v>2018</v>
      </c>
    </row>
    <row r="1048" spans="1:3" x14ac:dyDescent="0.35">
      <c r="A1048" s="7">
        <v>43447</v>
      </c>
      <c r="B1048" s="43">
        <v>258</v>
      </c>
      <c r="C1048">
        <f t="shared" si="23"/>
        <v>2018</v>
      </c>
    </row>
    <row r="1049" spans="1:3" x14ac:dyDescent="0.35">
      <c r="A1049" s="7">
        <v>43446</v>
      </c>
      <c r="B1049" s="43">
        <v>261</v>
      </c>
      <c r="C1049">
        <f t="shared" si="23"/>
        <v>2018</v>
      </c>
    </row>
    <row r="1050" spans="1:3" x14ac:dyDescent="0.35">
      <c r="A1050" s="7">
        <v>43445</v>
      </c>
      <c r="B1050" s="43">
        <v>270</v>
      </c>
      <c r="C1050">
        <f t="shared" si="23"/>
        <v>2018</v>
      </c>
    </row>
    <row r="1051" spans="1:3" x14ac:dyDescent="0.35">
      <c r="A1051" s="7">
        <v>43444</v>
      </c>
      <c r="B1051" s="43">
        <v>276</v>
      </c>
      <c r="C1051">
        <f t="shared" si="23"/>
        <v>2018</v>
      </c>
    </row>
    <row r="1052" spans="1:3" x14ac:dyDescent="0.35">
      <c r="A1052" s="7">
        <v>43441</v>
      </c>
      <c r="B1052" s="43">
        <v>274</v>
      </c>
      <c r="C1052">
        <f t="shared" si="23"/>
        <v>2018</v>
      </c>
    </row>
    <row r="1053" spans="1:3" x14ac:dyDescent="0.35">
      <c r="A1053" s="7">
        <v>43440</v>
      </c>
      <c r="B1053" s="43">
        <v>277</v>
      </c>
      <c r="C1053">
        <f t="shared" si="23"/>
        <v>2018</v>
      </c>
    </row>
    <row r="1054" spans="1:3" x14ac:dyDescent="0.35">
      <c r="A1054" s="7">
        <v>43439</v>
      </c>
      <c r="B1054" s="43">
        <v>274</v>
      </c>
      <c r="C1054">
        <f t="shared" si="23"/>
        <v>2018</v>
      </c>
    </row>
    <row r="1055" spans="1:3" x14ac:dyDescent="0.35">
      <c r="A1055" s="7">
        <v>43438</v>
      </c>
      <c r="B1055" s="43">
        <v>274</v>
      </c>
      <c r="C1055">
        <f t="shared" si="23"/>
        <v>2018</v>
      </c>
    </row>
    <row r="1056" spans="1:3" x14ac:dyDescent="0.35">
      <c r="A1056" s="7">
        <v>43437</v>
      </c>
      <c r="B1056" s="43">
        <v>267</v>
      </c>
      <c r="C1056">
        <f t="shared" si="23"/>
        <v>2018</v>
      </c>
    </row>
    <row r="1057" spans="1:3" x14ac:dyDescent="0.35">
      <c r="A1057" s="7">
        <v>43434</v>
      </c>
      <c r="B1057" s="43">
        <v>270</v>
      </c>
      <c r="C1057">
        <f t="shared" si="23"/>
        <v>2018</v>
      </c>
    </row>
    <row r="1058" spans="1:3" x14ac:dyDescent="0.35">
      <c r="A1058" s="7">
        <v>43433</v>
      </c>
      <c r="B1058" s="43">
        <v>272</v>
      </c>
      <c r="C1058">
        <f t="shared" si="23"/>
        <v>2018</v>
      </c>
    </row>
    <row r="1059" spans="1:3" x14ac:dyDescent="0.35">
      <c r="A1059" s="7">
        <v>43432</v>
      </c>
      <c r="B1059" s="43">
        <v>272</v>
      </c>
      <c r="C1059">
        <f t="shared" si="23"/>
        <v>2018</v>
      </c>
    </row>
    <row r="1060" spans="1:3" x14ac:dyDescent="0.35">
      <c r="A1060" s="7">
        <v>43431</v>
      </c>
      <c r="B1060" s="43">
        <v>280</v>
      </c>
      <c r="C1060">
        <f t="shared" si="23"/>
        <v>2018</v>
      </c>
    </row>
    <row r="1061" spans="1:3" x14ac:dyDescent="0.35">
      <c r="A1061" s="7">
        <v>43430</v>
      </c>
      <c r="B1061" s="43">
        <v>276</v>
      </c>
      <c r="C1061">
        <f t="shared" si="23"/>
        <v>2018</v>
      </c>
    </row>
    <row r="1062" spans="1:3" x14ac:dyDescent="0.35">
      <c r="A1062" s="7">
        <v>43427</v>
      </c>
      <c r="B1062" s="43">
        <v>274</v>
      </c>
      <c r="C1062">
        <f t="shared" si="23"/>
        <v>2018</v>
      </c>
    </row>
    <row r="1063" spans="1:3" x14ac:dyDescent="0.35">
      <c r="A1063" s="7">
        <v>43426</v>
      </c>
      <c r="B1063" s="43">
        <v>271</v>
      </c>
      <c r="C1063">
        <f t="shared" si="23"/>
        <v>2018</v>
      </c>
    </row>
    <row r="1064" spans="1:3" x14ac:dyDescent="0.35">
      <c r="A1064" s="7">
        <v>43425</v>
      </c>
      <c r="B1064" s="43">
        <v>271</v>
      </c>
      <c r="C1064">
        <f t="shared" si="23"/>
        <v>2018</v>
      </c>
    </row>
    <row r="1065" spans="1:3" x14ac:dyDescent="0.35">
      <c r="A1065" s="7">
        <v>43424</v>
      </c>
      <c r="B1065" s="43">
        <v>273</v>
      </c>
      <c r="C1065">
        <f t="shared" si="23"/>
        <v>2018</v>
      </c>
    </row>
    <row r="1066" spans="1:3" x14ac:dyDescent="0.35">
      <c r="A1066" s="7">
        <v>43423</v>
      </c>
      <c r="B1066" s="43">
        <v>267</v>
      </c>
      <c r="C1066">
        <f t="shared" si="23"/>
        <v>2018</v>
      </c>
    </row>
    <row r="1067" spans="1:3" x14ac:dyDescent="0.35">
      <c r="A1067" s="7">
        <v>43420</v>
      </c>
      <c r="B1067" s="43">
        <v>263</v>
      </c>
      <c r="C1067">
        <f t="shared" si="23"/>
        <v>2018</v>
      </c>
    </row>
    <row r="1068" spans="1:3" x14ac:dyDescent="0.35">
      <c r="A1068" s="7">
        <v>43419</v>
      </c>
      <c r="B1068" s="43">
        <v>261</v>
      </c>
      <c r="C1068">
        <f t="shared" si="23"/>
        <v>2018</v>
      </c>
    </row>
    <row r="1069" spans="1:3" x14ac:dyDescent="0.35">
      <c r="A1069" s="7">
        <v>43418</v>
      </c>
      <c r="B1069" s="43">
        <v>263</v>
      </c>
      <c r="C1069">
        <f t="shared" si="23"/>
        <v>2018</v>
      </c>
    </row>
    <row r="1070" spans="1:3" x14ac:dyDescent="0.35">
      <c r="A1070" s="7">
        <v>43417</v>
      </c>
      <c r="B1070" s="43">
        <v>262</v>
      </c>
      <c r="C1070">
        <f t="shared" si="23"/>
        <v>2018</v>
      </c>
    </row>
    <row r="1071" spans="1:3" x14ac:dyDescent="0.35">
      <c r="A1071" s="7">
        <v>43416</v>
      </c>
      <c r="B1071" s="43">
        <v>254</v>
      </c>
      <c r="C1071">
        <f t="shared" si="23"/>
        <v>2018</v>
      </c>
    </row>
    <row r="1072" spans="1:3" x14ac:dyDescent="0.35">
      <c r="A1072" s="7">
        <v>43413</v>
      </c>
      <c r="B1072" s="43">
        <v>254</v>
      </c>
      <c r="C1072">
        <f t="shared" si="23"/>
        <v>2018</v>
      </c>
    </row>
    <row r="1073" spans="1:3" x14ac:dyDescent="0.35">
      <c r="A1073" s="7">
        <v>43412</v>
      </c>
      <c r="B1073" s="43">
        <v>251</v>
      </c>
      <c r="C1073">
        <f t="shared" si="23"/>
        <v>2018</v>
      </c>
    </row>
    <row r="1074" spans="1:3" x14ac:dyDescent="0.35">
      <c r="A1074" s="7">
        <v>43411</v>
      </c>
      <c r="B1074" s="43">
        <v>247</v>
      </c>
      <c r="C1074">
        <f t="shared" si="23"/>
        <v>2018</v>
      </c>
    </row>
    <row r="1075" spans="1:3" x14ac:dyDescent="0.35">
      <c r="A1075" s="7">
        <v>43410</v>
      </c>
      <c r="B1075" s="43">
        <v>249</v>
      </c>
      <c r="C1075">
        <f t="shared" si="23"/>
        <v>2018</v>
      </c>
    </row>
    <row r="1076" spans="1:3" x14ac:dyDescent="0.35">
      <c r="A1076" s="7">
        <v>43409</v>
      </c>
      <c r="B1076" s="43">
        <v>247</v>
      </c>
      <c r="C1076">
        <f t="shared" si="23"/>
        <v>2018</v>
      </c>
    </row>
    <row r="1077" spans="1:3" x14ac:dyDescent="0.35">
      <c r="A1077" s="7">
        <v>43406</v>
      </c>
      <c r="B1077" s="43">
        <v>248</v>
      </c>
      <c r="C1077">
        <f t="shared" si="23"/>
        <v>2018</v>
      </c>
    </row>
    <row r="1078" spans="1:3" x14ac:dyDescent="0.35">
      <c r="A1078" s="7">
        <v>43405</v>
      </c>
      <c r="B1078" s="43">
        <v>254</v>
      </c>
      <c r="C1078">
        <f t="shared" si="23"/>
        <v>2018</v>
      </c>
    </row>
    <row r="1079" spans="1:3" x14ac:dyDescent="0.35">
      <c r="A1079" s="7">
        <v>43404</v>
      </c>
      <c r="B1079" s="43">
        <v>260</v>
      </c>
      <c r="C1079">
        <f t="shared" si="23"/>
        <v>2018</v>
      </c>
    </row>
    <row r="1080" spans="1:3" x14ac:dyDescent="0.35">
      <c r="A1080" s="7">
        <v>43403</v>
      </c>
      <c r="B1080" s="43">
        <v>263</v>
      </c>
      <c r="C1080">
        <f t="shared" si="23"/>
        <v>2018</v>
      </c>
    </row>
    <row r="1081" spans="1:3" x14ac:dyDescent="0.35">
      <c r="A1081" s="7">
        <v>43402</v>
      </c>
      <c r="B1081" s="43">
        <v>267</v>
      </c>
      <c r="C1081">
        <f t="shared" si="23"/>
        <v>2018</v>
      </c>
    </row>
    <row r="1082" spans="1:3" x14ac:dyDescent="0.35">
      <c r="A1082" s="7">
        <v>43399</v>
      </c>
      <c r="B1082" s="43">
        <v>266</v>
      </c>
      <c r="C1082">
        <f t="shared" si="23"/>
        <v>2018</v>
      </c>
    </row>
    <row r="1083" spans="1:3" x14ac:dyDescent="0.35">
      <c r="A1083" s="7">
        <v>43398</v>
      </c>
      <c r="B1083" s="43">
        <v>264</v>
      </c>
      <c r="C1083">
        <f t="shared" si="23"/>
        <v>2018</v>
      </c>
    </row>
    <row r="1084" spans="1:3" x14ac:dyDescent="0.35">
      <c r="A1084" s="7">
        <v>43397</v>
      </c>
      <c r="B1084" s="43">
        <v>269</v>
      </c>
      <c r="C1084">
        <f t="shared" si="23"/>
        <v>2018</v>
      </c>
    </row>
    <row r="1085" spans="1:3" x14ac:dyDescent="0.35">
      <c r="A1085" s="7">
        <v>43396</v>
      </c>
      <c r="B1085" s="43">
        <v>260</v>
      </c>
      <c r="C1085">
        <f t="shared" si="23"/>
        <v>2018</v>
      </c>
    </row>
    <row r="1086" spans="1:3" x14ac:dyDescent="0.35">
      <c r="A1086" s="7">
        <v>43395</v>
      </c>
      <c r="B1086" s="43">
        <v>260</v>
      </c>
      <c r="C1086">
        <f t="shared" si="23"/>
        <v>2018</v>
      </c>
    </row>
    <row r="1087" spans="1:3" x14ac:dyDescent="0.35">
      <c r="A1087" s="7">
        <v>43392</v>
      </c>
      <c r="B1087" s="43">
        <v>262</v>
      </c>
      <c r="C1087">
        <f t="shared" si="23"/>
        <v>2018</v>
      </c>
    </row>
    <row r="1088" spans="1:3" x14ac:dyDescent="0.35">
      <c r="A1088" s="7">
        <v>43391</v>
      </c>
      <c r="B1088" s="43">
        <v>264</v>
      </c>
      <c r="C1088">
        <f t="shared" si="23"/>
        <v>2018</v>
      </c>
    </row>
    <row r="1089" spans="1:3" x14ac:dyDescent="0.35">
      <c r="A1089" s="7">
        <v>43390</v>
      </c>
      <c r="B1089" s="43">
        <v>255</v>
      </c>
      <c r="C1089">
        <f t="shared" si="23"/>
        <v>2018</v>
      </c>
    </row>
    <row r="1090" spans="1:3" x14ac:dyDescent="0.35">
      <c r="A1090" s="7">
        <v>43389</v>
      </c>
      <c r="B1090" s="43">
        <v>256</v>
      </c>
      <c r="C1090">
        <f t="shared" si="23"/>
        <v>2018</v>
      </c>
    </row>
    <row r="1091" spans="1:3" x14ac:dyDescent="0.35">
      <c r="A1091" s="7">
        <v>43388</v>
      </c>
      <c r="B1091" s="43">
        <v>261</v>
      </c>
      <c r="C1091">
        <f t="shared" ref="C1091:C1154" si="24">YEAR(A1091)</f>
        <v>2018</v>
      </c>
    </row>
    <row r="1092" spans="1:3" x14ac:dyDescent="0.35">
      <c r="A1092" s="7">
        <v>43385</v>
      </c>
      <c r="B1092" s="43">
        <v>266</v>
      </c>
      <c r="C1092">
        <f t="shared" si="24"/>
        <v>2018</v>
      </c>
    </row>
    <row r="1093" spans="1:3" x14ac:dyDescent="0.35">
      <c r="A1093" s="7">
        <v>43384</v>
      </c>
      <c r="B1093" s="43">
        <v>272</v>
      </c>
      <c r="C1093">
        <f t="shared" si="24"/>
        <v>2018</v>
      </c>
    </row>
    <row r="1094" spans="1:3" x14ac:dyDescent="0.35">
      <c r="A1094" s="7">
        <v>43383</v>
      </c>
      <c r="B1094" s="43">
        <v>268</v>
      </c>
      <c r="C1094">
        <f t="shared" si="24"/>
        <v>2018</v>
      </c>
    </row>
    <row r="1095" spans="1:3" x14ac:dyDescent="0.35">
      <c r="A1095" s="7">
        <v>43382</v>
      </c>
      <c r="B1095" s="43">
        <v>260</v>
      </c>
      <c r="C1095">
        <f t="shared" si="24"/>
        <v>2018</v>
      </c>
    </row>
    <row r="1096" spans="1:3" x14ac:dyDescent="0.35">
      <c r="A1096" s="7">
        <v>43381</v>
      </c>
      <c r="B1096" s="43">
        <v>272</v>
      </c>
      <c r="C1096">
        <f t="shared" si="24"/>
        <v>2018</v>
      </c>
    </row>
    <row r="1097" spans="1:3" x14ac:dyDescent="0.35">
      <c r="A1097" s="7">
        <v>43378</v>
      </c>
      <c r="B1097" s="43">
        <v>272</v>
      </c>
      <c r="C1097">
        <f t="shared" si="24"/>
        <v>2018</v>
      </c>
    </row>
    <row r="1098" spans="1:3" x14ac:dyDescent="0.35">
      <c r="A1098" s="7">
        <v>43377</v>
      </c>
      <c r="B1098" s="43">
        <v>278</v>
      </c>
      <c r="C1098">
        <f t="shared" si="24"/>
        <v>2018</v>
      </c>
    </row>
    <row r="1099" spans="1:3" x14ac:dyDescent="0.35">
      <c r="A1099" s="7">
        <v>43376</v>
      </c>
      <c r="B1099" s="43">
        <v>273</v>
      </c>
      <c r="C1099">
        <f t="shared" si="24"/>
        <v>2018</v>
      </c>
    </row>
    <row r="1100" spans="1:3" x14ac:dyDescent="0.35">
      <c r="A1100" s="7">
        <v>43375</v>
      </c>
      <c r="B1100" s="43">
        <v>285</v>
      </c>
      <c r="C1100">
        <f t="shared" si="24"/>
        <v>2018</v>
      </c>
    </row>
    <row r="1101" spans="1:3" x14ac:dyDescent="0.35">
      <c r="A1101" s="7">
        <v>43374</v>
      </c>
      <c r="B1101" s="43">
        <v>296</v>
      </c>
      <c r="C1101">
        <f t="shared" si="24"/>
        <v>2018</v>
      </c>
    </row>
    <row r="1102" spans="1:3" x14ac:dyDescent="0.35">
      <c r="A1102" s="7">
        <v>43371</v>
      </c>
      <c r="B1102" s="43">
        <v>293</v>
      </c>
      <c r="C1102">
        <f t="shared" si="24"/>
        <v>2018</v>
      </c>
    </row>
    <row r="1103" spans="1:3" x14ac:dyDescent="0.35">
      <c r="A1103" s="7">
        <v>43370</v>
      </c>
      <c r="B1103" s="43">
        <v>291</v>
      </c>
      <c r="C1103">
        <f t="shared" si="24"/>
        <v>2018</v>
      </c>
    </row>
    <row r="1104" spans="1:3" x14ac:dyDescent="0.35">
      <c r="A1104" s="7">
        <v>43369</v>
      </c>
      <c r="B1104" s="43">
        <v>294</v>
      </c>
      <c r="C1104">
        <f t="shared" si="24"/>
        <v>2018</v>
      </c>
    </row>
    <row r="1105" spans="1:3" x14ac:dyDescent="0.35">
      <c r="A1105" s="7">
        <v>43368</v>
      </c>
      <c r="B1105" s="43">
        <v>295</v>
      </c>
      <c r="C1105">
        <f t="shared" si="24"/>
        <v>2018</v>
      </c>
    </row>
    <row r="1106" spans="1:3" x14ac:dyDescent="0.35">
      <c r="A1106" s="7">
        <v>43367</v>
      </c>
      <c r="B1106" s="43">
        <v>293</v>
      </c>
      <c r="C1106">
        <f t="shared" si="24"/>
        <v>2018</v>
      </c>
    </row>
    <row r="1107" spans="1:3" x14ac:dyDescent="0.35">
      <c r="A1107" s="7">
        <v>43364</v>
      </c>
      <c r="B1107" s="43">
        <v>287</v>
      </c>
      <c r="C1107">
        <f t="shared" si="24"/>
        <v>2018</v>
      </c>
    </row>
    <row r="1108" spans="1:3" x14ac:dyDescent="0.35">
      <c r="A1108" s="7">
        <v>43363</v>
      </c>
      <c r="B1108" s="43">
        <v>309</v>
      </c>
      <c r="C1108">
        <f t="shared" si="24"/>
        <v>2018</v>
      </c>
    </row>
    <row r="1109" spans="1:3" x14ac:dyDescent="0.35">
      <c r="A1109" s="7">
        <v>43362</v>
      </c>
      <c r="B1109" s="43">
        <v>328</v>
      </c>
      <c r="C1109">
        <f t="shared" si="24"/>
        <v>2018</v>
      </c>
    </row>
    <row r="1110" spans="1:3" x14ac:dyDescent="0.35">
      <c r="A1110" s="7">
        <v>43361</v>
      </c>
      <c r="B1110" s="43">
        <v>335</v>
      </c>
      <c r="C1110">
        <f t="shared" si="24"/>
        <v>2018</v>
      </c>
    </row>
    <row r="1111" spans="1:3" x14ac:dyDescent="0.35">
      <c r="A1111" s="7">
        <v>43360</v>
      </c>
      <c r="B1111" s="43">
        <v>337</v>
      </c>
      <c r="C1111">
        <f t="shared" si="24"/>
        <v>2018</v>
      </c>
    </row>
    <row r="1112" spans="1:3" x14ac:dyDescent="0.35">
      <c r="A1112" s="7">
        <v>43357</v>
      </c>
      <c r="B1112" s="43">
        <v>334</v>
      </c>
      <c r="C1112">
        <f t="shared" si="24"/>
        <v>2018</v>
      </c>
    </row>
    <row r="1113" spans="1:3" x14ac:dyDescent="0.35">
      <c r="A1113" s="7">
        <v>43356</v>
      </c>
      <c r="B1113" s="43">
        <v>334</v>
      </c>
      <c r="C1113">
        <f t="shared" si="24"/>
        <v>2018</v>
      </c>
    </row>
    <row r="1114" spans="1:3" x14ac:dyDescent="0.35">
      <c r="A1114" s="7">
        <v>43355</v>
      </c>
      <c r="B1114" s="43">
        <v>332</v>
      </c>
      <c r="C1114">
        <f t="shared" si="24"/>
        <v>2018</v>
      </c>
    </row>
    <row r="1115" spans="1:3" x14ac:dyDescent="0.35">
      <c r="A1115" s="7">
        <v>43354</v>
      </c>
      <c r="B1115" s="43">
        <v>336</v>
      </c>
      <c r="C1115">
        <f t="shared" si="24"/>
        <v>2018</v>
      </c>
    </row>
    <row r="1116" spans="1:3" x14ac:dyDescent="0.35">
      <c r="A1116" s="7">
        <v>43353</v>
      </c>
      <c r="B1116" s="43">
        <v>329</v>
      </c>
      <c r="C1116">
        <f t="shared" si="24"/>
        <v>2018</v>
      </c>
    </row>
    <row r="1117" spans="1:3" x14ac:dyDescent="0.35">
      <c r="A1117" s="7">
        <v>43350</v>
      </c>
      <c r="B1117" s="43">
        <v>323</v>
      </c>
      <c r="C1117">
        <f t="shared" si="24"/>
        <v>2018</v>
      </c>
    </row>
    <row r="1118" spans="1:3" x14ac:dyDescent="0.35">
      <c r="A1118" s="7">
        <v>43349</v>
      </c>
      <c r="B1118" s="43">
        <v>332</v>
      </c>
      <c r="C1118">
        <f t="shared" si="24"/>
        <v>2018</v>
      </c>
    </row>
    <row r="1119" spans="1:3" x14ac:dyDescent="0.35">
      <c r="A1119" s="7">
        <v>43348</v>
      </c>
      <c r="B1119" s="43">
        <v>338</v>
      </c>
      <c r="C1119">
        <f t="shared" si="24"/>
        <v>2018</v>
      </c>
    </row>
    <row r="1120" spans="1:3" x14ac:dyDescent="0.35">
      <c r="A1120" s="7">
        <v>43347</v>
      </c>
      <c r="B1120" s="43">
        <v>349</v>
      </c>
      <c r="C1120">
        <f t="shared" si="24"/>
        <v>2018</v>
      </c>
    </row>
    <row r="1121" spans="1:3" x14ac:dyDescent="0.35">
      <c r="A1121" s="7">
        <v>43346</v>
      </c>
      <c r="B1121" s="43">
        <v>345</v>
      </c>
      <c r="C1121">
        <f t="shared" si="24"/>
        <v>2018</v>
      </c>
    </row>
    <row r="1122" spans="1:3" x14ac:dyDescent="0.35">
      <c r="A1122" s="7">
        <v>43343</v>
      </c>
      <c r="B1122" s="43">
        <v>345</v>
      </c>
      <c r="C1122">
        <f t="shared" si="24"/>
        <v>2018</v>
      </c>
    </row>
    <row r="1123" spans="1:3" x14ac:dyDescent="0.35">
      <c r="A1123" s="7">
        <v>43342</v>
      </c>
      <c r="B1123" s="43">
        <v>343</v>
      </c>
      <c r="C1123">
        <f t="shared" si="24"/>
        <v>2018</v>
      </c>
    </row>
    <row r="1124" spans="1:3" x14ac:dyDescent="0.35">
      <c r="A1124" s="7">
        <v>43341</v>
      </c>
      <c r="B1124" s="43">
        <v>335</v>
      </c>
      <c r="C1124">
        <f t="shared" si="24"/>
        <v>2018</v>
      </c>
    </row>
    <row r="1125" spans="1:3" x14ac:dyDescent="0.35">
      <c r="A1125" s="7">
        <v>43340</v>
      </c>
      <c r="B1125" s="43">
        <v>330</v>
      </c>
      <c r="C1125">
        <f t="shared" si="24"/>
        <v>2018</v>
      </c>
    </row>
    <row r="1126" spans="1:3" x14ac:dyDescent="0.35">
      <c r="A1126" s="7">
        <v>43339</v>
      </c>
      <c r="B1126" s="43">
        <v>329</v>
      </c>
      <c r="C1126">
        <f t="shared" si="24"/>
        <v>2018</v>
      </c>
    </row>
    <row r="1127" spans="1:3" x14ac:dyDescent="0.35">
      <c r="A1127" s="7">
        <v>43336</v>
      </c>
      <c r="B1127" s="43">
        <v>332</v>
      </c>
      <c r="C1127">
        <f t="shared" si="24"/>
        <v>2018</v>
      </c>
    </row>
    <row r="1128" spans="1:3" x14ac:dyDescent="0.35">
      <c r="A1128" s="7">
        <v>43335</v>
      </c>
      <c r="B1128" s="43">
        <v>332</v>
      </c>
      <c r="C1128">
        <f t="shared" si="24"/>
        <v>2018</v>
      </c>
    </row>
    <row r="1129" spans="1:3" x14ac:dyDescent="0.35">
      <c r="A1129" s="7">
        <v>43334</v>
      </c>
      <c r="B1129" s="43">
        <v>323</v>
      </c>
      <c r="C1129">
        <f t="shared" si="24"/>
        <v>2018</v>
      </c>
    </row>
    <row r="1130" spans="1:3" x14ac:dyDescent="0.35">
      <c r="A1130" s="7">
        <v>43333</v>
      </c>
      <c r="B1130" s="43">
        <v>311</v>
      </c>
      <c r="C1130">
        <f t="shared" si="24"/>
        <v>2018</v>
      </c>
    </row>
    <row r="1131" spans="1:3" x14ac:dyDescent="0.35">
      <c r="A1131" s="7">
        <v>43332</v>
      </c>
      <c r="B1131" s="43">
        <v>308</v>
      </c>
      <c r="C1131">
        <f t="shared" si="24"/>
        <v>2018</v>
      </c>
    </row>
    <row r="1132" spans="1:3" x14ac:dyDescent="0.35">
      <c r="A1132" s="7">
        <v>43329</v>
      </c>
      <c r="B1132" s="43">
        <v>305</v>
      </c>
      <c r="C1132">
        <f t="shared" si="24"/>
        <v>2018</v>
      </c>
    </row>
    <row r="1133" spans="1:3" x14ac:dyDescent="0.35">
      <c r="A1133" s="7">
        <v>43328</v>
      </c>
      <c r="B1133" s="43">
        <v>302</v>
      </c>
      <c r="C1133">
        <f t="shared" si="24"/>
        <v>2018</v>
      </c>
    </row>
    <row r="1134" spans="1:3" x14ac:dyDescent="0.35">
      <c r="A1134" s="7">
        <v>43327</v>
      </c>
      <c r="B1134" s="43">
        <v>306</v>
      </c>
      <c r="C1134">
        <f t="shared" si="24"/>
        <v>2018</v>
      </c>
    </row>
    <row r="1135" spans="1:3" x14ac:dyDescent="0.35">
      <c r="A1135" s="7">
        <v>43326</v>
      </c>
      <c r="B1135" s="43">
        <v>300</v>
      </c>
      <c r="C1135">
        <f t="shared" si="24"/>
        <v>2018</v>
      </c>
    </row>
    <row r="1136" spans="1:3" x14ac:dyDescent="0.35">
      <c r="A1136" s="7">
        <v>43325</v>
      </c>
      <c r="B1136" s="43">
        <v>306</v>
      </c>
      <c r="C1136">
        <f t="shared" si="24"/>
        <v>2018</v>
      </c>
    </row>
    <row r="1137" spans="1:3" x14ac:dyDescent="0.35">
      <c r="A1137" s="7">
        <v>43322</v>
      </c>
      <c r="B1137" s="43">
        <v>301</v>
      </c>
      <c r="C1137">
        <f t="shared" si="24"/>
        <v>2018</v>
      </c>
    </row>
    <row r="1138" spans="1:3" x14ac:dyDescent="0.35">
      <c r="A1138" s="7">
        <v>43321</v>
      </c>
      <c r="B1138" s="43">
        <v>285</v>
      </c>
      <c r="C1138">
        <f t="shared" si="24"/>
        <v>2018</v>
      </c>
    </row>
    <row r="1139" spans="1:3" x14ac:dyDescent="0.35">
      <c r="A1139" s="7">
        <v>43320</v>
      </c>
      <c r="B1139" s="43">
        <v>277</v>
      </c>
      <c r="C1139">
        <f t="shared" si="24"/>
        <v>2018</v>
      </c>
    </row>
    <row r="1140" spans="1:3" x14ac:dyDescent="0.35">
      <c r="A1140" s="7">
        <v>43319</v>
      </c>
      <c r="B1140" s="43">
        <v>275</v>
      </c>
      <c r="C1140">
        <f t="shared" si="24"/>
        <v>2018</v>
      </c>
    </row>
    <row r="1141" spans="1:3" x14ac:dyDescent="0.35">
      <c r="A1141" s="7">
        <v>43318</v>
      </c>
      <c r="B1141" s="43">
        <v>272</v>
      </c>
      <c r="C1141">
        <f t="shared" si="24"/>
        <v>2018</v>
      </c>
    </row>
    <row r="1142" spans="1:3" x14ac:dyDescent="0.35">
      <c r="A1142" s="7">
        <v>43315</v>
      </c>
      <c r="B1142" s="43">
        <v>270</v>
      </c>
      <c r="C1142">
        <f t="shared" si="24"/>
        <v>2018</v>
      </c>
    </row>
    <row r="1143" spans="1:3" x14ac:dyDescent="0.35">
      <c r="A1143" s="7">
        <v>43314</v>
      </c>
      <c r="B1143" s="43">
        <v>273</v>
      </c>
      <c r="C1143">
        <f t="shared" si="24"/>
        <v>2018</v>
      </c>
    </row>
    <row r="1144" spans="1:3" x14ac:dyDescent="0.35">
      <c r="A1144" s="7">
        <v>43313</v>
      </c>
      <c r="B1144" s="43">
        <v>271</v>
      </c>
      <c r="C1144">
        <f t="shared" si="24"/>
        <v>2018</v>
      </c>
    </row>
    <row r="1145" spans="1:3" x14ac:dyDescent="0.35">
      <c r="A1145" s="7">
        <v>43312</v>
      </c>
      <c r="B1145" s="43">
        <v>267</v>
      </c>
      <c r="C1145">
        <f t="shared" si="24"/>
        <v>2018</v>
      </c>
    </row>
    <row r="1146" spans="1:3" x14ac:dyDescent="0.35">
      <c r="A1146" s="7">
        <v>43311</v>
      </c>
      <c r="B1146" s="43">
        <v>266</v>
      </c>
      <c r="C1146">
        <f t="shared" si="24"/>
        <v>2018</v>
      </c>
    </row>
    <row r="1147" spans="1:3" x14ac:dyDescent="0.35">
      <c r="A1147" s="7">
        <v>43308</v>
      </c>
      <c r="B1147" s="43">
        <v>264</v>
      </c>
      <c r="C1147">
        <f t="shared" si="24"/>
        <v>2018</v>
      </c>
    </row>
    <row r="1148" spans="1:3" x14ac:dyDescent="0.35">
      <c r="A1148" s="7">
        <v>43307</v>
      </c>
      <c r="B1148" s="43">
        <v>267</v>
      </c>
      <c r="C1148">
        <f t="shared" si="24"/>
        <v>2018</v>
      </c>
    </row>
    <row r="1149" spans="1:3" x14ac:dyDescent="0.35">
      <c r="A1149" s="7">
        <v>43306</v>
      </c>
      <c r="B1149" s="43">
        <v>271</v>
      </c>
      <c r="C1149">
        <f t="shared" si="24"/>
        <v>2018</v>
      </c>
    </row>
    <row r="1150" spans="1:3" x14ac:dyDescent="0.35">
      <c r="A1150" s="7">
        <v>43305</v>
      </c>
      <c r="B1150" s="43">
        <v>276</v>
      </c>
      <c r="C1150">
        <f t="shared" si="24"/>
        <v>2018</v>
      </c>
    </row>
    <row r="1151" spans="1:3" x14ac:dyDescent="0.35">
      <c r="A1151" s="7">
        <v>43304</v>
      </c>
      <c r="B1151" s="43">
        <v>277</v>
      </c>
      <c r="C1151">
        <f t="shared" si="24"/>
        <v>2018</v>
      </c>
    </row>
    <row r="1152" spans="1:3" x14ac:dyDescent="0.35">
      <c r="A1152" s="7">
        <v>43301</v>
      </c>
      <c r="B1152" s="43">
        <v>280</v>
      </c>
      <c r="C1152">
        <f t="shared" si="24"/>
        <v>2018</v>
      </c>
    </row>
    <row r="1153" spans="1:3" x14ac:dyDescent="0.35">
      <c r="A1153" s="7">
        <v>43300</v>
      </c>
      <c r="B1153" s="43">
        <v>297</v>
      </c>
      <c r="C1153">
        <f t="shared" si="24"/>
        <v>2018</v>
      </c>
    </row>
    <row r="1154" spans="1:3" x14ac:dyDescent="0.35">
      <c r="A1154" s="7">
        <v>43299</v>
      </c>
      <c r="B1154" s="43">
        <v>292</v>
      </c>
      <c r="C1154">
        <f t="shared" si="24"/>
        <v>2018</v>
      </c>
    </row>
    <row r="1155" spans="1:3" x14ac:dyDescent="0.35">
      <c r="A1155" s="7">
        <v>43298</v>
      </c>
      <c r="B1155" s="43">
        <v>295</v>
      </c>
      <c r="C1155">
        <f t="shared" ref="C1155:C1218" si="25">YEAR(A1155)</f>
        <v>2018</v>
      </c>
    </row>
    <row r="1156" spans="1:3" x14ac:dyDescent="0.35">
      <c r="A1156" s="7">
        <v>43297</v>
      </c>
      <c r="B1156" s="43">
        <v>295</v>
      </c>
      <c r="C1156">
        <f t="shared" si="25"/>
        <v>2018</v>
      </c>
    </row>
    <row r="1157" spans="1:3" x14ac:dyDescent="0.35">
      <c r="A1157" s="7">
        <v>43294</v>
      </c>
      <c r="B1157" s="43">
        <v>298</v>
      </c>
      <c r="C1157">
        <f t="shared" si="25"/>
        <v>2018</v>
      </c>
    </row>
    <row r="1158" spans="1:3" x14ac:dyDescent="0.35">
      <c r="A1158" s="7">
        <v>43293</v>
      </c>
      <c r="B1158" s="43">
        <v>299</v>
      </c>
      <c r="C1158">
        <f t="shared" si="25"/>
        <v>2018</v>
      </c>
    </row>
    <row r="1159" spans="1:3" x14ac:dyDescent="0.35">
      <c r="A1159" s="7">
        <v>43292</v>
      </c>
      <c r="B1159" s="43">
        <v>301</v>
      </c>
      <c r="C1159">
        <f t="shared" si="25"/>
        <v>2018</v>
      </c>
    </row>
    <row r="1160" spans="1:3" x14ac:dyDescent="0.35">
      <c r="A1160" s="7">
        <v>43291</v>
      </c>
      <c r="B1160" s="43">
        <v>296</v>
      </c>
      <c r="C1160">
        <f t="shared" si="25"/>
        <v>2018</v>
      </c>
    </row>
    <row r="1161" spans="1:3" x14ac:dyDescent="0.35">
      <c r="A1161" s="7">
        <v>43290</v>
      </c>
      <c r="B1161" s="43">
        <v>303</v>
      </c>
      <c r="C1161">
        <f t="shared" si="25"/>
        <v>2018</v>
      </c>
    </row>
    <row r="1162" spans="1:3" x14ac:dyDescent="0.35">
      <c r="A1162" s="7">
        <v>43287</v>
      </c>
      <c r="B1162" s="43">
        <v>312</v>
      </c>
      <c r="C1162">
        <f t="shared" si="25"/>
        <v>2018</v>
      </c>
    </row>
    <row r="1163" spans="1:3" x14ac:dyDescent="0.35">
      <c r="A1163" s="7">
        <v>43286</v>
      </c>
      <c r="B1163" s="43">
        <v>319</v>
      </c>
      <c r="C1163">
        <f t="shared" si="25"/>
        <v>2018</v>
      </c>
    </row>
    <row r="1164" spans="1:3" x14ac:dyDescent="0.35">
      <c r="A1164" s="7">
        <v>43285</v>
      </c>
      <c r="B1164" s="43">
        <v>327</v>
      </c>
      <c r="C1164">
        <f t="shared" si="25"/>
        <v>2018</v>
      </c>
    </row>
    <row r="1165" spans="1:3" x14ac:dyDescent="0.35">
      <c r="A1165" s="7">
        <v>43284</v>
      </c>
      <c r="B1165" s="43">
        <v>327</v>
      </c>
      <c r="C1165">
        <f t="shared" si="25"/>
        <v>2018</v>
      </c>
    </row>
    <row r="1166" spans="1:3" x14ac:dyDescent="0.35">
      <c r="A1166" s="7">
        <v>43283</v>
      </c>
      <c r="B1166" s="43">
        <v>331</v>
      </c>
      <c r="C1166">
        <f t="shared" si="25"/>
        <v>2018</v>
      </c>
    </row>
    <row r="1167" spans="1:3" x14ac:dyDescent="0.35">
      <c r="A1167" s="7">
        <v>43280</v>
      </c>
      <c r="B1167" s="43">
        <v>332</v>
      </c>
      <c r="C1167">
        <f t="shared" si="25"/>
        <v>2018</v>
      </c>
    </row>
    <row r="1168" spans="1:3" x14ac:dyDescent="0.35">
      <c r="A1168" s="7">
        <v>43279</v>
      </c>
      <c r="B1168" s="43">
        <v>332</v>
      </c>
      <c r="C1168">
        <f t="shared" si="25"/>
        <v>2018</v>
      </c>
    </row>
    <row r="1169" spans="1:3" x14ac:dyDescent="0.35">
      <c r="A1169" s="7">
        <v>43278</v>
      </c>
      <c r="B1169" s="43">
        <v>332</v>
      </c>
      <c r="C1169">
        <f t="shared" si="25"/>
        <v>2018</v>
      </c>
    </row>
    <row r="1170" spans="1:3" x14ac:dyDescent="0.35">
      <c r="A1170" s="7">
        <v>43277</v>
      </c>
      <c r="B1170" s="43">
        <v>320</v>
      </c>
      <c r="C1170">
        <f t="shared" si="25"/>
        <v>2018</v>
      </c>
    </row>
    <row r="1171" spans="1:3" x14ac:dyDescent="0.35">
      <c r="A1171" s="7">
        <v>43276</v>
      </c>
      <c r="B1171" s="43">
        <v>323</v>
      </c>
      <c r="C1171">
        <f t="shared" si="25"/>
        <v>2018</v>
      </c>
    </row>
    <row r="1172" spans="1:3" x14ac:dyDescent="0.35">
      <c r="A1172" s="7">
        <v>43273</v>
      </c>
      <c r="B1172" s="43">
        <v>318</v>
      </c>
      <c r="C1172">
        <f t="shared" si="25"/>
        <v>2018</v>
      </c>
    </row>
    <row r="1173" spans="1:3" x14ac:dyDescent="0.35">
      <c r="A1173" s="7">
        <v>43272</v>
      </c>
      <c r="B1173" s="43">
        <v>325</v>
      </c>
      <c r="C1173">
        <f t="shared" si="25"/>
        <v>2018</v>
      </c>
    </row>
    <row r="1174" spans="1:3" x14ac:dyDescent="0.35">
      <c r="A1174" s="7">
        <v>43271</v>
      </c>
      <c r="B1174" s="43">
        <v>333</v>
      </c>
      <c r="C1174">
        <f t="shared" si="25"/>
        <v>2018</v>
      </c>
    </row>
    <row r="1175" spans="1:3" x14ac:dyDescent="0.35">
      <c r="A1175" s="7">
        <v>43270</v>
      </c>
      <c r="B1175" s="43">
        <v>345</v>
      </c>
      <c r="C1175">
        <f t="shared" si="25"/>
        <v>2018</v>
      </c>
    </row>
    <row r="1176" spans="1:3" x14ac:dyDescent="0.35">
      <c r="A1176" s="7">
        <v>43269</v>
      </c>
      <c r="B1176" s="43">
        <v>343</v>
      </c>
      <c r="C1176">
        <f t="shared" si="25"/>
        <v>2018</v>
      </c>
    </row>
    <row r="1177" spans="1:3" x14ac:dyDescent="0.35">
      <c r="A1177" s="7">
        <v>43266</v>
      </c>
      <c r="B1177" s="43">
        <v>333</v>
      </c>
      <c r="C1177">
        <f t="shared" si="25"/>
        <v>2018</v>
      </c>
    </row>
    <row r="1178" spans="1:3" x14ac:dyDescent="0.35">
      <c r="A1178" s="7">
        <v>43265</v>
      </c>
      <c r="B1178" s="43">
        <v>334</v>
      </c>
      <c r="C1178">
        <f t="shared" si="25"/>
        <v>2018</v>
      </c>
    </row>
    <row r="1179" spans="1:3" x14ac:dyDescent="0.35">
      <c r="A1179" s="7">
        <v>43264</v>
      </c>
      <c r="B1179" s="43">
        <v>330</v>
      </c>
      <c r="C1179">
        <f t="shared" si="25"/>
        <v>2018</v>
      </c>
    </row>
    <row r="1180" spans="1:3" x14ac:dyDescent="0.35">
      <c r="A1180" s="7">
        <v>43263</v>
      </c>
      <c r="B1180" s="43">
        <v>332</v>
      </c>
      <c r="C1180">
        <f t="shared" si="25"/>
        <v>2018</v>
      </c>
    </row>
    <row r="1181" spans="1:3" x14ac:dyDescent="0.35">
      <c r="A1181" s="7">
        <v>43262</v>
      </c>
      <c r="B1181" s="43">
        <v>330</v>
      </c>
      <c r="C1181">
        <f t="shared" si="25"/>
        <v>2018</v>
      </c>
    </row>
    <row r="1182" spans="1:3" x14ac:dyDescent="0.35">
      <c r="A1182" s="7">
        <v>43259</v>
      </c>
      <c r="B1182" s="43">
        <v>325</v>
      </c>
      <c r="C1182">
        <f t="shared" si="25"/>
        <v>2018</v>
      </c>
    </row>
    <row r="1183" spans="1:3" x14ac:dyDescent="0.35">
      <c r="A1183" s="7">
        <v>43258</v>
      </c>
      <c r="B1183" s="43">
        <v>330</v>
      </c>
      <c r="C1183">
        <f t="shared" si="25"/>
        <v>2018</v>
      </c>
    </row>
    <row r="1184" spans="1:3" x14ac:dyDescent="0.35">
      <c r="A1184" s="7">
        <v>43257</v>
      </c>
      <c r="B1184" s="43">
        <v>311</v>
      </c>
      <c r="C1184">
        <f t="shared" si="25"/>
        <v>2018</v>
      </c>
    </row>
    <row r="1185" spans="1:3" x14ac:dyDescent="0.35">
      <c r="A1185" s="7">
        <v>43256</v>
      </c>
      <c r="B1185" s="43">
        <v>304</v>
      </c>
      <c r="C1185">
        <f t="shared" si="25"/>
        <v>2018</v>
      </c>
    </row>
    <row r="1186" spans="1:3" x14ac:dyDescent="0.35">
      <c r="A1186" s="7">
        <v>43255</v>
      </c>
      <c r="B1186" s="43">
        <v>300</v>
      </c>
      <c r="C1186">
        <f t="shared" si="25"/>
        <v>2018</v>
      </c>
    </row>
    <row r="1187" spans="1:3" x14ac:dyDescent="0.35">
      <c r="A1187" s="7">
        <v>43252</v>
      </c>
      <c r="B1187" s="43">
        <v>309</v>
      </c>
      <c r="C1187">
        <f t="shared" si="25"/>
        <v>2018</v>
      </c>
    </row>
    <row r="1188" spans="1:3" x14ac:dyDescent="0.35">
      <c r="A1188" s="7">
        <v>43251</v>
      </c>
      <c r="B1188" s="43">
        <v>307</v>
      </c>
      <c r="C1188">
        <f t="shared" si="25"/>
        <v>2018</v>
      </c>
    </row>
    <row r="1189" spans="1:3" x14ac:dyDescent="0.35">
      <c r="A1189" s="7">
        <v>43250</v>
      </c>
      <c r="B1189" s="43">
        <v>295</v>
      </c>
      <c r="C1189">
        <f t="shared" si="25"/>
        <v>2018</v>
      </c>
    </row>
    <row r="1190" spans="1:3" x14ac:dyDescent="0.35">
      <c r="A1190" s="7">
        <v>43249</v>
      </c>
      <c r="B1190" s="43">
        <v>297</v>
      </c>
      <c r="C1190">
        <f t="shared" si="25"/>
        <v>2018</v>
      </c>
    </row>
    <row r="1191" spans="1:3" x14ac:dyDescent="0.35">
      <c r="A1191" s="7">
        <v>43248</v>
      </c>
      <c r="B1191" s="43">
        <v>271</v>
      </c>
      <c r="C1191">
        <f t="shared" si="25"/>
        <v>2018</v>
      </c>
    </row>
    <row r="1192" spans="1:3" x14ac:dyDescent="0.35">
      <c r="A1192" s="7">
        <v>43245</v>
      </c>
      <c r="B1192" s="43">
        <v>271</v>
      </c>
      <c r="C1192">
        <f t="shared" si="25"/>
        <v>2018</v>
      </c>
    </row>
    <row r="1193" spans="1:3" x14ac:dyDescent="0.35">
      <c r="A1193" s="7">
        <v>43244</v>
      </c>
      <c r="B1193" s="43">
        <v>268</v>
      </c>
      <c r="C1193">
        <f t="shared" si="25"/>
        <v>2018</v>
      </c>
    </row>
    <row r="1194" spans="1:3" x14ac:dyDescent="0.35">
      <c r="A1194" s="7">
        <v>43243</v>
      </c>
      <c r="B1194" s="43">
        <v>265</v>
      </c>
      <c r="C1194">
        <f t="shared" si="25"/>
        <v>2018</v>
      </c>
    </row>
    <row r="1195" spans="1:3" x14ac:dyDescent="0.35">
      <c r="A1195" s="7">
        <v>43242</v>
      </c>
      <c r="B1195" s="43">
        <v>265</v>
      </c>
      <c r="C1195">
        <f t="shared" si="25"/>
        <v>2018</v>
      </c>
    </row>
    <row r="1196" spans="1:3" x14ac:dyDescent="0.35">
      <c r="A1196" s="7">
        <v>43241</v>
      </c>
      <c r="B1196" s="43">
        <v>270</v>
      </c>
      <c r="C1196">
        <f t="shared" si="25"/>
        <v>2018</v>
      </c>
    </row>
    <row r="1197" spans="1:3" x14ac:dyDescent="0.35">
      <c r="A1197" s="7">
        <v>43238</v>
      </c>
      <c r="B1197" s="43">
        <v>274</v>
      </c>
      <c r="C1197">
        <f t="shared" si="25"/>
        <v>2018</v>
      </c>
    </row>
    <row r="1198" spans="1:3" x14ac:dyDescent="0.35">
      <c r="A1198" s="7">
        <v>43237</v>
      </c>
      <c r="B1198" s="43">
        <v>261</v>
      </c>
      <c r="C1198">
        <f t="shared" si="25"/>
        <v>2018</v>
      </c>
    </row>
    <row r="1199" spans="1:3" x14ac:dyDescent="0.35">
      <c r="A1199" s="7">
        <v>43236</v>
      </c>
      <c r="B1199" s="43">
        <v>257</v>
      </c>
      <c r="C1199">
        <f t="shared" si="25"/>
        <v>2018</v>
      </c>
    </row>
    <row r="1200" spans="1:3" x14ac:dyDescent="0.35">
      <c r="A1200" s="7">
        <v>43235</v>
      </c>
      <c r="B1200" s="43">
        <v>260</v>
      </c>
      <c r="C1200">
        <f t="shared" si="25"/>
        <v>2018</v>
      </c>
    </row>
    <row r="1201" spans="1:3" x14ac:dyDescent="0.35">
      <c r="A1201" s="7">
        <v>43234</v>
      </c>
      <c r="B1201" s="43">
        <v>255</v>
      </c>
      <c r="C1201">
        <f t="shared" si="25"/>
        <v>2018</v>
      </c>
    </row>
    <row r="1202" spans="1:3" x14ac:dyDescent="0.35">
      <c r="A1202" s="7">
        <v>43231</v>
      </c>
      <c r="B1202" s="43">
        <v>254</v>
      </c>
      <c r="C1202">
        <f t="shared" si="25"/>
        <v>2018</v>
      </c>
    </row>
    <row r="1203" spans="1:3" x14ac:dyDescent="0.35">
      <c r="A1203" s="7">
        <v>43230</v>
      </c>
      <c r="B1203" s="43">
        <v>252</v>
      </c>
      <c r="C1203">
        <f t="shared" si="25"/>
        <v>2018</v>
      </c>
    </row>
    <row r="1204" spans="1:3" x14ac:dyDescent="0.35">
      <c r="A1204" s="7">
        <v>43229</v>
      </c>
      <c r="B1204" s="43">
        <v>264</v>
      </c>
      <c r="C1204">
        <f t="shared" si="25"/>
        <v>2018</v>
      </c>
    </row>
    <row r="1205" spans="1:3" x14ac:dyDescent="0.35">
      <c r="A1205" s="7">
        <v>43228</v>
      </c>
      <c r="B1205" s="43">
        <v>269</v>
      </c>
      <c r="C1205">
        <f t="shared" si="25"/>
        <v>2018</v>
      </c>
    </row>
    <row r="1206" spans="1:3" x14ac:dyDescent="0.35">
      <c r="A1206" s="7">
        <v>43227</v>
      </c>
      <c r="B1206" s="43">
        <v>262</v>
      </c>
      <c r="C1206">
        <f t="shared" si="25"/>
        <v>2018</v>
      </c>
    </row>
    <row r="1207" spans="1:3" x14ac:dyDescent="0.35">
      <c r="A1207" s="7">
        <v>43224</v>
      </c>
      <c r="B1207" s="43">
        <v>261</v>
      </c>
      <c r="C1207">
        <f t="shared" si="25"/>
        <v>2018</v>
      </c>
    </row>
    <row r="1208" spans="1:3" x14ac:dyDescent="0.35">
      <c r="A1208" s="7">
        <v>43223</v>
      </c>
      <c r="B1208" s="43">
        <v>263</v>
      </c>
      <c r="C1208">
        <f t="shared" si="25"/>
        <v>2018</v>
      </c>
    </row>
    <row r="1209" spans="1:3" x14ac:dyDescent="0.35">
      <c r="A1209" s="7">
        <v>43222</v>
      </c>
      <c r="B1209" s="43">
        <v>256</v>
      </c>
      <c r="C1209">
        <f t="shared" si="25"/>
        <v>2018</v>
      </c>
    </row>
    <row r="1210" spans="1:3" x14ac:dyDescent="0.35">
      <c r="A1210" s="7">
        <v>43221</v>
      </c>
      <c r="B1210" s="43">
        <v>250</v>
      </c>
      <c r="C1210">
        <f t="shared" si="25"/>
        <v>2018</v>
      </c>
    </row>
    <row r="1211" spans="1:3" x14ac:dyDescent="0.35">
      <c r="A1211" s="7">
        <v>43220</v>
      </c>
      <c r="B1211" s="43">
        <v>250</v>
      </c>
      <c r="C1211">
        <f t="shared" si="25"/>
        <v>2018</v>
      </c>
    </row>
    <row r="1212" spans="1:3" x14ac:dyDescent="0.35">
      <c r="A1212" s="7">
        <v>43217</v>
      </c>
      <c r="B1212" s="43">
        <v>249</v>
      </c>
      <c r="C1212">
        <f t="shared" si="25"/>
        <v>2018</v>
      </c>
    </row>
    <row r="1213" spans="1:3" x14ac:dyDescent="0.35">
      <c r="A1213" s="7">
        <v>43216</v>
      </c>
      <c r="B1213" s="43">
        <v>244</v>
      </c>
      <c r="C1213">
        <f t="shared" si="25"/>
        <v>2018</v>
      </c>
    </row>
    <row r="1214" spans="1:3" x14ac:dyDescent="0.35">
      <c r="A1214" s="7">
        <v>43215</v>
      </c>
      <c r="B1214" s="43">
        <v>243</v>
      </c>
      <c r="C1214">
        <f t="shared" si="25"/>
        <v>2018</v>
      </c>
    </row>
    <row r="1215" spans="1:3" x14ac:dyDescent="0.35">
      <c r="A1215" s="7">
        <v>43214</v>
      </c>
      <c r="B1215" s="43">
        <v>242</v>
      </c>
      <c r="C1215">
        <f t="shared" si="25"/>
        <v>2018</v>
      </c>
    </row>
    <row r="1216" spans="1:3" x14ac:dyDescent="0.35">
      <c r="A1216" s="7">
        <v>43213</v>
      </c>
      <c r="B1216" s="43">
        <v>243</v>
      </c>
      <c r="C1216">
        <f t="shared" si="25"/>
        <v>2018</v>
      </c>
    </row>
    <row r="1217" spans="1:3" x14ac:dyDescent="0.35">
      <c r="A1217" s="7">
        <v>43210</v>
      </c>
      <c r="B1217" s="43">
        <v>243</v>
      </c>
      <c r="C1217">
        <f t="shared" si="25"/>
        <v>2018</v>
      </c>
    </row>
    <row r="1218" spans="1:3" x14ac:dyDescent="0.35">
      <c r="A1218" s="7">
        <v>43209</v>
      </c>
      <c r="B1218" s="43">
        <v>245</v>
      </c>
      <c r="C1218">
        <f t="shared" si="25"/>
        <v>2018</v>
      </c>
    </row>
    <row r="1219" spans="1:3" x14ac:dyDescent="0.35">
      <c r="A1219" s="7">
        <v>43208</v>
      </c>
      <c r="B1219" s="43">
        <v>244</v>
      </c>
      <c r="C1219">
        <f t="shared" ref="C1219:C1282" si="26">YEAR(A1219)</f>
        <v>2018</v>
      </c>
    </row>
    <row r="1220" spans="1:3" x14ac:dyDescent="0.35">
      <c r="A1220" s="7">
        <v>43207</v>
      </c>
      <c r="B1220" s="43">
        <v>247</v>
      </c>
      <c r="C1220">
        <f t="shared" si="26"/>
        <v>2018</v>
      </c>
    </row>
    <row r="1221" spans="1:3" x14ac:dyDescent="0.35">
      <c r="A1221" s="7">
        <v>43206</v>
      </c>
      <c r="B1221" s="43">
        <v>248</v>
      </c>
      <c r="C1221">
        <f t="shared" si="26"/>
        <v>2018</v>
      </c>
    </row>
    <row r="1222" spans="1:3" x14ac:dyDescent="0.35">
      <c r="A1222" s="7">
        <v>43203</v>
      </c>
      <c r="B1222" s="43">
        <v>245</v>
      </c>
      <c r="C1222">
        <f t="shared" si="26"/>
        <v>2018</v>
      </c>
    </row>
    <row r="1223" spans="1:3" x14ac:dyDescent="0.35">
      <c r="A1223" s="7">
        <v>43202</v>
      </c>
      <c r="B1223" s="43">
        <v>244</v>
      </c>
      <c r="C1223">
        <f t="shared" si="26"/>
        <v>2018</v>
      </c>
    </row>
    <row r="1224" spans="1:3" x14ac:dyDescent="0.35">
      <c r="A1224" s="7">
        <v>43201</v>
      </c>
      <c r="B1224" s="43">
        <v>246</v>
      </c>
      <c r="C1224">
        <f t="shared" si="26"/>
        <v>2018</v>
      </c>
    </row>
    <row r="1225" spans="1:3" x14ac:dyDescent="0.35">
      <c r="A1225" s="7">
        <v>43200</v>
      </c>
      <c r="B1225" s="43">
        <v>246</v>
      </c>
      <c r="C1225">
        <f t="shared" si="26"/>
        <v>2018</v>
      </c>
    </row>
    <row r="1226" spans="1:3" x14ac:dyDescent="0.35">
      <c r="A1226" s="7">
        <v>43199</v>
      </c>
      <c r="B1226" s="43">
        <v>247</v>
      </c>
      <c r="C1226">
        <f t="shared" si="26"/>
        <v>2018</v>
      </c>
    </row>
    <row r="1227" spans="1:3" x14ac:dyDescent="0.35">
      <c r="A1227" s="7">
        <v>43196</v>
      </c>
      <c r="B1227" s="43">
        <v>247</v>
      </c>
      <c r="C1227">
        <f t="shared" si="26"/>
        <v>2018</v>
      </c>
    </row>
    <row r="1228" spans="1:3" x14ac:dyDescent="0.35">
      <c r="A1228" s="7">
        <v>43195</v>
      </c>
      <c r="B1228" s="43">
        <v>239</v>
      </c>
      <c r="C1228">
        <f t="shared" si="26"/>
        <v>2018</v>
      </c>
    </row>
    <row r="1229" spans="1:3" x14ac:dyDescent="0.35">
      <c r="A1229" s="7">
        <v>43194</v>
      </c>
      <c r="B1229" s="43">
        <v>244</v>
      </c>
      <c r="C1229">
        <f t="shared" si="26"/>
        <v>2018</v>
      </c>
    </row>
    <row r="1230" spans="1:3" x14ac:dyDescent="0.35">
      <c r="A1230" s="7">
        <v>43193</v>
      </c>
      <c r="B1230" s="43">
        <v>243</v>
      </c>
      <c r="C1230">
        <f t="shared" si="26"/>
        <v>2018</v>
      </c>
    </row>
    <row r="1231" spans="1:3" x14ac:dyDescent="0.35">
      <c r="A1231" s="7">
        <v>43192</v>
      </c>
      <c r="B1231" s="43">
        <v>251</v>
      </c>
      <c r="C1231">
        <f t="shared" si="26"/>
        <v>2018</v>
      </c>
    </row>
    <row r="1232" spans="1:3" x14ac:dyDescent="0.35">
      <c r="A1232" s="7">
        <v>43188</v>
      </c>
      <c r="B1232" s="43">
        <v>248</v>
      </c>
      <c r="C1232">
        <f t="shared" si="26"/>
        <v>2018</v>
      </c>
    </row>
    <row r="1233" spans="1:3" x14ac:dyDescent="0.35">
      <c r="A1233" s="7">
        <v>43187</v>
      </c>
      <c r="B1233" s="43">
        <v>250</v>
      </c>
      <c r="C1233">
        <f t="shared" si="26"/>
        <v>2018</v>
      </c>
    </row>
    <row r="1234" spans="1:3" x14ac:dyDescent="0.35">
      <c r="A1234" s="7">
        <v>43186</v>
      </c>
      <c r="B1234" s="43">
        <v>251</v>
      </c>
      <c r="C1234">
        <f t="shared" si="26"/>
        <v>2018</v>
      </c>
    </row>
    <row r="1235" spans="1:3" x14ac:dyDescent="0.35">
      <c r="A1235" s="7">
        <v>43185</v>
      </c>
      <c r="B1235" s="43">
        <v>248</v>
      </c>
      <c r="C1235">
        <f t="shared" si="26"/>
        <v>2018</v>
      </c>
    </row>
    <row r="1236" spans="1:3" x14ac:dyDescent="0.35">
      <c r="A1236" s="7">
        <v>43182</v>
      </c>
      <c r="B1236" s="43">
        <v>252</v>
      </c>
      <c r="C1236">
        <f t="shared" si="26"/>
        <v>2018</v>
      </c>
    </row>
    <row r="1237" spans="1:3" x14ac:dyDescent="0.35">
      <c r="A1237" s="7">
        <v>43181</v>
      </c>
      <c r="B1237" s="43">
        <v>250</v>
      </c>
      <c r="C1237">
        <f t="shared" si="26"/>
        <v>2018</v>
      </c>
    </row>
    <row r="1238" spans="1:3" x14ac:dyDescent="0.35">
      <c r="A1238" s="7">
        <v>43180</v>
      </c>
      <c r="B1238" s="43">
        <v>246</v>
      </c>
      <c r="C1238">
        <f t="shared" si="26"/>
        <v>2018</v>
      </c>
    </row>
    <row r="1239" spans="1:3" x14ac:dyDescent="0.35">
      <c r="A1239" s="7">
        <v>43179</v>
      </c>
      <c r="B1239" s="43">
        <v>246</v>
      </c>
      <c r="C1239">
        <f t="shared" si="26"/>
        <v>2018</v>
      </c>
    </row>
    <row r="1240" spans="1:3" x14ac:dyDescent="0.35">
      <c r="A1240" s="7">
        <v>43178</v>
      </c>
      <c r="B1240" s="43">
        <v>249</v>
      </c>
      <c r="C1240">
        <f t="shared" si="26"/>
        <v>2018</v>
      </c>
    </row>
    <row r="1241" spans="1:3" x14ac:dyDescent="0.35">
      <c r="A1241" s="7">
        <v>43175</v>
      </c>
      <c r="B1241" s="43">
        <v>244</v>
      </c>
      <c r="C1241">
        <f t="shared" si="26"/>
        <v>2018</v>
      </c>
    </row>
    <row r="1242" spans="1:3" x14ac:dyDescent="0.35">
      <c r="A1242" s="7">
        <v>43174</v>
      </c>
      <c r="B1242" s="43">
        <v>247</v>
      </c>
      <c r="C1242">
        <f t="shared" si="26"/>
        <v>2018</v>
      </c>
    </row>
    <row r="1243" spans="1:3" x14ac:dyDescent="0.35">
      <c r="A1243" s="7">
        <v>43173</v>
      </c>
      <c r="B1243" s="43">
        <v>245</v>
      </c>
      <c r="C1243">
        <f t="shared" si="26"/>
        <v>2018</v>
      </c>
    </row>
    <row r="1244" spans="1:3" x14ac:dyDescent="0.35">
      <c r="A1244" s="7">
        <v>43172</v>
      </c>
      <c r="B1244" s="43">
        <v>243</v>
      </c>
      <c r="C1244">
        <f t="shared" si="26"/>
        <v>2018</v>
      </c>
    </row>
    <row r="1245" spans="1:3" x14ac:dyDescent="0.35">
      <c r="A1245" s="7">
        <v>43171</v>
      </c>
      <c r="B1245" s="43">
        <v>235</v>
      </c>
      <c r="C1245">
        <f t="shared" si="26"/>
        <v>2018</v>
      </c>
    </row>
    <row r="1246" spans="1:3" x14ac:dyDescent="0.35">
      <c r="A1246" s="7">
        <v>43168</v>
      </c>
      <c r="B1246" s="43">
        <v>233</v>
      </c>
      <c r="C1246">
        <f t="shared" si="26"/>
        <v>2018</v>
      </c>
    </row>
    <row r="1247" spans="1:3" x14ac:dyDescent="0.35">
      <c r="A1247" s="7">
        <v>43167</v>
      </c>
      <c r="B1247" s="43">
        <v>242</v>
      </c>
      <c r="C1247">
        <f t="shared" si="26"/>
        <v>2018</v>
      </c>
    </row>
    <row r="1248" spans="1:3" x14ac:dyDescent="0.35">
      <c r="A1248" s="7">
        <v>43166</v>
      </c>
      <c r="B1248" s="43">
        <v>239</v>
      </c>
      <c r="C1248">
        <f t="shared" si="26"/>
        <v>2018</v>
      </c>
    </row>
    <row r="1249" spans="1:3" x14ac:dyDescent="0.35">
      <c r="A1249" s="7">
        <v>43165</v>
      </c>
      <c r="B1249" s="43">
        <v>235</v>
      </c>
      <c r="C1249">
        <f t="shared" si="26"/>
        <v>2018</v>
      </c>
    </row>
    <row r="1250" spans="1:3" x14ac:dyDescent="0.35">
      <c r="A1250" s="7">
        <v>43164</v>
      </c>
      <c r="B1250" s="43">
        <v>237</v>
      </c>
      <c r="C1250">
        <f t="shared" si="26"/>
        <v>2018</v>
      </c>
    </row>
    <row r="1251" spans="1:3" x14ac:dyDescent="0.35">
      <c r="A1251" s="7">
        <v>43161</v>
      </c>
      <c r="B1251" s="43">
        <v>240</v>
      </c>
      <c r="C1251">
        <f t="shared" si="26"/>
        <v>2018</v>
      </c>
    </row>
    <row r="1252" spans="1:3" x14ac:dyDescent="0.35">
      <c r="A1252" s="7">
        <v>43160</v>
      </c>
      <c r="B1252" s="43">
        <v>243</v>
      </c>
      <c r="C1252">
        <f t="shared" si="26"/>
        <v>2018</v>
      </c>
    </row>
    <row r="1253" spans="1:3" x14ac:dyDescent="0.35">
      <c r="A1253" s="7">
        <v>43159</v>
      </c>
      <c r="B1253" s="43">
        <v>236</v>
      </c>
      <c r="C1253">
        <f t="shared" si="26"/>
        <v>2018</v>
      </c>
    </row>
    <row r="1254" spans="1:3" x14ac:dyDescent="0.35">
      <c r="A1254" s="7">
        <v>43158</v>
      </c>
      <c r="B1254" s="43">
        <v>229</v>
      </c>
      <c r="C1254">
        <f t="shared" si="26"/>
        <v>2018</v>
      </c>
    </row>
    <row r="1255" spans="1:3" x14ac:dyDescent="0.35">
      <c r="A1255" s="7">
        <v>43157</v>
      </c>
      <c r="B1255" s="43">
        <v>231</v>
      </c>
      <c r="C1255">
        <f t="shared" si="26"/>
        <v>2018</v>
      </c>
    </row>
    <row r="1256" spans="1:3" x14ac:dyDescent="0.35">
      <c r="A1256" s="7">
        <v>43154</v>
      </c>
      <c r="B1256" s="43">
        <v>236</v>
      </c>
      <c r="C1256">
        <f t="shared" si="26"/>
        <v>2018</v>
      </c>
    </row>
    <row r="1257" spans="1:3" x14ac:dyDescent="0.35">
      <c r="A1257" s="7">
        <v>43153</v>
      </c>
      <c r="B1257" s="43">
        <v>238</v>
      </c>
      <c r="C1257">
        <f t="shared" si="26"/>
        <v>2018</v>
      </c>
    </row>
    <row r="1258" spans="1:3" x14ac:dyDescent="0.35">
      <c r="A1258" s="7">
        <v>43152</v>
      </c>
      <c r="B1258" s="43">
        <v>233</v>
      </c>
      <c r="C1258">
        <f t="shared" si="26"/>
        <v>2018</v>
      </c>
    </row>
    <row r="1259" spans="1:3" x14ac:dyDescent="0.35">
      <c r="A1259" s="7">
        <v>43151</v>
      </c>
      <c r="B1259" s="43">
        <v>235</v>
      </c>
      <c r="C1259">
        <f t="shared" si="26"/>
        <v>2018</v>
      </c>
    </row>
    <row r="1260" spans="1:3" x14ac:dyDescent="0.35">
      <c r="A1260" s="7">
        <v>43147</v>
      </c>
      <c r="B1260" s="43">
        <v>228</v>
      </c>
      <c r="C1260">
        <f t="shared" si="26"/>
        <v>2018</v>
      </c>
    </row>
    <row r="1261" spans="1:3" x14ac:dyDescent="0.35">
      <c r="A1261" s="7">
        <v>43146</v>
      </c>
      <c r="B1261" s="43">
        <v>233</v>
      </c>
      <c r="C1261">
        <f t="shared" si="26"/>
        <v>2018</v>
      </c>
    </row>
    <row r="1262" spans="1:3" x14ac:dyDescent="0.35">
      <c r="A1262" s="7">
        <v>43145</v>
      </c>
      <c r="B1262" s="43">
        <v>249</v>
      </c>
      <c r="C1262">
        <f t="shared" si="26"/>
        <v>2018</v>
      </c>
    </row>
    <row r="1263" spans="1:3" x14ac:dyDescent="0.35">
      <c r="A1263" s="7">
        <v>43144</v>
      </c>
      <c r="B1263" s="43">
        <v>255</v>
      </c>
      <c r="C1263">
        <f t="shared" si="26"/>
        <v>2018</v>
      </c>
    </row>
    <row r="1264" spans="1:3" x14ac:dyDescent="0.35">
      <c r="A1264" s="7">
        <v>43143</v>
      </c>
      <c r="B1264" s="43">
        <v>245</v>
      </c>
      <c r="C1264">
        <f t="shared" si="26"/>
        <v>2018</v>
      </c>
    </row>
    <row r="1265" spans="1:3" x14ac:dyDescent="0.35">
      <c r="A1265" s="7">
        <v>43140</v>
      </c>
      <c r="B1265" s="43">
        <v>256</v>
      </c>
      <c r="C1265">
        <f t="shared" si="26"/>
        <v>2018</v>
      </c>
    </row>
    <row r="1266" spans="1:3" x14ac:dyDescent="0.35">
      <c r="A1266" s="7">
        <v>43139</v>
      </c>
      <c r="B1266" s="43">
        <v>241</v>
      </c>
      <c r="C1266">
        <f t="shared" si="26"/>
        <v>2018</v>
      </c>
    </row>
    <row r="1267" spans="1:3" x14ac:dyDescent="0.35">
      <c r="A1267" s="7">
        <v>43138</v>
      </c>
      <c r="B1267" s="43">
        <v>226</v>
      </c>
      <c r="C1267">
        <f t="shared" si="26"/>
        <v>2018</v>
      </c>
    </row>
    <row r="1268" spans="1:3" x14ac:dyDescent="0.35">
      <c r="A1268" s="7">
        <v>43137</v>
      </c>
      <c r="B1268" s="43">
        <v>235</v>
      </c>
      <c r="C1268">
        <f t="shared" si="26"/>
        <v>2018</v>
      </c>
    </row>
    <row r="1269" spans="1:3" x14ac:dyDescent="0.35">
      <c r="A1269" s="7">
        <v>43136</v>
      </c>
      <c r="B1269" s="43">
        <v>243</v>
      </c>
      <c r="C1269">
        <f t="shared" si="26"/>
        <v>2018</v>
      </c>
    </row>
    <row r="1270" spans="1:3" x14ac:dyDescent="0.35">
      <c r="A1270" s="7">
        <v>43133</v>
      </c>
      <c r="B1270" s="43">
        <v>229</v>
      </c>
      <c r="C1270">
        <f t="shared" si="26"/>
        <v>2018</v>
      </c>
    </row>
    <row r="1271" spans="1:3" x14ac:dyDescent="0.35">
      <c r="A1271" s="7">
        <v>43132</v>
      </c>
      <c r="B1271" s="43">
        <v>227</v>
      </c>
      <c r="C1271">
        <f t="shared" si="26"/>
        <v>2018</v>
      </c>
    </row>
    <row r="1272" spans="1:3" x14ac:dyDescent="0.35">
      <c r="A1272" s="7">
        <v>43131</v>
      </c>
      <c r="B1272" s="43">
        <v>227</v>
      </c>
      <c r="C1272">
        <f t="shared" si="26"/>
        <v>2018</v>
      </c>
    </row>
    <row r="1273" spans="1:3" x14ac:dyDescent="0.35">
      <c r="A1273" s="7">
        <v>43130</v>
      </c>
      <c r="B1273" s="43">
        <v>224</v>
      </c>
      <c r="C1273">
        <f t="shared" si="26"/>
        <v>2018</v>
      </c>
    </row>
    <row r="1274" spans="1:3" x14ac:dyDescent="0.35">
      <c r="A1274" s="7">
        <v>43129</v>
      </c>
      <c r="B1274" s="43">
        <v>224</v>
      </c>
      <c r="C1274">
        <f t="shared" si="26"/>
        <v>2018</v>
      </c>
    </row>
    <row r="1275" spans="1:3" x14ac:dyDescent="0.35">
      <c r="A1275" s="7">
        <v>43126</v>
      </c>
      <c r="B1275" s="43">
        <v>222</v>
      </c>
      <c r="C1275">
        <f t="shared" si="26"/>
        <v>2018</v>
      </c>
    </row>
    <row r="1276" spans="1:3" x14ac:dyDescent="0.35">
      <c r="A1276" s="7">
        <v>43125</v>
      </c>
      <c r="B1276" s="43">
        <v>225</v>
      </c>
      <c r="C1276">
        <f t="shared" si="26"/>
        <v>2018</v>
      </c>
    </row>
    <row r="1277" spans="1:3" x14ac:dyDescent="0.35">
      <c r="A1277" s="7">
        <v>43124</v>
      </c>
      <c r="B1277" s="43">
        <v>226</v>
      </c>
      <c r="C1277">
        <f t="shared" si="26"/>
        <v>2018</v>
      </c>
    </row>
    <row r="1278" spans="1:3" x14ac:dyDescent="0.35">
      <c r="A1278" s="7">
        <v>43123</v>
      </c>
      <c r="B1278" s="43">
        <v>233</v>
      </c>
      <c r="C1278">
        <f t="shared" si="26"/>
        <v>2018</v>
      </c>
    </row>
    <row r="1279" spans="1:3" x14ac:dyDescent="0.35">
      <c r="A1279" s="7">
        <v>43122</v>
      </c>
      <c r="B1279" s="43">
        <v>231</v>
      </c>
      <c r="C1279">
        <f t="shared" si="26"/>
        <v>2018</v>
      </c>
    </row>
    <row r="1280" spans="1:3" x14ac:dyDescent="0.35">
      <c r="A1280" s="7">
        <v>43119</v>
      </c>
      <c r="B1280" s="43">
        <v>231</v>
      </c>
      <c r="C1280">
        <f t="shared" si="26"/>
        <v>2018</v>
      </c>
    </row>
    <row r="1281" spans="1:3" x14ac:dyDescent="0.35">
      <c r="A1281" s="7">
        <v>43118</v>
      </c>
      <c r="B1281" s="43">
        <v>231</v>
      </c>
      <c r="C1281">
        <f t="shared" si="26"/>
        <v>2018</v>
      </c>
    </row>
    <row r="1282" spans="1:3" x14ac:dyDescent="0.35">
      <c r="A1282" s="7">
        <v>43117</v>
      </c>
      <c r="B1282" s="43">
        <v>228</v>
      </c>
      <c r="C1282">
        <f t="shared" si="26"/>
        <v>2018</v>
      </c>
    </row>
    <row r="1283" spans="1:3" x14ac:dyDescent="0.35">
      <c r="A1283" s="7">
        <v>43116</v>
      </c>
      <c r="B1283" s="43">
        <v>226</v>
      </c>
      <c r="C1283">
        <f t="shared" ref="C1283:C1346" si="27">YEAR(A1283)</f>
        <v>2018</v>
      </c>
    </row>
    <row r="1284" spans="1:3" x14ac:dyDescent="0.35">
      <c r="A1284" s="7">
        <v>43115</v>
      </c>
      <c r="B1284" s="43">
        <v>225</v>
      </c>
      <c r="C1284">
        <f t="shared" si="27"/>
        <v>2018</v>
      </c>
    </row>
    <row r="1285" spans="1:3" x14ac:dyDescent="0.35">
      <c r="A1285" s="7">
        <v>43112</v>
      </c>
      <c r="B1285" s="43">
        <v>225</v>
      </c>
      <c r="C1285">
        <f t="shared" si="27"/>
        <v>2018</v>
      </c>
    </row>
    <row r="1286" spans="1:3" x14ac:dyDescent="0.35">
      <c r="A1286" s="7">
        <v>43111</v>
      </c>
      <c r="B1286" s="43">
        <v>223</v>
      </c>
      <c r="C1286">
        <f t="shared" si="27"/>
        <v>2018</v>
      </c>
    </row>
    <row r="1287" spans="1:3" x14ac:dyDescent="0.35">
      <c r="A1287" s="7">
        <v>43110</v>
      </c>
      <c r="B1287" s="43">
        <v>222</v>
      </c>
      <c r="C1287">
        <f t="shared" si="27"/>
        <v>2018</v>
      </c>
    </row>
    <row r="1288" spans="1:3" x14ac:dyDescent="0.35">
      <c r="A1288" s="7">
        <v>43109</v>
      </c>
      <c r="B1288" s="43">
        <v>218</v>
      </c>
      <c r="C1288">
        <f t="shared" si="27"/>
        <v>2018</v>
      </c>
    </row>
    <row r="1289" spans="1:3" x14ac:dyDescent="0.35">
      <c r="A1289" s="7">
        <v>43108</v>
      </c>
      <c r="B1289" s="43">
        <v>222</v>
      </c>
      <c r="C1289">
        <f t="shared" si="27"/>
        <v>2018</v>
      </c>
    </row>
    <row r="1290" spans="1:3" x14ac:dyDescent="0.35">
      <c r="A1290" s="7">
        <v>43105</v>
      </c>
      <c r="B1290" s="43">
        <v>221</v>
      </c>
      <c r="C1290">
        <f t="shared" si="27"/>
        <v>2018</v>
      </c>
    </row>
    <row r="1291" spans="1:3" x14ac:dyDescent="0.35">
      <c r="A1291" s="7">
        <v>43104</v>
      </c>
      <c r="B1291" s="43">
        <v>225</v>
      </c>
      <c r="C1291">
        <f t="shared" si="27"/>
        <v>2018</v>
      </c>
    </row>
    <row r="1292" spans="1:3" x14ac:dyDescent="0.35">
      <c r="A1292" s="7">
        <v>43103</v>
      </c>
      <c r="B1292" s="43">
        <v>228</v>
      </c>
      <c r="C1292">
        <f t="shared" si="27"/>
        <v>2018</v>
      </c>
    </row>
    <row r="1293" spans="1:3" x14ac:dyDescent="0.35">
      <c r="A1293" s="7">
        <v>43102</v>
      </c>
      <c r="B1293" s="43">
        <v>234</v>
      </c>
      <c r="C1293">
        <f t="shared" si="27"/>
        <v>2018</v>
      </c>
    </row>
    <row r="1294" spans="1:3" x14ac:dyDescent="0.35">
      <c r="A1294" s="7">
        <v>43098</v>
      </c>
      <c r="B1294" s="43">
        <v>240</v>
      </c>
      <c r="C1294">
        <f t="shared" si="27"/>
        <v>2017</v>
      </c>
    </row>
    <row r="1295" spans="1:3" x14ac:dyDescent="0.35">
      <c r="A1295" s="7">
        <v>43097</v>
      </c>
      <c r="B1295" s="43">
        <v>239</v>
      </c>
      <c r="C1295">
        <f t="shared" si="27"/>
        <v>2017</v>
      </c>
    </row>
    <row r="1296" spans="1:3" x14ac:dyDescent="0.35">
      <c r="A1296" s="7">
        <v>43096</v>
      </c>
      <c r="B1296" s="43">
        <v>240</v>
      </c>
      <c r="C1296">
        <f t="shared" si="27"/>
        <v>2017</v>
      </c>
    </row>
    <row r="1297" spans="1:3" x14ac:dyDescent="0.35">
      <c r="A1297" s="7">
        <v>43095</v>
      </c>
      <c r="B1297" s="43">
        <v>237</v>
      </c>
      <c r="C1297">
        <f t="shared" si="27"/>
        <v>2017</v>
      </c>
    </row>
    <row r="1298" spans="1:3" x14ac:dyDescent="0.35">
      <c r="A1298" s="7">
        <v>43091</v>
      </c>
      <c r="B1298" s="43">
        <v>235</v>
      </c>
      <c r="C1298">
        <f t="shared" si="27"/>
        <v>2017</v>
      </c>
    </row>
    <row r="1299" spans="1:3" x14ac:dyDescent="0.35">
      <c r="A1299" s="7">
        <v>43090</v>
      </c>
      <c r="B1299" s="43">
        <v>233</v>
      </c>
      <c r="C1299">
        <f t="shared" si="27"/>
        <v>2017</v>
      </c>
    </row>
    <row r="1300" spans="1:3" x14ac:dyDescent="0.35">
      <c r="A1300" s="7">
        <v>43089</v>
      </c>
      <c r="B1300" s="43">
        <v>231</v>
      </c>
      <c r="C1300">
        <f t="shared" si="27"/>
        <v>2017</v>
      </c>
    </row>
    <row r="1301" spans="1:3" x14ac:dyDescent="0.35">
      <c r="A1301" s="7">
        <v>43088</v>
      </c>
      <c r="B1301" s="43">
        <v>234</v>
      </c>
      <c r="C1301">
        <f t="shared" si="27"/>
        <v>2017</v>
      </c>
    </row>
    <row r="1302" spans="1:3" x14ac:dyDescent="0.35">
      <c r="A1302" s="7">
        <v>43087</v>
      </c>
      <c r="B1302" s="43">
        <v>238</v>
      </c>
      <c r="C1302">
        <f t="shared" si="27"/>
        <v>2017</v>
      </c>
    </row>
    <row r="1303" spans="1:3" x14ac:dyDescent="0.35">
      <c r="A1303" s="7">
        <v>43084</v>
      </c>
      <c r="B1303" s="43">
        <v>244</v>
      </c>
      <c r="C1303">
        <f t="shared" si="27"/>
        <v>2017</v>
      </c>
    </row>
    <row r="1304" spans="1:3" x14ac:dyDescent="0.35">
      <c r="A1304" s="7">
        <v>43083</v>
      </c>
      <c r="B1304" s="43">
        <v>245</v>
      </c>
      <c r="C1304">
        <f t="shared" si="27"/>
        <v>2017</v>
      </c>
    </row>
    <row r="1305" spans="1:3" x14ac:dyDescent="0.35">
      <c r="A1305" s="7">
        <v>43082</v>
      </c>
      <c r="B1305" s="43">
        <v>243</v>
      </c>
      <c r="C1305">
        <f t="shared" si="27"/>
        <v>2017</v>
      </c>
    </row>
    <row r="1306" spans="1:3" x14ac:dyDescent="0.35">
      <c r="A1306" s="7">
        <v>43081</v>
      </c>
      <c r="B1306" s="43">
        <v>239</v>
      </c>
      <c r="C1306">
        <f t="shared" si="27"/>
        <v>2017</v>
      </c>
    </row>
    <row r="1307" spans="1:3" x14ac:dyDescent="0.35">
      <c r="A1307" s="7">
        <v>43080</v>
      </c>
      <c r="B1307" s="43">
        <v>239</v>
      </c>
      <c r="C1307">
        <f t="shared" si="27"/>
        <v>2017</v>
      </c>
    </row>
    <row r="1308" spans="1:3" x14ac:dyDescent="0.35">
      <c r="A1308" s="7">
        <v>43077</v>
      </c>
      <c r="B1308" s="43">
        <v>240</v>
      </c>
      <c r="C1308">
        <f t="shared" si="27"/>
        <v>2017</v>
      </c>
    </row>
    <row r="1309" spans="1:3" x14ac:dyDescent="0.35">
      <c r="A1309" s="7">
        <v>43076</v>
      </c>
      <c r="B1309" s="43">
        <v>242</v>
      </c>
      <c r="C1309">
        <f t="shared" si="27"/>
        <v>2017</v>
      </c>
    </row>
    <row r="1310" spans="1:3" x14ac:dyDescent="0.35">
      <c r="A1310" s="7">
        <v>43075</v>
      </c>
      <c r="B1310" s="43">
        <v>238</v>
      </c>
      <c r="C1310">
        <f t="shared" si="27"/>
        <v>2017</v>
      </c>
    </row>
    <row r="1311" spans="1:3" x14ac:dyDescent="0.35">
      <c r="A1311" s="7">
        <v>43074</v>
      </c>
      <c r="B1311" s="43">
        <v>236</v>
      </c>
      <c r="C1311">
        <f t="shared" si="27"/>
        <v>2017</v>
      </c>
    </row>
    <row r="1312" spans="1:3" x14ac:dyDescent="0.35">
      <c r="A1312" s="7">
        <v>43073</v>
      </c>
      <c r="B1312" s="43">
        <v>242</v>
      </c>
      <c r="C1312">
        <f t="shared" si="27"/>
        <v>2017</v>
      </c>
    </row>
    <row r="1313" spans="1:3" x14ac:dyDescent="0.35">
      <c r="A1313" s="7">
        <v>43070</v>
      </c>
      <c r="B1313" s="43">
        <v>244</v>
      </c>
      <c r="C1313">
        <f t="shared" si="27"/>
        <v>2017</v>
      </c>
    </row>
    <row r="1314" spans="1:3" x14ac:dyDescent="0.35">
      <c r="A1314" s="7">
        <v>43069</v>
      </c>
      <c r="B1314" s="43">
        <v>241</v>
      </c>
      <c r="C1314">
        <f t="shared" si="27"/>
        <v>2017</v>
      </c>
    </row>
    <row r="1315" spans="1:3" x14ac:dyDescent="0.35">
      <c r="A1315" s="7">
        <v>43068</v>
      </c>
      <c r="B1315" s="43">
        <v>240</v>
      </c>
      <c r="C1315">
        <f t="shared" si="27"/>
        <v>2017</v>
      </c>
    </row>
    <row r="1316" spans="1:3" x14ac:dyDescent="0.35">
      <c r="A1316" s="7">
        <v>43067</v>
      </c>
      <c r="B1316" s="43">
        <v>239</v>
      </c>
      <c r="C1316">
        <f t="shared" si="27"/>
        <v>2017</v>
      </c>
    </row>
    <row r="1317" spans="1:3" x14ac:dyDescent="0.35">
      <c r="A1317" s="7">
        <v>43066</v>
      </c>
      <c r="B1317" s="43">
        <v>242</v>
      </c>
      <c r="C1317">
        <f t="shared" si="27"/>
        <v>2017</v>
      </c>
    </row>
    <row r="1318" spans="1:3" x14ac:dyDescent="0.35">
      <c r="A1318" s="7">
        <v>43063</v>
      </c>
      <c r="B1318" s="43">
        <v>243</v>
      </c>
      <c r="C1318">
        <f t="shared" si="27"/>
        <v>2017</v>
      </c>
    </row>
    <row r="1319" spans="1:3" x14ac:dyDescent="0.35">
      <c r="A1319" s="7">
        <v>43062</v>
      </c>
      <c r="B1319" s="43">
        <v>246</v>
      </c>
      <c r="C1319">
        <f t="shared" si="27"/>
        <v>2017</v>
      </c>
    </row>
    <row r="1320" spans="1:3" x14ac:dyDescent="0.35">
      <c r="A1320" s="7">
        <v>43061</v>
      </c>
      <c r="B1320" s="43">
        <v>246</v>
      </c>
      <c r="C1320">
        <f t="shared" si="27"/>
        <v>2017</v>
      </c>
    </row>
    <row r="1321" spans="1:3" x14ac:dyDescent="0.35">
      <c r="A1321" s="7">
        <v>43060</v>
      </c>
      <c r="B1321" s="43">
        <v>247</v>
      </c>
      <c r="C1321">
        <f t="shared" si="27"/>
        <v>2017</v>
      </c>
    </row>
    <row r="1322" spans="1:3" x14ac:dyDescent="0.35">
      <c r="A1322" s="7">
        <v>43059</v>
      </c>
      <c r="B1322" s="43">
        <v>248</v>
      </c>
      <c r="C1322">
        <f t="shared" si="27"/>
        <v>2017</v>
      </c>
    </row>
    <row r="1323" spans="1:3" x14ac:dyDescent="0.35">
      <c r="A1323" s="7">
        <v>43056</v>
      </c>
      <c r="B1323" s="43">
        <v>246</v>
      </c>
      <c r="C1323">
        <f t="shared" si="27"/>
        <v>2017</v>
      </c>
    </row>
    <row r="1324" spans="1:3" x14ac:dyDescent="0.35">
      <c r="A1324" s="7">
        <v>43055</v>
      </c>
      <c r="B1324" s="43">
        <v>251</v>
      </c>
      <c r="C1324">
        <f t="shared" si="27"/>
        <v>2017</v>
      </c>
    </row>
    <row r="1325" spans="1:3" x14ac:dyDescent="0.35">
      <c r="A1325" s="7">
        <v>43054</v>
      </c>
      <c r="B1325" s="43">
        <v>260</v>
      </c>
      <c r="C1325">
        <f t="shared" si="27"/>
        <v>2017</v>
      </c>
    </row>
    <row r="1326" spans="1:3" x14ac:dyDescent="0.35">
      <c r="A1326" s="7">
        <v>43053</v>
      </c>
      <c r="B1326" s="43">
        <v>256</v>
      </c>
      <c r="C1326">
        <f t="shared" si="27"/>
        <v>2017</v>
      </c>
    </row>
    <row r="1327" spans="1:3" x14ac:dyDescent="0.35">
      <c r="A1327" s="7">
        <v>43052</v>
      </c>
      <c r="B1327" s="43">
        <v>251</v>
      </c>
      <c r="C1327">
        <f t="shared" si="27"/>
        <v>2017</v>
      </c>
    </row>
    <row r="1328" spans="1:3" x14ac:dyDescent="0.35">
      <c r="A1328" s="7">
        <v>43049</v>
      </c>
      <c r="B1328" s="43">
        <v>253</v>
      </c>
      <c r="C1328">
        <f t="shared" si="27"/>
        <v>2017</v>
      </c>
    </row>
    <row r="1329" spans="1:3" x14ac:dyDescent="0.35">
      <c r="A1329" s="7">
        <v>43048</v>
      </c>
      <c r="B1329" s="43">
        <v>255</v>
      </c>
      <c r="C1329">
        <f t="shared" si="27"/>
        <v>2017</v>
      </c>
    </row>
    <row r="1330" spans="1:3" x14ac:dyDescent="0.35">
      <c r="A1330" s="7">
        <v>43047</v>
      </c>
      <c r="B1330" s="43">
        <v>253</v>
      </c>
      <c r="C1330">
        <f t="shared" si="27"/>
        <v>2017</v>
      </c>
    </row>
    <row r="1331" spans="1:3" x14ac:dyDescent="0.35">
      <c r="A1331" s="7">
        <v>43046</v>
      </c>
      <c r="B1331" s="43">
        <v>253</v>
      </c>
      <c r="C1331">
        <f t="shared" si="27"/>
        <v>2017</v>
      </c>
    </row>
    <row r="1332" spans="1:3" x14ac:dyDescent="0.35">
      <c r="A1332" s="7">
        <v>43045</v>
      </c>
      <c r="B1332" s="43">
        <v>247</v>
      </c>
      <c r="C1332">
        <f t="shared" si="27"/>
        <v>2017</v>
      </c>
    </row>
    <row r="1333" spans="1:3" x14ac:dyDescent="0.35">
      <c r="A1333" s="7">
        <v>43042</v>
      </c>
      <c r="B1333" s="43">
        <v>249</v>
      </c>
      <c r="C1333">
        <f t="shared" si="27"/>
        <v>2017</v>
      </c>
    </row>
    <row r="1334" spans="1:3" x14ac:dyDescent="0.35">
      <c r="A1334" s="7">
        <v>43041</v>
      </c>
      <c r="B1334" s="43">
        <v>245</v>
      </c>
      <c r="C1334">
        <f t="shared" si="27"/>
        <v>2017</v>
      </c>
    </row>
    <row r="1335" spans="1:3" x14ac:dyDescent="0.35">
      <c r="A1335" s="7">
        <v>43040</v>
      </c>
      <c r="B1335" s="43">
        <v>244</v>
      </c>
      <c r="C1335">
        <f t="shared" si="27"/>
        <v>2017</v>
      </c>
    </row>
    <row r="1336" spans="1:3" x14ac:dyDescent="0.35">
      <c r="A1336" s="7">
        <v>43039</v>
      </c>
      <c r="B1336" s="43">
        <v>243</v>
      </c>
      <c r="C1336">
        <f t="shared" si="27"/>
        <v>2017</v>
      </c>
    </row>
    <row r="1337" spans="1:3" x14ac:dyDescent="0.35">
      <c r="A1337" s="7">
        <v>43038</v>
      </c>
      <c r="B1337" s="43">
        <v>239</v>
      </c>
      <c r="C1337">
        <f t="shared" si="27"/>
        <v>2017</v>
      </c>
    </row>
    <row r="1338" spans="1:3" x14ac:dyDescent="0.35">
      <c r="A1338" s="7">
        <v>43035</v>
      </c>
      <c r="B1338" s="43">
        <v>238</v>
      </c>
      <c r="C1338">
        <f t="shared" si="27"/>
        <v>2017</v>
      </c>
    </row>
    <row r="1339" spans="1:3" x14ac:dyDescent="0.35">
      <c r="A1339" s="7">
        <v>43034</v>
      </c>
      <c r="B1339" s="43">
        <v>242</v>
      </c>
      <c r="C1339">
        <f t="shared" si="27"/>
        <v>2017</v>
      </c>
    </row>
    <row r="1340" spans="1:3" x14ac:dyDescent="0.35">
      <c r="A1340" s="7">
        <v>43033</v>
      </c>
      <c r="B1340" s="43">
        <v>234</v>
      </c>
      <c r="C1340">
        <f t="shared" si="27"/>
        <v>2017</v>
      </c>
    </row>
    <row r="1341" spans="1:3" x14ac:dyDescent="0.35">
      <c r="A1341" s="7">
        <v>43032</v>
      </c>
      <c r="B1341" s="43">
        <v>234</v>
      </c>
      <c r="C1341">
        <f t="shared" si="27"/>
        <v>2017</v>
      </c>
    </row>
    <row r="1342" spans="1:3" x14ac:dyDescent="0.35">
      <c r="A1342" s="7">
        <v>43031</v>
      </c>
      <c r="B1342" s="43">
        <v>233</v>
      </c>
      <c r="C1342">
        <f t="shared" si="27"/>
        <v>2017</v>
      </c>
    </row>
    <row r="1343" spans="1:3" x14ac:dyDescent="0.35">
      <c r="A1343" s="7">
        <v>43028</v>
      </c>
      <c r="B1343" s="43">
        <v>233</v>
      </c>
      <c r="C1343">
        <f t="shared" si="27"/>
        <v>2017</v>
      </c>
    </row>
    <row r="1344" spans="1:3" x14ac:dyDescent="0.35">
      <c r="A1344" s="7">
        <v>43027</v>
      </c>
      <c r="B1344" s="43">
        <v>236</v>
      </c>
      <c r="C1344">
        <f t="shared" si="27"/>
        <v>2017</v>
      </c>
    </row>
    <row r="1345" spans="1:3" x14ac:dyDescent="0.35">
      <c r="A1345" s="7">
        <v>43026</v>
      </c>
      <c r="B1345" s="43">
        <v>236</v>
      </c>
      <c r="C1345">
        <f t="shared" si="27"/>
        <v>2017</v>
      </c>
    </row>
    <row r="1346" spans="1:3" x14ac:dyDescent="0.35">
      <c r="A1346" s="7">
        <v>43025</v>
      </c>
      <c r="B1346" s="43">
        <v>240</v>
      </c>
      <c r="C1346">
        <f t="shared" si="27"/>
        <v>2017</v>
      </c>
    </row>
    <row r="1347" spans="1:3" x14ac:dyDescent="0.35">
      <c r="A1347" s="7">
        <v>43024</v>
      </c>
      <c r="B1347" s="43">
        <v>242</v>
      </c>
      <c r="C1347">
        <f t="shared" ref="C1347:C1410" si="28">YEAR(A1347)</f>
        <v>2017</v>
      </c>
    </row>
    <row r="1348" spans="1:3" x14ac:dyDescent="0.35">
      <c r="A1348" s="7">
        <v>43021</v>
      </c>
      <c r="B1348" s="43">
        <v>244</v>
      </c>
      <c r="C1348">
        <f t="shared" si="28"/>
        <v>2017</v>
      </c>
    </row>
    <row r="1349" spans="1:3" x14ac:dyDescent="0.35">
      <c r="A1349" s="7">
        <v>43020</v>
      </c>
      <c r="B1349" s="43">
        <v>245</v>
      </c>
      <c r="C1349">
        <f t="shared" si="28"/>
        <v>2017</v>
      </c>
    </row>
    <row r="1350" spans="1:3" x14ac:dyDescent="0.35">
      <c r="A1350" s="7">
        <v>43019</v>
      </c>
      <c r="B1350" s="43">
        <v>247</v>
      </c>
      <c r="C1350">
        <f t="shared" si="28"/>
        <v>2017</v>
      </c>
    </row>
    <row r="1351" spans="1:3" x14ac:dyDescent="0.35">
      <c r="A1351" s="7">
        <v>43018</v>
      </c>
      <c r="B1351" s="43">
        <v>248</v>
      </c>
      <c r="C1351">
        <f t="shared" si="28"/>
        <v>2017</v>
      </c>
    </row>
    <row r="1352" spans="1:3" x14ac:dyDescent="0.35">
      <c r="A1352" s="7">
        <v>43017</v>
      </c>
      <c r="B1352" s="43">
        <v>244</v>
      </c>
      <c r="C1352">
        <f t="shared" si="28"/>
        <v>2017</v>
      </c>
    </row>
    <row r="1353" spans="1:3" x14ac:dyDescent="0.35">
      <c r="A1353" s="7">
        <v>43014</v>
      </c>
      <c r="B1353" s="43">
        <v>244</v>
      </c>
      <c r="C1353">
        <f t="shared" si="28"/>
        <v>2017</v>
      </c>
    </row>
    <row r="1354" spans="1:3" x14ac:dyDescent="0.35">
      <c r="A1354" s="7">
        <v>43013</v>
      </c>
      <c r="B1354" s="43">
        <v>241</v>
      </c>
      <c r="C1354">
        <f t="shared" si="28"/>
        <v>2017</v>
      </c>
    </row>
    <row r="1355" spans="1:3" x14ac:dyDescent="0.35">
      <c r="A1355" s="7">
        <v>43012</v>
      </c>
      <c r="B1355" s="43">
        <v>245</v>
      </c>
      <c r="C1355">
        <f t="shared" si="28"/>
        <v>2017</v>
      </c>
    </row>
    <row r="1356" spans="1:3" x14ac:dyDescent="0.35">
      <c r="A1356" s="7">
        <v>43011</v>
      </c>
      <c r="B1356" s="43">
        <v>245</v>
      </c>
      <c r="C1356">
        <f t="shared" si="28"/>
        <v>2017</v>
      </c>
    </row>
    <row r="1357" spans="1:3" x14ac:dyDescent="0.35">
      <c r="A1357" s="7">
        <v>43010</v>
      </c>
      <c r="B1357" s="43">
        <v>246</v>
      </c>
      <c r="C1357">
        <f t="shared" si="28"/>
        <v>2017</v>
      </c>
    </row>
    <row r="1358" spans="1:3" x14ac:dyDescent="0.35">
      <c r="A1358" s="7">
        <v>43007</v>
      </c>
      <c r="B1358" s="43">
        <v>247</v>
      </c>
      <c r="C1358">
        <f t="shared" si="28"/>
        <v>2017</v>
      </c>
    </row>
    <row r="1359" spans="1:3" x14ac:dyDescent="0.35">
      <c r="A1359" s="7">
        <v>43006</v>
      </c>
      <c r="B1359" s="43">
        <v>253</v>
      </c>
      <c r="C1359">
        <f t="shared" si="28"/>
        <v>2017</v>
      </c>
    </row>
    <row r="1360" spans="1:3" x14ac:dyDescent="0.35">
      <c r="A1360" s="7">
        <v>43005</v>
      </c>
      <c r="B1360" s="43">
        <v>256</v>
      </c>
      <c r="C1360">
        <f t="shared" si="28"/>
        <v>2017</v>
      </c>
    </row>
    <row r="1361" spans="1:3" x14ac:dyDescent="0.35">
      <c r="A1361" s="7">
        <v>43004</v>
      </c>
      <c r="B1361" s="43">
        <v>256</v>
      </c>
      <c r="C1361">
        <f t="shared" si="28"/>
        <v>2017</v>
      </c>
    </row>
    <row r="1362" spans="1:3" x14ac:dyDescent="0.35">
      <c r="A1362" s="7">
        <v>43003</v>
      </c>
      <c r="B1362" s="43">
        <v>257</v>
      </c>
      <c r="C1362">
        <f t="shared" si="28"/>
        <v>2017</v>
      </c>
    </row>
    <row r="1363" spans="1:3" x14ac:dyDescent="0.35">
      <c r="A1363" s="7">
        <v>43000</v>
      </c>
      <c r="B1363" s="43">
        <v>253</v>
      </c>
      <c r="C1363">
        <f t="shared" si="28"/>
        <v>2017</v>
      </c>
    </row>
    <row r="1364" spans="1:3" x14ac:dyDescent="0.35">
      <c r="A1364" s="7">
        <v>42999</v>
      </c>
      <c r="B1364" s="43">
        <v>255</v>
      </c>
      <c r="C1364">
        <f t="shared" si="28"/>
        <v>2017</v>
      </c>
    </row>
    <row r="1365" spans="1:3" x14ac:dyDescent="0.35">
      <c r="A1365" s="7">
        <v>42998</v>
      </c>
      <c r="B1365" s="43">
        <v>254</v>
      </c>
      <c r="C1365">
        <f t="shared" si="28"/>
        <v>2017</v>
      </c>
    </row>
    <row r="1366" spans="1:3" x14ac:dyDescent="0.35">
      <c r="A1366" s="7">
        <v>42997</v>
      </c>
      <c r="B1366" s="43">
        <v>252</v>
      </c>
      <c r="C1366">
        <f t="shared" si="28"/>
        <v>2017</v>
      </c>
    </row>
    <row r="1367" spans="1:3" x14ac:dyDescent="0.35">
      <c r="A1367" s="7">
        <v>42996</v>
      </c>
      <c r="B1367" s="43">
        <v>252</v>
      </c>
      <c r="C1367">
        <f t="shared" si="28"/>
        <v>2017</v>
      </c>
    </row>
    <row r="1368" spans="1:3" x14ac:dyDescent="0.35">
      <c r="A1368" s="7">
        <v>42993</v>
      </c>
      <c r="B1368" s="43">
        <v>255</v>
      </c>
      <c r="C1368">
        <f t="shared" si="28"/>
        <v>2017</v>
      </c>
    </row>
    <row r="1369" spans="1:3" x14ac:dyDescent="0.35">
      <c r="A1369" s="7">
        <v>42992</v>
      </c>
      <c r="B1369" s="43">
        <v>256</v>
      </c>
      <c r="C1369">
        <f t="shared" si="28"/>
        <v>2017</v>
      </c>
    </row>
    <row r="1370" spans="1:3" x14ac:dyDescent="0.35">
      <c r="A1370" s="7">
        <v>42991</v>
      </c>
      <c r="B1370" s="43">
        <v>257</v>
      </c>
      <c r="C1370">
        <f t="shared" si="28"/>
        <v>2017</v>
      </c>
    </row>
    <row r="1371" spans="1:3" x14ac:dyDescent="0.35">
      <c r="A1371" s="7">
        <v>42990</v>
      </c>
      <c r="B1371" s="43">
        <v>260</v>
      </c>
      <c r="C1371">
        <f t="shared" si="28"/>
        <v>2017</v>
      </c>
    </row>
    <row r="1372" spans="1:3" x14ac:dyDescent="0.35">
      <c r="A1372" s="7">
        <v>42989</v>
      </c>
      <c r="B1372" s="43">
        <v>259</v>
      </c>
      <c r="C1372">
        <f t="shared" si="28"/>
        <v>2017</v>
      </c>
    </row>
    <row r="1373" spans="1:3" x14ac:dyDescent="0.35">
      <c r="A1373" s="7">
        <v>42986</v>
      </c>
      <c r="B1373" s="43">
        <v>264</v>
      </c>
      <c r="C1373">
        <f t="shared" si="28"/>
        <v>2017</v>
      </c>
    </row>
    <row r="1374" spans="1:3" x14ac:dyDescent="0.35">
      <c r="A1374" s="7">
        <v>42985</v>
      </c>
      <c r="B1374" s="43">
        <v>265</v>
      </c>
      <c r="C1374">
        <f t="shared" si="28"/>
        <v>2017</v>
      </c>
    </row>
    <row r="1375" spans="1:3" x14ac:dyDescent="0.35">
      <c r="A1375" s="7">
        <v>42984</v>
      </c>
      <c r="B1375" s="43">
        <v>267</v>
      </c>
      <c r="C1375">
        <f t="shared" si="28"/>
        <v>2017</v>
      </c>
    </row>
    <row r="1376" spans="1:3" x14ac:dyDescent="0.35">
      <c r="A1376" s="7">
        <v>42983</v>
      </c>
      <c r="B1376" s="43">
        <v>268</v>
      </c>
      <c r="C1376">
        <f t="shared" si="28"/>
        <v>2017</v>
      </c>
    </row>
    <row r="1377" spans="1:3" x14ac:dyDescent="0.35">
      <c r="A1377" s="7">
        <v>42982</v>
      </c>
      <c r="B1377" s="43">
        <v>265</v>
      </c>
      <c r="C1377">
        <f t="shared" si="28"/>
        <v>2017</v>
      </c>
    </row>
    <row r="1378" spans="1:3" x14ac:dyDescent="0.35">
      <c r="A1378" s="7">
        <v>42979</v>
      </c>
      <c r="B1378" s="43">
        <v>265</v>
      </c>
      <c r="C1378">
        <f t="shared" si="28"/>
        <v>2017</v>
      </c>
    </row>
    <row r="1379" spans="1:3" x14ac:dyDescent="0.35">
      <c r="A1379" s="7">
        <v>42978</v>
      </c>
      <c r="B1379" s="43">
        <v>272</v>
      </c>
      <c r="C1379">
        <f t="shared" si="28"/>
        <v>2017</v>
      </c>
    </row>
    <row r="1380" spans="1:3" x14ac:dyDescent="0.35">
      <c r="A1380" s="7">
        <v>42977</v>
      </c>
      <c r="B1380" s="43">
        <v>272</v>
      </c>
      <c r="C1380">
        <f t="shared" si="28"/>
        <v>2017</v>
      </c>
    </row>
    <row r="1381" spans="1:3" x14ac:dyDescent="0.35">
      <c r="A1381" s="7">
        <v>42976</v>
      </c>
      <c r="B1381" s="43">
        <v>274</v>
      </c>
      <c r="C1381">
        <f t="shared" si="28"/>
        <v>2017</v>
      </c>
    </row>
    <row r="1382" spans="1:3" x14ac:dyDescent="0.35">
      <c r="A1382" s="7">
        <v>42975</v>
      </c>
      <c r="B1382" s="43">
        <v>273</v>
      </c>
      <c r="C1382">
        <f t="shared" si="28"/>
        <v>2017</v>
      </c>
    </row>
    <row r="1383" spans="1:3" x14ac:dyDescent="0.35">
      <c r="A1383" s="7">
        <v>42972</v>
      </c>
      <c r="B1383" s="43">
        <v>270</v>
      </c>
      <c r="C1383">
        <f t="shared" si="28"/>
        <v>2017</v>
      </c>
    </row>
    <row r="1384" spans="1:3" x14ac:dyDescent="0.35">
      <c r="A1384" s="7">
        <v>42971</v>
      </c>
      <c r="B1384" s="43">
        <v>269</v>
      </c>
      <c r="C1384">
        <f t="shared" si="28"/>
        <v>2017</v>
      </c>
    </row>
    <row r="1385" spans="1:3" x14ac:dyDescent="0.35">
      <c r="A1385" s="7">
        <v>42970</v>
      </c>
      <c r="B1385" s="43">
        <v>274</v>
      </c>
      <c r="C1385">
        <f t="shared" si="28"/>
        <v>2017</v>
      </c>
    </row>
    <row r="1386" spans="1:3" x14ac:dyDescent="0.35">
      <c r="A1386" s="7">
        <v>42969</v>
      </c>
      <c r="B1386" s="43">
        <v>276</v>
      </c>
      <c r="C1386">
        <f t="shared" si="28"/>
        <v>2017</v>
      </c>
    </row>
    <row r="1387" spans="1:3" x14ac:dyDescent="0.35">
      <c r="A1387" s="7">
        <v>42968</v>
      </c>
      <c r="B1387" s="43">
        <v>279</v>
      </c>
      <c r="C1387">
        <f t="shared" si="28"/>
        <v>2017</v>
      </c>
    </row>
    <row r="1388" spans="1:3" x14ac:dyDescent="0.35">
      <c r="A1388" s="7">
        <v>42965</v>
      </c>
      <c r="B1388" s="43">
        <v>277</v>
      </c>
      <c r="C1388">
        <f t="shared" si="28"/>
        <v>2017</v>
      </c>
    </row>
    <row r="1389" spans="1:3" x14ac:dyDescent="0.35">
      <c r="A1389" s="7">
        <v>42964</v>
      </c>
      <c r="B1389" s="43">
        <v>279</v>
      </c>
      <c r="C1389">
        <f t="shared" si="28"/>
        <v>2017</v>
      </c>
    </row>
    <row r="1390" spans="1:3" x14ac:dyDescent="0.35">
      <c r="A1390" s="7">
        <v>42963</v>
      </c>
      <c r="B1390" s="43">
        <v>271</v>
      </c>
      <c r="C1390">
        <f t="shared" si="28"/>
        <v>2017</v>
      </c>
    </row>
    <row r="1391" spans="1:3" x14ac:dyDescent="0.35">
      <c r="A1391" s="7">
        <v>42962</v>
      </c>
      <c r="B1391" s="43">
        <v>269</v>
      </c>
      <c r="C1391">
        <f t="shared" si="28"/>
        <v>2017</v>
      </c>
    </row>
    <row r="1392" spans="1:3" x14ac:dyDescent="0.35">
      <c r="A1392" s="7">
        <v>42961</v>
      </c>
      <c r="B1392" s="43">
        <v>276</v>
      </c>
      <c r="C1392">
        <f t="shared" si="28"/>
        <v>2017</v>
      </c>
    </row>
    <row r="1393" spans="1:3" x14ac:dyDescent="0.35">
      <c r="A1393" s="7">
        <v>42958</v>
      </c>
      <c r="B1393" s="43">
        <v>281</v>
      </c>
      <c r="C1393">
        <f t="shared" si="28"/>
        <v>2017</v>
      </c>
    </row>
    <row r="1394" spans="1:3" x14ac:dyDescent="0.35">
      <c r="A1394" s="7">
        <v>42957</v>
      </c>
      <c r="B1394" s="43">
        <v>281</v>
      </c>
      <c r="C1394">
        <f t="shared" si="28"/>
        <v>2017</v>
      </c>
    </row>
    <row r="1395" spans="1:3" x14ac:dyDescent="0.35">
      <c r="A1395" s="7">
        <v>42956</v>
      </c>
      <c r="B1395" s="43">
        <v>269</v>
      </c>
      <c r="C1395">
        <f t="shared" si="28"/>
        <v>2017</v>
      </c>
    </row>
    <row r="1396" spans="1:3" x14ac:dyDescent="0.35">
      <c r="A1396" s="7">
        <v>42955</v>
      </c>
      <c r="B1396" s="43">
        <v>262</v>
      </c>
      <c r="C1396">
        <f t="shared" si="28"/>
        <v>2017</v>
      </c>
    </row>
    <row r="1397" spans="1:3" x14ac:dyDescent="0.35">
      <c r="A1397" s="7">
        <v>42954</v>
      </c>
      <c r="B1397" s="43">
        <v>263</v>
      </c>
      <c r="C1397">
        <f t="shared" si="28"/>
        <v>2017</v>
      </c>
    </row>
    <row r="1398" spans="1:3" x14ac:dyDescent="0.35">
      <c r="A1398" s="7">
        <v>42951</v>
      </c>
      <c r="B1398" s="43">
        <v>262</v>
      </c>
      <c r="C1398">
        <f t="shared" si="28"/>
        <v>2017</v>
      </c>
    </row>
    <row r="1399" spans="1:3" x14ac:dyDescent="0.35">
      <c r="A1399" s="7">
        <v>42950</v>
      </c>
      <c r="B1399" s="43">
        <v>264</v>
      </c>
      <c r="C1399">
        <f t="shared" si="28"/>
        <v>2017</v>
      </c>
    </row>
    <row r="1400" spans="1:3" x14ac:dyDescent="0.35">
      <c r="A1400" s="7">
        <v>42949</v>
      </c>
      <c r="B1400" s="43">
        <v>268</v>
      </c>
      <c r="C1400">
        <f t="shared" si="28"/>
        <v>2017</v>
      </c>
    </row>
    <row r="1401" spans="1:3" x14ac:dyDescent="0.35">
      <c r="A1401" s="7">
        <v>42948</v>
      </c>
      <c r="B1401" s="43">
        <v>267</v>
      </c>
      <c r="C1401">
        <f t="shared" si="28"/>
        <v>2017</v>
      </c>
    </row>
    <row r="1402" spans="1:3" x14ac:dyDescent="0.35">
      <c r="A1402" s="7">
        <v>42947</v>
      </c>
      <c r="B1402" s="43">
        <v>268</v>
      </c>
      <c r="C1402">
        <f t="shared" si="28"/>
        <v>2017</v>
      </c>
    </row>
    <row r="1403" spans="1:3" x14ac:dyDescent="0.35">
      <c r="A1403" s="7">
        <v>42944</v>
      </c>
      <c r="B1403" s="43">
        <v>271</v>
      </c>
      <c r="C1403">
        <f t="shared" si="28"/>
        <v>2017</v>
      </c>
    </row>
    <row r="1404" spans="1:3" x14ac:dyDescent="0.35">
      <c r="A1404" s="7">
        <v>42943</v>
      </c>
      <c r="B1404" s="43">
        <v>268</v>
      </c>
      <c r="C1404">
        <f t="shared" si="28"/>
        <v>2017</v>
      </c>
    </row>
    <row r="1405" spans="1:3" x14ac:dyDescent="0.35">
      <c r="A1405" s="7">
        <v>42942</v>
      </c>
      <c r="B1405" s="43">
        <v>269</v>
      </c>
      <c r="C1405">
        <f t="shared" si="28"/>
        <v>2017</v>
      </c>
    </row>
    <row r="1406" spans="1:3" x14ac:dyDescent="0.35">
      <c r="A1406" s="7">
        <v>42941</v>
      </c>
      <c r="B1406" s="43">
        <v>272</v>
      </c>
      <c r="C1406">
        <f t="shared" si="28"/>
        <v>2017</v>
      </c>
    </row>
    <row r="1407" spans="1:3" x14ac:dyDescent="0.35">
      <c r="A1407" s="7">
        <v>42940</v>
      </c>
      <c r="B1407" s="43">
        <v>270</v>
      </c>
      <c r="C1407">
        <f t="shared" si="28"/>
        <v>2017</v>
      </c>
    </row>
    <row r="1408" spans="1:3" x14ac:dyDescent="0.35">
      <c r="A1408" s="7">
        <v>42937</v>
      </c>
      <c r="B1408" s="43">
        <v>264</v>
      </c>
      <c r="C1408">
        <f t="shared" si="28"/>
        <v>2017</v>
      </c>
    </row>
    <row r="1409" spans="1:3" x14ac:dyDescent="0.35">
      <c r="A1409" s="7">
        <v>42936</v>
      </c>
      <c r="B1409" s="43">
        <v>266</v>
      </c>
      <c r="C1409">
        <f t="shared" si="28"/>
        <v>2017</v>
      </c>
    </row>
    <row r="1410" spans="1:3" x14ac:dyDescent="0.35">
      <c r="A1410" s="7">
        <v>42935</v>
      </c>
      <c r="B1410" s="43">
        <v>271</v>
      </c>
      <c r="C1410">
        <f t="shared" si="28"/>
        <v>2017</v>
      </c>
    </row>
    <row r="1411" spans="1:3" x14ac:dyDescent="0.35">
      <c r="A1411" s="7">
        <v>42934</v>
      </c>
      <c r="B1411" s="43">
        <v>273</v>
      </c>
      <c r="C1411">
        <f t="shared" ref="C1411:C1474" si="29">YEAR(A1411)</f>
        <v>2017</v>
      </c>
    </row>
    <row r="1412" spans="1:3" x14ac:dyDescent="0.35">
      <c r="A1412" s="7">
        <v>42933</v>
      </c>
      <c r="B1412" s="43">
        <v>273</v>
      </c>
      <c r="C1412">
        <f t="shared" si="29"/>
        <v>2017</v>
      </c>
    </row>
    <row r="1413" spans="1:3" x14ac:dyDescent="0.35">
      <c r="A1413" s="7">
        <v>42930</v>
      </c>
      <c r="B1413" s="43">
        <v>274</v>
      </c>
      <c r="C1413">
        <f t="shared" si="29"/>
        <v>2017</v>
      </c>
    </row>
    <row r="1414" spans="1:3" x14ac:dyDescent="0.35">
      <c r="A1414" s="7">
        <v>42929</v>
      </c>
      <c r="B1414" s="43">
        <v>277</v>
      </c>
      <c r="C1414">
        <f t="shared" si="29"/>
        <v>2017</v>
      </c>
    </row>
    <row r="1415" spans="1:3" x14ac:dyDescent="0.35">
      <c r="A1415" s="7">
        <v>42928</v>
      </c>
      <c r="B1415" s="43">
        <v>277</v>
      </c>
      <c r="C1415">
        <f t="shared" si="29"/>
        <v>2017</v>
      </c>
    </row>
    <row r="1416" spans="1:3" x14ac:dyDescent="0.35">
      <c r="A1416" s="7">
        <v>42927</v>
      </c>
      <c r="B1416" s="43">
        <v>282</v>
      </c>
      <c r="C1416">
        <f t="shared" si="29"/>
        <v>2017</v>
      </c>
    </row>
    <row r="1417" spans="1:3" x14ac:dyDescent="0.35">
      <c r="A1417" s="7">
        <v>42926</v>
      </c>
      <c r="B1417" s="43">
        <v>286</v>
      </c>
      <c r="C1417">
        <f t="shared" si="29"/>
        <v>2017</v>
      </c>
    </row>
    <row r="1418" spans="1:3" x14ac:dyDescent="0.35">
      <c r="A1418" s="7">
        <v>42923</v>
      </c>
      <c r="B1418" s="43">
        <v>293</v>
      </c>
      <c r="C1418">
        <f t="shared" si="29"/>
        <v>2017</v>
      </c>
    </row>
    <row r="1419" spans="1:3" x14ac:dyDescent="0.35">
      <c r="A1419" s="7">
        <v>42922</v>
      </c>
      <c r="B1419" s="43">
        <v>297</v>
      </c>
      <c r="C1419">
        <f t="shared" si="29"/>
        <v>2017</v>
      </c>
    </row>
    <row r="1420" spans="1:3" x14ac:dyDescent="0.35">
      <c r="A1420" s="7">
        <v>42921</v>
      </c>
      <c r="B1420" s="43">
        <v>291</v>
      </c>
      <c r="C1420">
        <f t="shared" si="29"/>
        <v>2017</v>
      </c>
    </row>
    <row r="1421" spans="1:3" x14ac:dyDescent="0.35">
      <c r="A1421" s="7">
        <v>42919</v>
      </c>
      <c r="B1421" s="43">
        <v>286</v>
      </c>
      <c r="C1421">
        <f t="shared" si="29"/>
        <v>2017</v>
      </c>
    </row>
    <row r="1422" spans="1:3" x14ac:dyDescent="0.35">
      <c r="A1422" s="7">
        <v>42916</v>
      </c>
      <c r="B1422" s="43">
        <v>289</v>
      </c>
      <c r="C1422">
        <f t="shared" si="29"/>
        <v>2017</v>
      </c>
    </row>
    <row r="1423" spans="1:3" x14ac:dyDescent="0.35">
      <c r="A1423" s="7">
        <v>42915</v>
      </c>
      <c r="B1423" s="43">
        <v>294</v>
      </c>
      <c r="C1423">
        <f t="shared" si="29"/>
        <v>2017</v>
      </c>
    </row>
    <row r="1424" spans="1:3" x14ac:dyDescent="0.35">
      <c r="A1424" s="7">
        <v>42914</v>
      </c>
      <c r="B1424" s="43">
        <v>290</v>
      </c>
      <c r="C1424">
        <f t="shared" si="29"/>
        <v>2017</v>
      </c>
    </row>
    <row r="1425" spans="1:3" x14ac:dyDescent="0.35">
      <c r="A1425" s="7">
        <v>42913</v>
      </c>
      <c r="B1425" s="43">
        <v>298</v>
      </c>
      <c r="C1425">
        <f t="shared" si="29"/>
        <v>2017</v>
      </c>
    </row>
    <row r="1426" spans="1:3" x14ac:dyDescent="0.35">
      <c r="A1426" s="7">
        <v>42912</v>
      </c>
      <c r="B1426" s="43">
        <v>290</v>
      </c>
      <c r="C1426">
        <f t="shared" si="29"/>
        <v>2017</v>
      </c>
    </row>
    <row r="1427" spans="1:3" x14ac:dyDescent="0.35">
      <c r="A1427" s="7">
        <v>42909</v>
      </c>
      <c r="B1427" s="43">
        <v>294</v>
      </c>
      <c r="C1427">
        <f t="shared" si="29"/>
        <v>2017</v>
      </c>
    </row>
    <row r="1428" spans="1:3" x14ac:dyDescent="0.35">
      <c r="A1428" s="7">
        <v>42908</v>
      </c>
      <c r="B1428" s="43">
        <v>298</v>
      </c>
      <c r="C1428">
        <f t="shared" si="29"/>
        <v>2017</v>
      </c>
    </row>
    <row r="1429" spans="1:3" x14ac:dyDescent="0.35">
      <c r="A1429" s="7">
        <v>42907</v>
      </c>
      <c r="B1429" s="43">
        <v>302</v>
      </c>
      <c r="C1429">
        <f t="shared" si="29"/>
        <v>2017</v>
      </c>
    </row>
    <row r="1430" spans="1:3" x14ac:dyDescent="0.35">
      <c r="A1430" s="7">
        <v>42906</v>
      </c>
      <c r="B1430" s="43">
        <v>299</v>
      </c>
      <c r="C1430">
        <f t="shared" si="29"/>
        <v>2017</v>
      </c>
    </row>
    <row r="1431" spans="1:3" x14ac:dyDescent="0.35">
      <c r="A1431" s="7">
        <v>42905</v>
      </c>
      <c r="B1431" s="43">
        <v>289</v>
      </c>
      <c r="C1431">
        <f t="shared" si="29"/>
        <v>2017</v>
      </c>
    </row>
    <row r="1432" spans="1:3" x14ac:dyDescent="0.35">
      <c r="A1432" s="7">
        <v>42902</v>
      </c>
      <c r="B1432" s="43">
        <v>286</v>
      </c>
      <c r="C1432">
        <f t="shared" si="29"/>
        <v>2017</v>
      </c>
    </row>
    <row r="1433" spans="1:3" x14ac:dyDescent="0.35">
      <c r="A1433" s="7">
        <v>42901</v>
      </c>
      <c r="B1433" s="43">
        <v>286</v>
      </c>
      <c r="C1433">
        <f t="shared" si="29"/>
        <v>2017</v>
      </c>
    </row>
    <row r="1434" spans="1:3" x14ac:dyDescent="0.35">
      <c r="A1434" s="7">
        <v>42900</v>
      </c>
      <c r="B1434" s="43">
        <v>281</v>
      </c>
      <c r="C1434">
        <f t="shared" si="29"/>
        <v>2017</v>
      </c>
    </row>
    <row r="1435" spans="1:3" x14ac:dyDescent="0.35">
      <c r="A1435" s="7">
        <v>42899</v>
      </c>
      <c r="B1435" s="43">
        <v>282</v>
      </c>
      <c r="C1435">
        <f t="shared" si="29"/>
        <v>2017</v>
      </c>
    </row>
    <row r="1436" spans="1:3" x14ac:dyDescent="0.35">
      <c r="A1436" s="7">
        <v>42898</v>
      </c>
      <c r="B1436" s="43">
        <v>286</v>
      </c>
      <c r="C1436">
        <f t="shared" si="29"/>
        <v>2017</v>
      </c>
    </row>
    <row r="1437" spans="1:3" x14ac:dyDescent="0.35">
      <c r="A1437" s="7">
        <v>42895</v>
      </c>
      <c r="B1437" s="43">
        <v>285</v>
      </c>
      <c r="C1437">
        <f t="shared" si="29"/>
        <v>2017</v>
      </c>
    </row>
    <row r="1438" spans="1:3" x14ac:dyDescent="0.35">
      <c r="A1438" s="7">
        <v>42894</v>
      </c>
      <c r="B1438" s="43">
        <v>285</v>
      </c>
      <c r="C1438">
        <f t="shared" si="29"/>
        <v>2017</v>
      </c>
    </row>
    <row r="1439" spans="1:3" x14ac:dyDescent="0.35">
      <c r="A1439" s="7">
        <v>42893</v>
      </c>
      <c r="B1439" s="43">
        <v>288</v>
      </c>
      <c r="C1439">
        <f t="shared" si="29"/>
        <v>2017</v>
      </c>
    </row>
    <row r="1440" spans="1:3" x14ac:dyDescent="0.35">
      <c r="A1440" s="7">
        <v>42892</v>
      </c>
      <c r="B1440" s="43">
        <v>285</v>
      </c>
      <c r="C1440">
        <f t="shared" si="29"/>
        <v>2017</v>
      </c>
    </row>
    <row r="1441" spans="1:3" x14ac:dyDescent="0.35">
      <c r="A1441" s="7">
        <v>42891</v>
      </c>
      <c r="B1441" s="43">
        <v>283</v>
      </c>
      <c r="C1441">
        <f t="shared" si="29"/>
        <v>2017</v>
      </c>
    </row>
    <row r="1442" spans="1:3" x14ac:dyDescent="0.35">
      <c r="A1442" s="7">
        <v>42888</v>
      </c>
      <c r="B1442" s="43">
        <v>283</v>
      </c>
      <c r="C1442">
        <f t="shared" si="29"/>
        <v>2017</v>
      </c>
    </row>
    <row r="1443" spans="1:3" x14ac:dyDescent="0.35">
      <c r="A1443" s="7">
        <v>42887</v>
      </c>
      <c r="B1443" s="43">
        <v>284</v>
      </c>
      <c r="C1443">
        <f t="shared" si="29"/>
        <v>2017</v>
      </c>
    </row>
    <row r="1444" spans="1:3" x14ac:dyDescent="0.35">
      <c r="A1444" s="7">
        <v>42886</v>
      </c>
      <c r="B1444" s="43">
        <v>284</v>
      </c>
      <c r="C1444">
        <f t="shared" si="29"/>
        <v>2017</v>
      </c>
    </row>
    <row r="1445" spans="1:3" x14ac:dyDescent="0.35">
      <c r="A1445" s="7">
        <v>42885</v>
      </c>
      <c r="B1445" s="43">
        <v>284</v>
      </c>
      <c r="C1445">
        <f t="shared" si="29"/>
        <v>2017</v>
      </c>
    </row>
    <row r="1446" spans="1:3" x14ac:dyDescent="0.35">
      <c r="A1446" s="7">
        <v>42884</v>
      </c>
      <c r="B1446" s="43">
        <v>286</v>
      </c>
      <c r="C1446">
        <f t="shared" si="29"/>
        <v>2017</v>
      </c>
    </row>
    <row r="1447" spans="1:3" x14ac:dyDescent="0.35">
      <c r="A1447" s="7">
        <v>42881</v>
      </c>
      <c r="B1447" s="43">
        <v>283</v>
      </c>
      <c r="C1447">
        <f t="shared" si="29"/>
        <v>2017</v>
      </c>
    </row>
    <row r="1448" spans="1:3" x14ac:dyDescent="0.35">
      <c r="A1448" s="7">
        <v>42880</v>
      </c>
      <c r="B1448" s="43">
        <v>286</v>
      </c>
      <c r="C1448">
        <f t="shared" si="29"/>
        <v>2017</v>
      </c>
    </row>
    <row r="1449" spans="1:3" x14ac:dyDescent="0.35">
      <c r="A1449" s="7">
        <v>42879</v>
      </c>
      <c r="B1449" s="43">
        <v>281</v>
      </c>
      <c r="C1449">
        <f t="shared" si="29"/>
        <v>2017</v>
      </c>
    </row>
    <row r="1450" spans="1:3" x14ac:dyDescent="0.35">
      <c r="A1450" s="7">
        <v>42878</v>
      </c>
      <c r="B1450" s="43">
        <v>280</v>
      </c>
      <c r="C1450">
        <f t="shared" si="29"/>
        <v>2017</v>
      </c>
    </row>
    <row r="1451" spans="1:3" x14ac:dyDescent="0.35">
      <c r="A1451" s="7">
        <v>42877</v>
      </c>
      <c r="B1451" s="43">
        <v>288</v>
      </c>
      <c r="C1451">
        <f t="shared" si="29"/>
        <v>2017</v>
      </c>
    </row>
    <row r="1452" spans="1:3" x14ac:dyDescent="0.35">
      <c r="A1452" s="7">
        <v>42874</v>
      </c>
      <c r="B1452" s="43">
        <v>282</v>
      </c>
      <c r="C1452">
        <f t="shared" si="29"/>
        <v>2017</v>
      </c>
    </row>
    <row r="1453" spans="1:3" x14ac:dyDescent="0.35">
      <c r="A1453" s="7">
        <v>42873</v>
      </c>
      <c r="B1453" s="43">
        <v>300</v>
      </c>
      <c r="C1453">
        <f t="shared" si="29"/>
        <v>2017</v>
      </c>
    </row>
    <row r="1454" spans="1:3" x14ac:dyDescent="0.35">
      <c r="A1454" s="7">
        <v>42872</v>
      </c>
      <c r="B1454" s="43">
        <v>258</v>
      </c>
      <c r="C1454">
        <f t="shared" si="29"/>
        <v>2017</v>
      </c>
    </row>
    <row r="1455" spans="1:3" x14ac:dyDescent="0.35">
      <c r="A1455" s="7">
        <v>42871</v>
      </c>
      <c r="B1455" s="43">
        <v>250</v>
      </c>
      <c r="C1455">
        <f t="shared" si="29"/>
        <v>2017</v>
      </c>
    </row>
    <row r="1456" spans="1:3" x14ac:dyDescent="0.35">
      <c r="A1456" s="7">
        <v>42870</v>
      </c>
      <c r="B1456" s="43">
        <v>251</v>
      </c>
      <c r="C1456">
        <f t="shared" si="29"/>
        <v>2017</v>
      </c>
    </row>
    <row r="1457" spans="1:3" x14ac:dyDescent="0.35">
      <c r="A1457" s="7">
        <v>42867</v>
      </c>
      <c r="B1457" s="43">
        <v>255</v>
      </c>
      <c r="C1457">
        <f t="shared" si="29"/>
        <v>2017</v>
      </c>
    </row>
    <row r="1458" spans="1:3" x14ac:dyDescent="0.35">
      <c r="A1458" s="7">
        <v>42866</v>
      </c>
      <c r="B1458" s="43">
        <v>255</v>
      </c>
      <c r="C1458">
        <f t="shared" si="29"/>
        <v>2017</v>
      </c>
    </row>
    <row r="1459" spans="1:3" x14ac:dyDescent="0.35">
      <c r="A1459" s="7">
        <v>42865</v>
      </c>
      <c r="B1459" s="43">
        <v>257</v>
      </c>
      <c r="C1459">
        <f t="shared" si="29"/>
        <v>2017</v>
      </c>
    </row>
    <row r="1460" spans="1:3" x14ac:dyDescent="0.35">
      <c r="A1460" s="7">
        <v>42864</v>
      </c>
      <c r="B1460" s="43">
        <v>264</v>
      </c>
      <c r="C1460">
        <f t="shared" si="29"/>
        <v>2017</v>
      </c>
    </row>
    <row r="1461" spans="1:3" x14ac:dyDescent="0.35">
      <c r="A1461" s="7">
        <v>42863</v>
      </c>
      <c r="B1461" s="43">
        <v>262</v>
      </c>
      <c r="C1461">
        <f t="shared" si="29"/>
        <v>2017</v>
      </c>
    </row>
    <row r="1462" spans="1:3" x14ac:dyDescent="0.35">
      <c r="A1462" s="7">
        <v>42860</v>
      </c>
      <c r="B1462" s="43">
        <v>262</v>
      </c>
      <c r="C1462">
        <f t="shared" si="29"/>
        <v>2017</v>
      </c>
    </row>
    <row r="1463" spans="1:3" x14ac:dyDescent="0.35">
      <c r="A1463" s="7">
        <v>42859</v>
      </c>
      <c r="B1463" s="43">
        <v>264</v>
      </c>
      <c r="C1463">
        <f t="shared" si="29"/>
        <v>2017</v>
      </c>
    </row>
    <row r="1464" spans="1:3" x14ac:dyDescent="0.35">
      <c r="A1464" s="7">
        <v>42858</v>
      </c>
      <c r="B1464" s="43">
        <v>256</v>
      </c>
      <c r="C1464">
        <f t="shared" si="29"/>
        <v>2017</v>
      </c>
    </row>
    <row r="1465" spans="1:3" x14ac:dyDescent="0.35">
      <c r="A1465" s="7">
        <v>42857</v>
      </c>
      <c r="B1465" s="43">
        <v>258</v>
      </c>
      <c r="C1465">
        <f t="shared" si="29"/>
        <v>2017</v>
      </c>
    </row>
    <row r="1466" spans="1:3" x14ac:dyDescent="0.35">
      <c r="A1466" s="7">
        <v>42856</v>
      </c>
      <c r="B1466" s="43">
        <v>260</v>
      </c>
      <c r="C1466">
        <f t="shared" si="29"/>
        <v>2017</v>
      </c>
    </row>
    <row r="1467" spans="1:3" x14ac:dyDescent="0.35">
      <c r="A1467" s="7">
        <v>42853</v>
      </c>
      <c r="B1467" s="43">
        <v>263</v>
      </c>
      <c r="C1467">
        <f t="shared" si="29"/>
        <v>2017</v>
      </c>
    </row>
    <row r="1468" spans="1:3" x14ac:dyDescent="0.35">
      <c r="A1468" s="7">
        <v>42852</v>
      </c>
      <c r="B1468" s="43">
        <v>264</v>
      </c>
      <c r="C1468">
        <f t="shared" si="29"/>
        <v>2017</v>
      </c>
    </row>
    <row r="1469" spans="1:3" x14ac:dyDescent="0.35">
      <c r="A1469" s="7">
        <v>42851</v>
      </c>
      <c r="B1469" s="43">
        <v>268</v>
      </c>
      <c r="C1469">
        <f t="shared" si="29"/>
        <v>2017</v>
      </c>
    </row>
    <row r="1470" spans="1:3" x14ac:dyDescent="0.35">
      <c r="A1470" s="7">
        <v>42850</v>
      </c>
      <c r="B1470" s="43">
        <v>263</v>
      </c>
      <c r="C1470">
        <f t="shared" si="29"/>
        <v>2017</v>
      </c>
    </row>
    <row r="1471" spans="1:3" x14ac:dyDescent="0.35">
      <c r="A1471" s="7">
        <v>42849</v>
      </c>
      <c r="B1471" s="43">
        <v>263</v>
      </c>
      <c r="C1471">
        <f t="shared" si="29"/>
        <v>2017</v>
      </c>
    </row>
    <row r="1472" spans="1:3" x14ac:dyDescent="0.35">
      <c r="A1472" s="7">
        <v>42846</v>
      </c>
      <c r="B1472" s="43">
        <v>272</v>
      </c>
      <c r="C1472">
        <f t="shared" si="29"/>
        <v>2017</v>
      </c>
    </row>
    <row r="1473" spans="1:3" x14ac:dyDescent="0.35">
      <c r="A1473" s="7">
        <v>42845</v>
      </c>
      <c r="B1473" s="43">
        <v>275</v>
      </c>
      <c r="C1473">
        <f t="shared" si="29"/>
        <v>2017</v>
      </c>
    </row>
    <row r="1474" spans="1:3" x14ac:dyDescent="0.35">
      <c r="A1474" s="7">
        <v>42844</v>
      </c>
      <c r="B1474" s="43">
        <v>273</v>
      </c>
      <c r="C1474">
        <f t="shared" si="29"/>
        <v>2017</v>
      </c>
    </row>
    <row r="1475" spans="1:3" x14ac:dyDescent="0.35">
      <c r="A1475" s="7">
        <v>42843</v>
      </c>
      <c r="B1475" s="43">
        <v>275</v>
      </c>
      <c r="C1475">
        <f t="shared" ref="C1475:C1538" si="30">YEAR(A1475)</f>
        <v>2017</v>
      </c>
    </row>
    <row r="1476" spans="1:3" x14ac:dyDescent="0.35">
      <c r="A1476" s="7">
        <v>42842</v>
      </c>
      <c r="B1476" s="43">
        <v>270</v>
      </c>
      <c r="C1476">
        <f t="shared" si="30"/>
        <v>2017</v>
      </c>
    </row>
    <row r="1477" spans="1:3" x14ac:dyDescent="0.35">
      <c r="A1477" s="7">
        <v>42838</v>
      </c>
      <c r="B1477" s="43">
        <v>271</v>
      </c>
      <c r="C1477">
        <f t="shared" si="30"/>
        <v>2017</v>
      </c>
    </row>
    <row r="1478" spans="1:3" x14ac:dyDescent="0.35">
      <c r="A1478" s="7">
        <v>42837</v>
      </c>
      <c r="B1478" s="43">
        <v>271</v>
      </c>
      <c r="C1478">
        <f t="shared" si="30"/>
        <v>2017</v>
      </c>
    </row>
    <row r="1479" spans="1:3" x14ac:dyDescent="0.35">
      <c r="A1479" s="7">
        <v>42836</v>
      </c>
      <c r="B1479" s="43">
        <v>272</v>
      </c>
      <c r="C1479">
        <f t="shared" si="30"/>
        <v>2017</v>
      </c>
    </row>
    <row r="1480" spans="1:3" x14ac:dyDescent="0.35">
      <c r="A1480" s="7">
        <v>42835</v>
      </c>
      <c r="B1480" s="43">
        <v>267</v>
      </c>
      <c r="C1480">
        <f t="shared" si="30"/>
        <v>2017</v>
      </c>
    </row>
    <row r="1481" spans="1:3" x14ac:dyDescent="0.35">
      <c r="A1481" s="7">
        <v>42832</v>
      </c>
      <c r="B1481" s="43">
        <v>271</v>
      </c>
      <c r="C1481">
        <f t="shared" si="30"/>
        <v>2017</v>
      </c>
    </row>
    <row r="1482" spans="1:3" x14ac:dyDescent="0.35">
      <c r="A1482" s="7">
        <v>42831</v>
      </c>
      <c r="B1482" s="43">
        <v>269</v>
      </c>
      <c r="C1482">
        <f t="shared" si="30"/>
        <v>2017</v>
      </c>
    </row>
    <row r="1483" spans="1:3" x14ac:dyDescent="0.35">
      <c r="A1483" s="7">
        <v>42830</v>
      </c>
      <c r="B1483" s="43">
        <v>263</v>
      </c>
      <c r="C1483">
        <f t="shared" si="30"/>
        <v>2017</v>
      </c>
    </row>
    <row r="1484" spans="1:3" x14ac:dyDescent="0.35">
      <c r="A1484" s="7">
        <v>42829</v>
      </c>
      <c r="B1484" s="43">
        <v>265</v>
      </c>
      <c r="C1484">
        <f t="shared" si="30"/>
        <v>2017</v>
      </c>
    </row>
    <row r="1485" spans="1:3" x14ac:dyDescent="0.35">
      <c r="A1485" s="7">
        <v>42828</v>
      </c>
      <c r="B1485" s="43">
        <v>270</v>
      </c>
      <c r="C1485">
        <f t="shared" si="30"/>
        <v>2017</v>
      </c>
    </row>
    <row r="1486" spans="1:3" x14ac:dyDescent="0.35">
      <c r="A1486" s="7">
        <v>42825</v>
      </c>
      <c r="B1486" s="43">
        <v>270</v>
      </c>
      <c r="C1486">
        <f t="shared" si="30"/>
        <v>2017</v>
      </c>
    </row>
    <row r="1487" spans="1:3" x14ac:dyDescent="0.35">
      <c r="A1487" s="7">
        <v>42824</v>
      </c>
      <c r="B1487" s="43">
        <v>274</v>
      </c>
      <c r="C1487">
        <f t="shared" si="30"/>
        <v>2017</v>
      </c>
    </row>
    <row r="1488" spans="1:3" x14ac:dyDescent="0.35">
      <c r="A1488" s="7">
        <v>42823</v>
      </c>
      <c r="B1488" s="43">
        <v>275</v>
      </c>
      <c r="C1488">
        <f t="shared" si="30"/>
        <v>2017</v>
      </c>
    </row>
    <row r="1489" spans="1:3" x14ac:dyDescent="0.35">
      <c r="A1489" s="7">
        <v>42822</v>
      </c>
      <c r="B1489" s="43">
        <v>278</v>
      </c>
      <c r="C1489">
        <f t="shared" si="30"/>
        <v>2017</v>
      </c>
    </row>
    <row r="1490" spans="1:3" x14ac:dyDescent="0.35">
      <c r="A1490" s="7">
        <v>42821</v>
      </c>
      <c r="B1490" s="43">
        <v>279</v>
      </c>
      <c r="C1490">
        <f t="shared" si="30"/>
        <v>2017</v>
      </c>
    </row>
    <row r="1491" spans="1:3" x14ac:dyDescent="0.35">
      <c r="A1491" s="7">
        <v>42818</v>
      </c>
      <c r="B1491" s="43">
        <v>278</v>
      </c>
      <c r="C1491">
        <f t="shared" si="30"/>
        <v>2017</v>
      </c>
    </row>
    <row r="1492" spans="1:3" x14ac:dyDescent="0.35">
      <c r="A1492" s="7">
        <v>42817</v>
      </c>
      <c r="B1492" s="43">
        <v>280</v>
      </c>
      <c r="C1492">
        <f t="shared" si="30"/>
        <v>2017</v>
      </c>
    </row>
    <row r="1493" spans="1:3" x14ac:dyDescent="0.35">
      <c r="A1493" s="7">
        <v>42816</v>
      </c>
      <c r="B1493" s="43">
        <v>280</v>
      </c>
      <c r="C1493">
        <f t="shared" si="30"/>
        <v>2017</v>
      </c>
    </row>
    <row r="1494" spans="1:3" x14ac:dyDescent="0.35">
      <c r="A1494" s="7">
        <v>42815</v>
      </c>
      <c r="B1494" s="43">
        <v>277</v>
      </c>
      <c r="C1494">
        <f t="shared" si="30"/>
        <v>2017</v>
      </c>
    </row>
    <row r="1495" spans="1:3" x14ac:dyDescent="0.35">
      <c r="A1495" s="7">
        <v>42814</v>
      </c>
      <c r="B1495" s="43">
        <v>269</v>
      </c>
      <c r="C1495">
        <f t="shared" si="30"/>
        <v>2017</v>
      </c>
    </row>
    <row r="1496" spans="1:3" x14ac:dyDescent="0.35">
      <c r="A1496" s="7">
        <v>42811</v>
      </c>
      <c r="B1496" s="43">
        <v>272</v>
      </c>
      <c r="C1496">
        <f t="shared" si="30"/>
        <v>2017</v>
      </c>
    </row>
    <row r="1497" spans="1:3" x14ac:dyDescent="0.35">
      <c r="A1497" s="7">
        <v>42810</v>
      </c>
      <c r="B1497" s="43">
        <v>274</v>
      </c>
      <c r="C1497">
        <f t="shared" si="30"/>
        <v>2017</v>
      </c>
    </row>
    <row r="1498" spans="1:3" x14ac:dyDescent="0.35">
      <c r="A1498" s="7">
        <v>42809</v>
      </c>
      <c r="B1498" s="43">
        <v>282</v>
      </c>
      <c r="C1498">
        <f t="shared" si="30"/>
        <v>2017</v>
      </c>
    </row>
    <row r="1499" spans="1:3" x14ac:dyDescent="0.35">
      <c r="A1499" s="7">
        <v>42808</v>
      </c>
      <c r="B1499" s="43">
        <v>291</v>
      </c>
      <c r="C1499">
        <f t="shared" si="30"/>
        <v>2017</v>
      </c>
    </row>
    <row r="1500" spans="1:3" x14ac:dyDescent="0.35">
      <c r="A1500" s="7">
        <v>42807</v>
      </c>
      <c r="B1500" s="43">
        <v>286</v>
      </c>
      <c r="C1500">
        <f t="shared" si="30"/>
        <v>2017</v>
      </c>
    </row>
    <row r="1501" spans="1:3" x14ac:dyDescent="0.35">
      <c r="A1501" s="7">
        <v>42804</v>
      </c>
      <c r="B1501" s="43">
        <v>280</v>
      </c>
      <c r="C1501">
        <f t="shared" si="30"/>
        <v>2017</v>
      </c>
    </row>
    <row r="1502" spans="1:3" x14ac:dyDescent="0.35">
      <c r="A1502" s="7">
        <v>42803</v>
      </c>
      <c r="B1502" s="43">
        <v>290</v>
      </c>
      <c r="C1502">
        <f t="shared" si="30"/>
        <v>2017</v>
      </c>
    </row>
    <row r="1503" spans="1:3" x14ac:dyDescent="0.35">
      <c r="A1503" s="7">
        <v>42802</v>
      </c>
      <c r="B1503" s="43">
        <v>287</v>
      </c>
      <c r="C1503">
        <f t="shared" si="30"/>
        <v>2017</v>
      </c>
    </row>
    <row r="1504" spans="1:3" x14ac:dyDescent="0.35">
      <c r="A1504" s="7">
        <v>42801</v>
      </c>
      <c r="B1504" s="43">
        <v>274</v>
      </c>
      <c r="C1504">
        <f t="shared" si="30"/>
        <v>2017</v>
      </c>
    </row>
    <row r="1505" spans="1:3" x14ac:dyDescent="0.35">
      <c r="A1505" s="7">
        <v>42800</v>
      </c>
      <c r="B1505" s="43">
        <v>272</v>
      </c>
      <c r="C1505">
        <f t="shared" si="30"/>
        <v>2017</v>
      </c>
    </row>
    <row r="1506" spans="1:3" x14ac:dyDescent="0.35">
      <c r="A1506" s="7">
        <v>42797</v>
      </c>
      <c r="B1506" s="43">
        <v>273</v>
      </c>
      <c r="C1506">
        <f t="shared" si="30"/>
        <v>2017</v>
      </c>
    </row>
    <row r="1507" spans="1:3" x14ac:dyDescent="0.35">
      <c r="A1507" s="7">
        <v>42796</v>
      </c>
      <c r="B1507" s="43">
        <v>280</v>
      </c>
      <c r="C1507">
        <f t="shared" si="30"/>
        <v>2017</v>
      </c>
    </row>
    <row r="1508" spans="1:3" x14ac:dyDescent="0.35">
      <c r="A1508" s="7">
        <v>42795</v>
      </c>
      <c r="B1508" s="43">
        <v>275</v>
      </c>
      <c r="C1508">
        <f t="shared" si="30"/>
        <v>2017</v>
      </c>
    </row>
    <row r="1509" spans="1:3" x14ac:dyDescent="0.35">
      <c r="A1509" s="7">
        <v>42794</v>
      </c>
      <c r="B1509" s="43">
        <v>286</v>
      </c>
      <c r="C1509">
        <f t="shared" si="30"/>
        <v>2017</v>
      </c>
    </row>
    <row r="1510" spans="1:3" x14ac:dyDescent="0.35">
      <c r="A1510" s="7">
        <v>42793</v>
      </c>
      <c r="B1510" s="43">
        <v>277</v>
      </c>
      <c r="C1510">
        <f t="shared" si="30"/>
        <v>2017</v>
      </c>
    </row>
    <row r="1511" spans="1:3" x14ac:dyDescent="0.35">
      <c r="A1511" s="7">
        <v>42790</v>
      </c>
      <c r="B1511" s="43">
        <v>277</v>
      </c>
      <c r="C1511">
        <f t="shared" si="30"/>
        <v>2017</v>
      </c>
    </row>
    <row r="1512" spans="1:3" x14ac:dyDescent="0.35">
      <c r="A1512" s="7">
        <v>42789</v>
      </c>
      <c r="B1512" s="43">
        <v>272</v>
      </c>
      <c r="C1512">
        <f t="shared" si="30"/>
        <v>2017</v>
      </c>
    </row>
    <row r="1513" spans="1:3" x14ac:dyDescent="0.35">
      <c r="A1513" s="7">
        <v>42788</v>
      </c>
      <c r="B1513" s="43">
        <v>277</v>
      </c>
      <c r="C1513">
        <f t="shared" si="30"/>
        <v>2017</v>
      </c>
    </row>
    <row r="1514" spans="1:3" x14ac:dyDescent="0.35">
      <c r="A1514" s="7">
        <v>42787</v>
      </c>
      <c r="B1514" s="43">
        <v>279</v>
      </c>
      <c r="C1514">
        <f t="shared" si="30"/>
        <v>2017</v>
      </c>
    </row>
    <row r="1515" spans="1:3" x14ac:dyDescent="0.35">
      <c r="A1515" s="7">
        <v>42786</v>
      </c>
      <c r="B1515" s="43">
        <v>282</v>
      </c>
      <c r="C1515">
        <f t="shared" si="30"/>
        <v>2017</v>
      </c>
    </row>
    <row r="1516" spans="1:3" x14ac:dyDescent="0.35">
      <c r="A1516" s="7">
        <v>42783</v>
      </c>
      <c r="B1516" s="43">
        <v>282</v>
      </c>
      <c r="C1516">
        <f t="shared" si="30"/>
        <v>2017</v>
      </c>
    </row>
    <row r="1517" spans="1:3" x14ac:dyDescent="0.35">
      <c r="A1517" s="7">
        <v>42782</v>
      </c>
      <c r="B1517" s="43">
        <v>280</v>
      </c>
      <c r="C1517">
        <f t="shared" si="30"/>
        <v>2017</v>
      </c>
    </row>
    <row r="1518" spans="1:3" x14ac:dyDescent="0.35">
      <c r="A1518" s="7">
        <v>42781</v>
      </c>
      <c r="B1518" s="43">
        <v>271</v>
      </c>
      <c r="C1518">
        <f t="shared" si="30"/>
        <v>2017</v>
      </c>
    </row>
    <row r="1519" spans="1:3" x14ac:dyDescent="0.35">
      <c r="A1519" s="7">
        <v>42780</v>
      </c>
      <c r="B1519" s="43">
        <v>266</v>
      </c>
      <c r="C1519">
        <f t="shared" si="30"/>
        <v>2017</v>
      </c>
    </row>
    <row r="1520" spans="1:3" x14ac:dyDescent="0.35">
      <c r="A1520" s="7">
        <v>42779</v>
      </c>
      <c r="B1520" s="43">
        <v>268</v>
      </c>
      <c r="C1520">
        <f t="shared" si="30"/>
        <v>2017</v>
      </c>
    </row>
    <row r="1521" spans="1:3" x14ac:dyDescent="0.35">
      <c r="A1521" s="7">
        <v>42776</v>
      </c>
      <c r="B1521" s="43">
        <v>272</v>
      </c>
      <c r="C1521">
        <f t="shared" si="30"/>
        <v>2017</v>
      </c>
    </row>
    <row r="1522" spans="1:3" x14ac:dyDescent="0.35">
      <c r="A1522" s="7">
        <v>42775</v>
      </c>
      <c r="B1522" s="43">
        <v>280</v>
      </c>
      <c r="C1522">
        <f t="shared" si="30"/>
        <v>2017</v>
      </c>
    </row>
    <row r="1523" spans="1:3" x14ac:dyDescent="0.35">
      <c r="A1523" s="7">
        <v>42774</v>
      </c>
      <c r="B1523" s="43">
        <v>284</v>
      </c>
      <c r="C1523">
        <f t="shared" si="30"/>
        <v>2017</v>
      </c>
    </row>
    <row r="1524" spans="1:3" x14ac:dyDescent="0.35">
      <c r="A1524" s="7">
        <v>42773</v>
      </c>
      <c r="B1524" s="43">
        <v>287</v>
      </c>
      <c r="C1524">
        <f t="shared" si="30"/>
        <v>2017</v>
      </c>
    </row>
    <row r="1525" spans="1:3" x14ac:dyDescent="0.35">
      <c r="A1525" s="7">
        <v>42772</v>
      </c>
      <c r="B1525" s="43">
        <v>277</v>
      </c>
      <c r="C1525">
        <f t="shared" si="30"/>
        <v>2017</v>
      </c>
    </row>
    <row r="1526" spans="1:3" x14ac:dyDescent="0.35">
      <c r="A1526" s="7">
        <v>42769</v>
      </c>
      <c r="B1526" s="43">
        <v>276</v>
      </c>
      <c r="C1526">
        <f t="shared" si="30"/>
        <v>2017</v>
      </c>
    </row>
    <row r="1527" spans="1:3" x14ac:dyDescent="0.35">
      <c r="A1527" s="7">
        <v>42768</v>
      </c>
      <c r="B1527" s="43">
        <v>281</v>
      </c>
      <c r="C1527">
        <f t="shared" si="30"/>
        <v>2017</v>
      </c>
    </row>
    <row r="1528" spans="1:3" x14ac:dyDescent="0.35">
      <c r="A1528" s="7">
        <v>42767</v>
      </c>
      <c r="B1528" s="43">
        <v>285</v>
      </c>
      <c r="C1528">
        <f t="shared" si="30"/>
        <v>2017</v>
      </c>
    </row>
    <row r="1529" spans="1:3" x14ac:dyDescent="0.35">
      <c r="A1529" s="7">
        <v>42766</v>
      </c>
      <c r="B1529" s="43">
        <v>289</v>
      </c>
      <c r="C1529">
        <f t="shared" si="30"/>
        <v>2017</v>
      </c>
    </row>
    <row r="1530" spans="1:3" x14ac:dyDescent="0.35">
      <c r="A1530" s="7">
        <v>42765</v>
      </c>
      <c r="B1530" s="43">
        <v>291</v>
      </c>
      <c r="C1530">
        <f t="shared" si="30"/>
        <v>2017</v>
      </c>
    </row>
    <row r="1531" spans="1:3" x14ac:dyDescent="0.35">
      <c r="A1531" s="7">
        <v>42762</v>
      </c>
      <c r="B1531" s="43">
        <v>284</v>
      </c>
      <c r="C1531">
        <f t="shared" si="30"/>
        <v>2017</v>
      </c>
    </row>
    <row r="1532" spans="1:3" x14ac:dyDescent="0.35">
      <c r="A1532" s="7">
        <v>42761</v>
      </c>
      <c r="B1532" s="43">
        <v>296</v>
      </c>
      <c r="C1532">
        <f t="shared" si="30"/>
        <v>2017</v>
      </c>
    </row>
    <row r="1533" spans="1:3" x14ac:dyDescent="0.35">
      <c r="A1533" s="7">
        <v>42760</v>
      </c>
      <c r="B1533" s="43">
        <v>296</v>
      </c>
      <c r="C1533">
        <f t="shared" si="30"/>
        <v>2017</v>
      </c>
    </row>
    <row r="1534" spans="1:3" x14ac:dyDescent="0.35">
      <c r="A1534" s="7">
        <v>42759</v>
      </c>
      <c r="B1534" s="43">
        <v>293</v>
      </c>
      <c r="C1534">
        <f t="shared" si="30"/>
        <v>2017</v>
      </c>
    </row>
    <row r="1535" spans="1:3" x14ac:dyDescent="0.35">
      <c r="A1535" s="7">
        <v>42758</v>
      </c>
      <c r="B1535" s="43">
        <v>295</v>
      </c>
      <c r="C1535">
        <f t="shared" si="30"/>
        <v>2017</v>
      </c>
    </row>
    <row r="1536" spans="1:3" x14ac:dyDescent="0.35">
      <c r="A1536" s="7">
        <v>42755</v>
      </c>
      <c r="B1536" s="43">
        <v>294</v>
      </c>
      <c r="C1536">
        <f t="shared" si="30"/>
        <v>2017</v>
      </c>
    </row>
    <row r="1537" spans="1:3" x14ac:dyDescent="0.35">
      <c r="A1537" s="7">
        <v>42754</v>
      </c>
      <c r="B1537" s="43">
        <v>296</v>
      </c>
      <c r="C1537">
        <f t="shared" si="30"/>
        <v>2017</v>
      </c>
    </row>
    <row r="1538" spans="1:3" x14ac:dyDescent="0.35">
      <c r="A1538" s="7">
        <v>42753</v>
      </c>
      <c r="B1538" s="43">
        <v>291</v>
      </c>
      <c r="C1538">
        <f t="shared" si="30"/>
        <v>2017</v>
      </c>
    </row>
    <row r="1539" spans="1:3" x14ac:dyDescent="0.35">
      <c r="A1539" s="7">
        <v>42752</v>
      </c>
      <c r="B1539" s="43">
        <v>282</v>
      </c>
      <c r="C1539">
        <f t="shared" ref="C1539:C1602" si="31">YEAR(A1539)</f>
        <v>2017</v>
      </c>
    </row>
    <row r="1540" spans="1:3" x14ac:dyDescent="0.35">
      <c r="A1540" s="7">
        <v>42751</v>
      </c>
      <c r="B1540" s="43">
        <v>288</v>
      </c>
      <c r="C1540">
        <f t="shared" si="31"/>
        <v>2017</v>
      </c>
    </row>
    <row r="1541" spans="1:3" x14ac:dyDescent="0.35">
      <c r="A1541" s="7">
        <v>42748</v>
      </c>
      <c r="B1541" s="43">
        <v>288</v>
      </c>
      <c r="C1541">
        <f t="shared" si="31"/>
        <v>2017</v>
      </c>
    </row>
    <row r="1542" spans="1:3" x14ac:dyDescent="0.35">
      <c r="A1542" s="7">
        <v>42747</v>
      </c>
      <c r="B1542" s="43">
        <v>298</v>
      </c>
      <c r="C1542">
        <f t="shared" si="31"/>
        <v>2017</v>
      </c>
    </row>
    <row r="1543" spans="1:3" x14ac:dyDescent="0.35">
      <c r="A1543" s="7">
        <v>42746</v>
      </c>
      <c r="B1543" s="43">
        <v>305</v>
      </c>
      <c r="C1543">
        <f t="shared" si="31"/>
        <v>2017</v>
      </c>
    </row>
    <row r="1544" spans="1:3" x14ac:dyDescent="0.35">
      <c r="A1544" s="7">
        <v>42745</v>
      </c>
      <c r="B1544" s="43">
        <v>305</v>
      </c>
      <c r="C1544">
        <f t="shared" si="31"/>
        <v>2017</v>
      </c>
    </row>
    <row r="1545" spans="1:3" x14ac:dyDescent="0.35">
      <c r="A1545" s="7">
        <v>42744</v>
      </c>
      <c r="B1545" s="43">
        <v>302</v>
      </c>
      <c r="C1545">
        <f t="shared" si="31"/>
        <v>2017</v>
      </c>
    </row>
    <row r="1546" spans="1:3" x14ac:dyDescent="0.35">
      <c r="A1546" s="7">
        <v>42741</v>
      </c>
      <c r="B1546" s="43">
        <v>301</v>
      </c>
      <c r="C1546">
        <f t="shared" si="31"/>
        <v>2017</v>
      </c>
    </row>
    <row r="1547" spans="1:3" x14ac:dyDescent="0.35">
      <c r="A1547" s="7">
        <v>42740</v>
      </c>
      <c r="B1547" s="43">
        <v>302</v>
      </c>
      <c r="C1547">
        <f t="shared" si="31"/>
        <v>2017</v>
      </c>
    </row>
    <row r="1548" spans="1:3" x14ac:dyDescent="0.35">
      <c r="A1548" s="7">
        <v>42739</v>
      </c>
      <c r="B1548" s="43">
        <v>311</v>
      </c>
      <c r="C1548">
        <f t="shared" si="31"/>
        <v>2017</v>
      </c>
    </row>
    <row r="1549" spans="1:3" x14ac:dyDescent="0.35">
      <c r="A1549" s="7">
        <v>42738</v>
      </c>
      <c r="B1549" s="43">
        <v>325</v>
      </c>
      <c r="C1549">
        <f t="shared" si="31"/>
        <v>2017</v>
      </c>
    </row>
    <row r="1550" spans="1:3" x14ac:dyDescent="0.35">
      <c r="A1550" s="7">
        <v>42737</v>
      </c>
      <c r="B1550" s="43">
        <v>328</v>
      </c>
      <c r="C1550">
        <f t="shared" si="31"/>
        <v>2017</v>
      </c>
    </row>
    <row r="1551" spans="1:3" x14ac:dyDescent="0.35">
      <c r="A1551" s="7">
        <v>42734</v>
      </c>
      <c r="B1551" s="43">
        <v>328</v>
      </c>
      <c r="C1551">
        <f t="shared" si="31"/>
        <v>2016</v>
      </c>
    </row>
    <row r="1552" spans="1:3" x14ac:dyDescent="0.35">
      <c r="A1552" s="7">
        <v>42733</v>
      </c>
      <c r="B1552" s="43">
        <v>325</v>
      </c>
      <c r="C1552">
        <f t="shared" si="31"/>
        <v>2016</v>
      </c>
    </row>
    <row r="1553" spans="1:3" x14ac:dyDescent="0.35">
      <c r="A1553" s="7">
        <v>42732</v>
      </c>
      <c r="B1553" s="43">
        <v>325</v>
      </c>
      <c r="C1553">
        <f t="shared" si="31"/>
        <v>2016</v>
      </c>
    </row>
    <row r="1554" spans="1:3" x14ac:dyDescent="0.35">
      <c r="A1554" s="7">
        <v>42731</v>
      </c>
      <c r="B1554" s="43">
        <v>322</v>
      </c>
      <c r="C1554">
        <f t="shared" si="31"/>
        <v>2016</v>
      </c>
    </row>
    <row r="1555" spans="1:3" x14ac:dyDescent="0.35">
      <c r="A1555" s="7">
        <v>42730</v>
      </c>
      <c r="B1555" s="43">
        <v>325</v>
      </c>
      <c r="C1555">
        <f t="shared" si="31"/>
        <v>2016</v>
      </c>
    </row>
    <row r="1556" spans="1:3" x14ac:dyDescent="0.35">
      <c r="A1556" s="7">
        <v>42727</v>
      </c>
      <c r="B1556" s="43">
        <v>325</v>
      </c>
      <c r="C1556">
        <f t="shared" si="31"/>
        <v>2016</v>
      </c>
    </row>
    <row r="1557" spans="1:3" x14ac:dyDescent="0.35">
      <c r="A1557" s="7">
        <v>42726</v>
      </c>
      <c r="B1557" s="43">
        <v>326</v>
      </c>
      <c r="C1557">
        <f t="shared" si="31"/>
        <v>2016</v>
      </c>
    </row>
    <row r="1558" spans="1:3" x14ac:dyDescent="0.35">
      <c r="A1558" s="7">
        <v>42725</v>
      </c>
      <c r="B1558" s="43">
        <v>323</v>
      </c>
      <c r="C1558">
        <f t="shared" si="31"/>
        <v>2016</v>
      </c>
    </row>
    <row r="1559" spans="1:3" x14ac:dyDescent="0.35">
      <c r="A1559" s="7">
        <v>42724</v>
      </c>
      <c r="B1559" s="43">
        <v>324</v>
      </c>
      <c r="C1559">
        <f t="shared" si="31"/>
        <v>2016</v>
      </c>
    </row>
    <row r="1560" spans="1:3" x14ac:dyDescent="0.35">
      <c r="A1560" s="7">
        <v>42723</v>
      </c>
      <c r="B1560" s="43">
        <v>327</v>
      </c>
      <c r="C1560">
        <f t="shared" si="31"/>
        <v>2016</v>
      </c>
    </row>
    <row r="1561" spans="1:3" x14ac:dyDescent="0.35">
      <c r="A1561" s="7">
        <v>42720</v>
      </c>
      <c r="B1561" s="43">
        <v>328</v>
      </c>
      <c r="C1561">
        <f t="shared" si="31"/>
        <v>2016</v>
      </c>
    </row>
    <row r="1562" spans="1:3" x14ac:dyDescent="0.35">
      <c r="A1562" s="7">
        <v>42719</v>
      </c>
      <c r="B1562" s="43">
        <v>332</v>
      </c>
      <c r="C1562">
        <f t="shared" si="31"/>
        <v>2016</v>
      </c>
    </row>
    <row r="1563" spans="1:3" x14ac:dyDescent="0.35">
      <c r="A1563" s="7">
        <v>42718</v>
      </c>
      <c r="B1563" s="43">
        <v>332</v>
      </c>
      <c r="C1563">
        <f t="shared" si="31"/>
        <v>2016</v>
      </c>
    </row>
    <row r="1564" spans="1:3" x14ac:dyDescent="0.35">
      <c r="A1564" s="7">
        <v>42717</v>
      </c>
      <c r="B1564" s="43">
        <v>324</v>
      </c>
      <c r="C1564">
        <f t="shared" si="31"/>
        <v>2016</v>
      </c>
    </row>
    <row r="1565" spans="1:3" x14ac:dyDescent="0.35">
      <c r="A1565" s="7">
        <v>42716</v>
      </c>
      <c r="B1565" s="43">
        <v>330</v>
      </c>
      <c r="C1565">
        <f t="shared" si="31"/>
        <v>2016</v>
      </c>
    </row>
    <row r="1566" spans="1:3" x14ac:dyDescent="0.35">
      <c r="A1566" s="7">
        <v>42713</v>
      </c>
      <c r="B1566" s="43">
        <v>328</v>
      </c>
      <c r="C1566">
        <f t="shared" si="31"/>
        <v>2016</v>
      </c>
    </row>
    <row r="1567" spans="1:3" x14ac:dyDescent="0.35">
      <c r="A1567" s="7">
        <v>42712</v>
      </c>
      <c r="B1567" s="43">
        <v>334</v>
      </c>
      <c r="C1567">
        <f t="shared" si="31"/>
        <v>2016</v>
      </c>
    </row>
    <row r="1568" spans="1:3" x14ac:dyDescent="0.35">
      <c r="A1568" s="7">
        <v>42711</v>
      </c>
      <c r="B1568" s="43">
        <v>336</v>
      </c>
      <c r="C1568">
        <f t="shared" si="31"/>
        <v>2016</v>
      </c>
    </row>
    <row r="1569" spans="1:3" x14ac:dyDescent="0.35">
      <c r="A1569" s="7">
        <v>42710</v>
      </c>
      <c r="B1569" s="43">
        <v>341</v>
      </c>
      <c r="C1569">
        <f t="shared" si="31"/>
        <v>2016</v>
      </c>
    </row>
    <row r="1570" spans="1:3" x14ac:dyDescent="0.35">
      <c r="A1570" s="7">
        <v>42709</v>
      </c>
      <c r="B1570" s="43">
        <v>342</v>
      </c>
      <c r="C1570">
        <f t="shared" si="31"/>
        <v>2016</v>
      </c>
    </row>
    <row r="1571" spans="1:3" x14ac:dyDescent="0.35">
      <c r="A1571" s="7">
        <v>42706</v>
      </c>
      <c r="B1571" s="43">
        <v>350</v>
      </c>
      <c r="C1571">
        <f t="shared" si="31"/>
        <v>2016</v>
      </c>
    </row>
    <row r="1572" spans="1:3" x14ac:dyDescent="0.35">
      <c r="A1572" s="7">
        <v>42705</v>
      </c>
      <c r="B1572" s="43">
        <v>348</v>
      </c>
      <c r="C1572">
        <f t="shared" si="31"/>
        <v>2016</v>
      </c>
    </row>
    <row r="1573" spans="1:3" x14ac:dyDescent="0.35">
      <c r="A1573" s="7">
        <v>42704</v>
      </c>
      <c r="B1573" s="43">
        <v>337</v>
      </c>
      <c r="C1573">
        <f t="shared" si="31"/>
        <v>2016</v>
      </c>
    </row>
    <row r="1574" spans="1:3" x14ac:dyDescent="0.35">
      <c r="A1574" s="7">
        <v>42703</v>
      </c>
      <c r="B1574" s="43">
        <v>337</v>
      </c>
      <c r="C1574">
        <f t="shared" si="31"/>
        <v>2016</v>
      </c>
    </row>
    <row r="1575" spans="1:3" x14ac:dyDescent="0.35">
      <c r="A1575" s="7">
        <v>42702</v>
      </c>
      <c r="B1575" s="43">
        <v>334</v>
      </c>
      <c r="C1575">
        <f t="shared" si="31"/>
        <v>2016</v>
      </c>
    </row>
    <row r="1576" spans="1:3" x14ac:dyDescent="0.35">
      <c r="A1576" s="7">
        <v>42699</v>
      </c>
      <c r="B1576" s="43">
        <v>337</v>
      </c>
      <c r="C1576">
        <f t="shared" si="31"/>
        <v>2016</v>
      </c>
    </row>
    <row r="1577" spans="1:3" x14ac:dyDescent="0.35">
      <c r="A1577" s="7">
        <v>42698</v>
      </c>
      <c r="B1577" s="43">
        <v>336</v>
      </c>
      <c r="C1577">
        <f t="shared" si="31"/>
        <v>2016</v>
      </c>
    </row>
    <row r="1578" spans="1:3" x14ac:dyDescent="0.35">
      <c r="A1578" s="7">
        <v>42697</v>
      </c>
      <c r="B1578" s="43">
        <v>336</v>
      </c>
      <c r="C1578">
        <f t="shared" si="31"/>
        <v>2016</v>
      </c>
    </row>
    <row r="1579" spans="1:3" x14ac:dyDescent="0.35">
      <c r="A1579" s="7">
        <v>42696</v>
      </c>
      <c r="B1579" s="43">
        <v>332</v>
      </c>
      <c r="C1579">
        <f t="shared" si="31"/>
        <v>2016</v>
      </c>
    </row>
    <row r="1580" spans="1:3" x14ac:dyDescent="0.35">
      <c r="A1580" s="7">
        <v>42695</v>
      </c>
      <c r="B1580" s="43">
        <v>333</v>
      </c>
      <c r="C1580">
        <f t="shared" si="31"/>
        <v>2016</v>
      </c>
    </row>
    <row r="1581" spans="1:3" x14ac:dyDescent="0.35">
      <c r="A1581" s="7">
        <v>42692</v>
      </c>
      <c r="B1581" s="43">
        <v>334</v>
      </c>
      <c r="C1581">
        <f t="shared" si="31"/>
        <v>2016</v>
      </c>
    </row>
    <row r="1582" spans="1:3" x14ac:dyDescent="0.35">
      <c r="A1582" s="7">
        <v>42691</v>
      </c>
      <c r="B1582" s="43">
        <v>331</v>
      </c>
      <c r="C1582">
        <f t="shared" si="31"/>
        <v>2016</v>
      </c>
    </row>
    <row r="1583" spans="1:3" x14ac:dyDescent="0.35">
      <c r="A1583" s="7">
        <v>42690</v>
      </c>
      <c r="B1583" s="43">
        <v>329</v>
      </c>
      <c r="C1583">
        <f t="shared" si="31"/>
        <v>2016</v>
      </c>
    </row>
    <row r="1584" spans="1:3" x14ac:dyDescent="0.35">
      <c r="A1584" s="7">
        <v>42689</v>
      </c>
      <c r="B1584" s="43">
        <v>330</v>
      </c>
      <c r="C1584">
        <f t="shared" si="31"/>
        <v>2016</v>
      </c>
    </row>
    <row r="1585" spans="1:3" x14ac:dyDescent="0.35">
      <c r="A1585" s="7">
        <v>42688</v>
      </c>
      <c r="B1585" s="43">
        <v>357</v>
      </c>
      <c r="C1585">
        <f t="shared" si="31"/>
        <v>2016</v>
      </c>
    </row>
    <row r="1586" spans="1:3" x14ac:dyDescent="0.35">
      <c r="A1586" s="7">
        <v>42685</v>
      </c>
      <c r="B1586" s="43">
        <v>341</v>
      </c>
      <c r="C1586">
        <f t="shared" si="31"/>
        <v>2016</v>
      </c>
    </row>
    <row r="1587" spans="1:3" x14ac:dyDescent="0.35">
      <c r="A1587" s="7">
        <v>42684</v>
      </c>
      <c r="B1587" s="43">
        <v>341</v>
      </c>
      <c r="C1587">
        <f t="shared" si="31"/>
        <v>2016</v>
      </c>
    </row>
    <row r="1588" spans="1:3" x14ac:dyDescent="0.35">
      <c r="A1588" s="7">
        <v>42683</v>
      </c>
      <c r="B1588" s="43">
        <v>306</v>
      </c>
      <c r="C1588">
        <f t="shared" si="31"/>
        <v>2016</v>
      </c>
    </row>
    <row r="1589" spans="1:3" x14ac:dyDescent="0.35">
      <c r="A1589" s="7">
        <v>42682</v>
      </c>
      <c r="B1589" s="43">
        <v>303</v>
      </c>
      <c r="C1589">
        <f t="shared" si="31"/>
        <v>2016</v>
      </c>
    </row>
    <row r="1590" spans="1:3" x14ac:dyDescent="0.35">
      <c r="A1590" s="7">
        <v>42681</v>
      </c>
      <c r="B1590" s="43">
        <v>314</v>
      </c>
      <c r="C1590">
        <f t="shared" si="31"/>
        <v>2016</v>
      </c>
    </row>
    <row r="1591" spans="1:3" x14ac:dyDescent="0.35">
      <c r="A1591" s="7">
        <v>42678</v>
      </c>
      <c r="B1591" s="43">
        <v>328</v>
      </c>
      <c r="C1591">
        <f t="shared" si="31"/>
        <v>2016</v>
      </c>
    </row>
    <row r="1592" spans="1:3" x14ac:dyDescent="0.35">
      <c r="A1592" s="7">
        <v>42677</v>
      </c>
      <c r="B1592" s="43">
        <v>327</v>
      </c>
      <c r="C1592">
        <f t="shared" si="31"/>
        <v>2016</v>
      </c>
    </row>
    <row r="1593" spans="1:3" x14ac:dyDescent="0.35">
      <c r="A1593" s="7">
        <v>42676</v>
      </c>
      <c r="B1593" s="43">
        <v>328</v>
      </c>
      <c r="C1593">
        <f t="shared" si="31"/>
        <v>2016</v>
      </c>
    </row>
    <row r="1594" spans="1:3" x14ac:dyDescent="0.35">
      <c r="A1594" s="7">
        <v>42675</v>
      </c>
      <c r="B1594" s="43">
        <v>323</v>
      </c>
      <c r="C1594">
        <f t="shared" si="31"/>
        <v>2016</v>
      </c>
    </row>
    <row r="1595" spans="1:3" x14ac:dyDescent="0.35">
      <c r="A1595" s="7">
        <v>42674</v>
      </c>
      <c r="B1595" s="43">
        <v>313</v>
      </c>
      <c r="C1595">
        <f t="shared" si="31"/>
        <v>2016</v>
      </c>
    </row>
    <row r="1596" spans="1:3" x14ac:dyDescent="0.35">
      <c r="A1596" s="7">
        <v>42671</v>
      </c>
      <c r="B1596" s="43">
        <v>308</v>
      </c>
      <c r="C1596">
        <f t="shared" si="31"/>
        <v>2016</v>
      </c>
    </row>
    <row r="1597" spans="1:3" x14ac:dyDescent="0.35">
      <c r="A1597" s="7">
        <v>42670</v>
      </c>
      <c r="B1597" s="43">
        <v>313</v>
      </c>
      <c r="C1597">
        <f t="shared" si="31"/>
        <v>2016</v>
      </c>
    </row>
    <row r="1598" spans="1:3" x14ac:dyDescent="0.35">
      <c r="A1598" s="7">
        <v>42669</v>
      </c>
      <c r="B1598" s="43">
        <v>309</v>
      </c>
      <c r="C1598">
        <f t="shared" si="31"/>
        <v>2016</v>
      </c>
    </row>
    <row r="1599" spans="1:3" x14ac:dyDescent="0.35">
      <c r="A1599" s="7">
        <v>42668</v>
      </c>
      <c r="B1599" s="43">
        <v>307</v>
      </c>
      <c r="C1599">
        <f t="shared" si="31"/>
        <v>2016</v>
      </c>
    </row>
    <row r="1600" spans="1:3" x14ac:dyDescent="0.35">
      <c r="A1600" s="7">
        <v>42667</v>
      </c>
      <c r="B1600" s="43">
        <v>305</v>
      </c>
      <c r="C1600">
        <f t="shared" si="31"/>
        <v>2016</v>
      </c>
    </row>
    <row r="1601" spans="1:3" x14ac:dyDescent="0.35">
      <c r="A1601" s="7">
        <v>42664</v>
      </c>
      <c r="B1601" s="43">
        <v>308</v>
      </c>
      <c r="C1601">
        <f t="shared" si="31"/>
        <v>2016</v>
      </c>
    </row>
    <row r="1602" spans="1:3" x14ac:dyDescent="0.35">
      <c r="A1602" s="7">
        <v>42663</v>
      </c>
      <c r="B1602" s="43">
        <v>308</v>
      </c>
      <c r="C1602">
        <f t="shared" si="31"/>
        <v>2016</v>
      </c>
    </row>
    <row r="1603" spans="1:3" x14ac:dyDescent="0.35">
      <c r="A1603" s="7">
        <v>42662</v>
      </c>
      <c r="B1603" s="43">
        <v>311</v>
      </c>
      <c r="C1603">
        <f t="shared" ref="C1603:C1666" si="32">YEAR(A1603)</f>
        <v>2016</v>
      </c>
    </row>
    <row r="1604" spans="1:3" x14ac:dyDescent="0.35">
      <c r="A1604" s="7">
        <v>42661</v>
      </c>
      <c r="B1604" s="43">
        <v>314</v>
      </c>
      <c r="C1604">
        <f t="shared" si="32"/>
        <v>2016</v>
      </c>
    </row>
    <row r="1605" spans="1:3" x14ac:dyDescent="0.35">
      <c r="A1605" s="7">
        <v>42660</v>
      </c>
      <c r="B1605" s="43">
        <v>314</v>
      </c>
      <c r="C1605">
        <f t="shared" si="32"/>
        <v>2016</v>
      </c>
    </row>
    <row r="1606" spans="1:3" x14ac:dyDescent="0.35">
      <c r="A1606" s="7">
        <v>42657</v>
      </c>
      <c r="B1606" s="43">
        <v>309</v>
      </c>
      <c r="C1606">
        <f t="shared" si="32"/>
        <v>2016</v>
      </c>
    </row>
    <row r="1607" spans="1:3" x14ac:dyDescent="0.35">
      <c r="A1607" s="7">
        <v>42656</v>
      </c>
      <c r="B1607" s="43">
        <v>313</v>
      </c>
      <c r="C1607">
        <f t="shared" si="32"/>
        <v>2016</v>
      </c>
    </row>
    <row r="1608" spans="1:3" x14ac:dyDescent="0.35">
      <c r="A1608" s="7">
        <v>42655</v>
      </c>
      <c r="B1608" s="43">
        <v>314</v>
      </c>
      <c r="C1608">
        <f t="shared" si="32"/>
        <v>2016</v>
      </c>
    </row>
    <row r="1609" spans="1:3" x14ac:dyDescent="0.35">
      <c r="A1609" s="7">
        <v>42654</v>
      </c>
      <c r="B1609" s="43">
        <v>319</v>
      </c>
      <c r="C1609">
        <f t="shared" si="32"/>
        <v>2016</v>
      </c>
    </row>
    <row r="1610" spans="1:3" x14ac:dyDescent="0.35">
      <c r="A1610" s="7">
        <v>42653</v>
      </c>
      <c r="B1610" s="43">
        <v>317</v>
      </c>
      <c r="C1610">
        <f t="shared" si="32"/>
        <v>2016</v>
      </c>
    </row>
    <row r="1611" spans="1:3" x14ac:dyDescent="0.35">
      <c r="A1611" s="7">
        <v>42650</v>
      </c>
      <c r="B1611" s="43">
        <v>317</v>
      </c>
      <c r="C1611">
        <f t="shared" si="32"/>
        <v>2016</v>
      </c>
    </row>
    <row r="1612" spans="1:3" x14ac:dyDescent="0.35">
      <c r="A1612" s="7">
        <v>42649</v>
      </c>
      <c r="B1612" s="43">
        <v>317</v>
      </c>
      <c r="C1612">
        <f t="shared" si="32"/>
        <v>2016</v>
      </c>
    </row>
    <row r="1613" spans="1:3" x14ac:dyDescent="0.35">
      <c r="A1613" s="7">
        <v>42648</v>
      </c>
      <c r="B1613" s="43">
        <v>319</v>
      </c>
      <c r="C1613">
        <f t="shared" si="32"/>
        <v>2016</v>
      </c>
    </row>
    <row r="1614" spans="1:3" x14ac:dyDescent="0.35">
      <c r="A1614" s="7">
        <v>42647</v>
      </c>
      <c r="B1614" s="43">
        <v>318</v>
      </c>
      <c r="C1614">
        <f t="shared" si="32"/>
        <v>2016</v>
      </c>
    </row>
    <row r="1615" spans="1:3" x14ac:dyDescent="0.35">
      <c r="A1615" s="7">
        <v>42646</v>
      </c>
      <c r="B1615" s="43">
        <v>315</v>
      </c>
      <c r="C1615">
        <f t="shared" si="32"/>
        <v>2016</v>
      </c>
    </row>
    <row r="1616" spans="1:3" x14ac:dyDescent="0.35">
      <c r="A1616" s="7">
        <v>42643</v>
      </c>
      <c r="B1616" s="43">
        <v>319</v>
      </c>
      <c r="C1616">
        <f t="shared" si="32"/>
        <v>2016</v>
      </c>
    </row>
    <row r="1617" spans="1:3" x14ac:dyDescent="0.35">
      <c r="A1617" s="7">
        <v>42642</v>
      </c>
      <c r="B1617" s="43">
        <v>318</v>
      </c>
      <c r="C1617">
        <f t="shared" si="32"/>
        <v>2016</v>
      </c>
    </row>
    <row r="1618" spans="1:3" x14ac:dyDescent="0.35">
      <c r="A1618" s="7">
        <v>42641</v>
      </c>
      <c r="B1618" s="43">
        <v>311</v>
      </c>
      <c r="C1618">
        <f t="shared" si="32"/>
        <v>2016</v>
      </c>
    </row>
    <row r="1619" spans="1:3" x14ac:dyDescent="0.35">
      <c r="A1619" s="7">
        <v>42640</v>
      </c>
      <c r="B1619" s="43">
        <v>322</v>
      </c>
      <c r="C1619">
        <f t="shared" si="32"/>
        <v>2016</v>
      </c>
    </row>
    <row r="1620" spans="1:3" x14ac:dyDescent="0.35">
      <c r="A1620" s="7">
        <v>42639</v>
      </c>
      <c r="B1620" s="43">
        <v>320</v>
      </c>
      <c r="C1620">
        <f t="shared" si="32"/>
        <v>2016</v>
      </c>
    </row>
    <row r="1621" spans="1:3" x14ac:dyDescent="0.35">
      <c r="A1621" s="7">
        <v>42636</v>
      </c>
      <c r="B1621" s="43">
        <v>315</v>
      </c>
      <c r="C1621">
        <f t="shared" si="32"/>
        <v>2016</v>
      </c>
    </row>
    <row r="1622" spans="1:3" x14ac:dyDescent="0.35">
      <c r="A1622" s="7">
        <v>42635</v>
      </c>
      <c r="B1622" s="43">
        <v>306</v>
      </c>
      <c r="C1622">
        <f t="shared" si="32"/>
        <v>2016</v>
      </c>
    </row>
    <row r="1623" spans="1:3" x14ac:dyDescent="0.35">
      <c r="A1623" s="7">
        <v>42634</v>
      </c>
      <c r="B1623" s="43">
        <v>312</v>
      </c>
      <c r="C1623">
        <f t="shared" si="32"/>
        <v>2016</v>
      </c>
    </row>
    <row r="1624" spans="1:3" x14ac:dyDescent="0.35">
      <c r="A1624" s="7">
        <v>42633</v>
      </c>
      <c r="B1624" s="43">
        <v>328</v>
      </c>
      <c r="C1624">
        <f t="shared" si="32"/>
        <v>2016</v>
      </c>
    </row>
    <row r="1625" spans="1:3" x14ac:dyDescent="0.35">
      <c r="A1625" s="7">
        <v>42632</v>
      </c>
      <c r="B1625" s="43">
        <v>334</v>
      </c>
      <c r="C1625">
        <f t="shared" si="32"/>
        <v>2016</v>
      </c>
    </row>
    <row r="1626" spans="1:3" x14ac:dyDescent="0.35">
      <c r="A1626" s="7">
        <v>42629</v>
      </c>
      <c r="B1626" s="43">
        <v>340</v>
      </c>
      <c r="C1626">
        <f t="shared" si="32"/>
        <v>2016</v>
      </c>
    </row>
    <row r="1627" spans="1:3" x14ac:dyDescent="0.35">
      <c r="A1627" s="7">
        <v>42628</v>
      </c>
      <c r="B1627" s="43">
        <v>331</v>
      </c>
      <c r="C1627">
        <f t="shared" si="32"/>
        <v>2016</v>
      </c>
    </row>
    <row r="1628" spans="1:3" x14ac:dyDescent="0.35">
      <c r="A1628" s="7">
        <v>42627</v>
      </c>
      <c r="B1628" s="43">
        <v>333</v>
      </c>
      <c r="C1628">
        <f t="shared" si="32"/>
        <v>2016</v>
      </c>
    </row>
    <row r="1629" spans="1:3" x14ac:dyDescent="0.35">
      <c r="A1629" s="7">
        <v>42626</v>
      </c>
      <c r="B1629" s="43">
        <v>325</v>
      </c>
      <c r="C1629">
        <f t="shared" si="32"/>
        <v>2016</v>
      </c>
    </row>
    <row r="1630" spans="1:3" x14ac:dyDescent="0.35">
      <c r="A1630" s="7">
        <v>42625</v>
      </c>
      <c r="B1630" s="43">
        <v>313</v>
      </c>
      <c r="C1630">
        <f t="shared" si="32"/>
        <v>2016</v>
      </c>
    </row>
    <row r="1631" spans="1:3" x14ac:dyDescent="0.35">
      <c r="A1631" s="7">
        <v>42622</v>
      </c>
      <c r="B1631" s="43">
        <v>314</v>
      </c>
      <c r="C1631">
        <f t="shared" si="32"/>
        <v>2016</v>
      </c>
    </row>
    <row r="1632" spans="1:3" x14ac:dyDescent="0.35">
      <c r="A1632" s="7">
        <v>42621</v>
      </c>
      <c r="B1632" s="43">
        <v>303</v>
      </c>
      <c r="C1632">
        <f t="shared" si="32"/>
        <v>2016</v>
      </c>
    </row>
    <row r="1633" spans="1:3" x14ac:dyDescent="0.35">
      <c r="A1633" s="7">
        <v>42620</v>
      </c>
      <c r="B1633" s="43">
        <v>303</v>
      </c>
      <c r="C1633">
        <f t="shared" si="32"/>
        <v>2016</v>
      </c>
    </row>
    <row r="1634" spans="1:3" x14ac:dyDescent="0.35">
      <c r="A1634" s="7">
        <v>42619</v>
      </c>
      <c r="B1634" s="43">
        <v>309</v>
      </c>
      <c r="C1634">
        <f t="shared" si="32"/>
        <v>2016</v>
      </c>
    </row>
    <row r="1635" spans="1:3" x14ac:dyDescent="0.35">
      <c r="A1635" s="7">
        <v>42618</v>
      </c>
      <c r="B1635" s="43">
        <v>309</v>
      </c>
      <c r="C1635">
        <f t="shared" si="32"/>
        <v>2016</v>
      </c>
    </row>
    <row r="1636" spans="1:3" x14ac:dyDescent="0.35">
      <c r="A1636" s="7">
        <v>42615</v>
      </c>
      <c r="B1636" s="43">
        <v>309</v>
      </c>
      <c r="C1636">
        <f t="shared" si="32"/>
        <v>2016</v>
      </c>
    </row>
    <row r="1637" spans="1:3" x14ac:dyDescent="0.35">
      <c r="A1637" s="7">
        <v>42614</v>
      </c>
      <c r="B1637" s="43">
        <v>315</v>
      </c>
      <c r="C1637">
        <f t="shared" si="32"/>
        <v>2016</v>
      </c>
    </row>
    <row r="1638" spans="1:3" x14ac:dyDescent="0.35">
      <c r="A1638" s="7">
        <v>42613</v>
      </c>
      <c r="B1638" s="43">
        <v>309</v>
      </c>
      <c r="C1638">
        <f t="shared" si="32"/>
        <v>2016</v>
      </c>
    </row>
    <row r="1639" spans="1:3" x14ac:dyDescent="0.35">
      <c r="A1639" s="7">
        <v>42612</v>
      </c>
      <c r="B1639" s="43">
        <v>306</v>
      </c>
      <c r="C1639">
        <f t="shared" si="32"/>
        <v>2016</v>
      </c>
    </row>
    <row r="1640" spans="1:3" x14ac:dyDescent="0.35">
      <c r="A1640" s="7">
        <v>42611</v>
      </c>
      <c r="B1640" s="43">
        <v>304</v>
      </c>
      <c r="C1640">
        <f t="shared" si="32"/>
        <v>2016</v>
      </c>
    </row>
    <row r="1641" spans="1:3" x14ac:dyDescent="0.35">
      <c r="A1641" s="7">
        <v>42608</v>
      </c>
      <c r="B1641" s="43">
        <v>299</v>
      </c>
      <c r="C1641">
        <f t="shared" si="32"/>
        <v>2016</v>
      </c>
    </row>
    <row r="1642" spans="1:3" x14ac:dyDescent="0.35">
      <c r="A1642" s="7">
        <v>42607</v>
      </c>
      <c r="B1642" s="43">
        <v>306</v>
      </c>
      <c r="C1642">
        <f t="shared" si="32"/>
        <v>2016</v>
      </c>
    </row>
    <row r="1643" spans="1:3" x14ac:dyDescent="0.35">
      <c r="A1643" s="7">
        <v>42606</v>
      </c>
      <c r="B1643" s="43">
        <v>305</v>
      </c>
      <c r="C1643">
        <f t="shared" si="32"/>
        <v>2016</v>
      </c>
    </row>
    <row r="1644" spans="1:3" x14ac:dyDescent="0.35">
      <c r="A1644" s="7">
        <v>42605</v>
      </c>
      <c r="B1644" s="43">
        <v>302</v>
      </c>
      <c r="C1644">
        <f t="shared" si="32"/>
        <v>2016</v>
      </c>
    </row>
    <row r="1645" spans="1:3" x14ac:dyDescent="0.35">
      <c r="A1645" s="7">
        <v>42604</v>
      </c>
      <c r="B1645" s="43">
        <v>303</v>
      </c>
      <c r="C1645">
        <f t="shared" si="32"/>
        <v>2016</v>
      </c>
    </row>
    <row r="1646" spans="1:3" x14ac:dyDescent="0.35">
      <c r="A1646" s="7">
        <v>42601</v>
      </c>
      <c r="B1646" s="43">
        <v>296</v>
      </c>
      <c r="C1646">
        <f t="shared" si="32"/>
        <v>2016</v>
      </c>
    </row>
    <row r="1647" spans="1:3" x14ac:dyDescent="0.35">
      <c r="A1647" s="7">
        <v>42600</v>
      </c>
      <c r="B1647" s="43">
        <v>297</v>
      </c>
      <c r="C1647">
        <f t="shared" si="32"/>
        <v>2016</v>
      </c>
    </row>
    <row r="1648" spans="1:3" x14ac:dyDescent="0.35">
      <c r="A1648" s="7">
        <v>42599</v>
      </c>
      <c r="B1648" s="43">
        <v>298</v>
      </c>
      <c r="C1648">
        <f t="shared" si="32"/>
        <v>2016</v>
      </c>
    </row>
    <row r="1649" spans="1:3" x14ac:dyDescent="0.35">
      <c r="A1649" s="7">
        <v>42598</v>
      </c>
      <c r="B1649" s="43">
        <v>292</v>
      </c>
      <c r="C1649">
        <f t="shared" si="32"/>
        <v>2016</v>
      </c>
    </row>
    <row r="1650" spans="1:3" x14ac:dyDescent="0.35">
      <c r="A1650" s="7">
        <v>42597</v>
      </c>
      <c r="B1650" s="43">
        <v>299</v>
      </c>
      <c r="C1650">
        <f t="shared" si="32"/>
        <v>2016</v>
      </c>
    </row>
    <row r="1651" spans="1:3" x14ac:dyDescent="0.35">
      <c r="A1651" s="7">
        <v>42594</v>
      </c>
      <c r="B1651" s="43">
        <v>306</v>
      </c>
      <c r="C1651">
        <f t="shared" si="32"/>
        <v>2016</v>
      </c>
    </row>
    <row r="1652" spans="1:3" x14ac:dyDescent="0.35">
      <c r="A1652" s="7">
        <v>42593</v>
      </c>
      <c r="B1652" s="43">
        <v>309</v>
      </c>
      <c r="C1652">
        <f t="shared" si="32"/>
        <v>2016</v>
      </c>
    </row>
    <row r="1653" spans="1:3" x14ac:dyDescent="0.35">
      <c r="A1653" s="7">
        <v>42592</v>
      </c>
      <c r="B1653" s="43">
        <v>316</v>
      </c>
      <c r="C1653">
        <f t="shared" si="32"/>
        <v>2016</v>
      </c>
    </row>
    <row r="1654" spans="1:3" x14ac:dyDescent="0.35">
      <c r="A1654" s="7">
        <v>42591</v>
      </c>
      <c r="B1654" s="43">
        <v>320</v>
      </c>
      <c r="C1654">
        <f t="shared" si="32"/>
        <v>2016</v>
      </c>
    </row>
    <row r="1655" spans="1:3" x14ac:dyDescent="0.35">
      <c r="A1655" s="7">
        <v>42590</v>
      </c>
      <c r="B1655" s="43">
        <v>317</v>
      </c>
      <c r="C1655">
        <f t="shared" si="32"/>
        <v>2016</v>
      </c>
    </row>
    <row r="1656" spans="1:3" x14ac:dyDescent="0.35">
      <c r="A1656" s="7">
        <v>42587</v>
      </c>
      <c r="B1656" s="43">
        <v>319</v>
      </c>
      <c r="C1656">
        <f t="shared" si="32"/>
        <v>2016</v>
      </c>
    </row>
    <row r="1657" spans="1:3" x14ac:dyDescent="0.35">
      <c r="A1657" s="7">
        <v>42586</v>
      </c>
      <c r="B1657" s="43">
        <v>325</v>
      </c>
      <c r="C1657">
        <f t="shared" si="32"/>
        <v>2016</v>
      </c>
    </row>
    <row r="1658" spans="1:3" x14ac:dyDescent="0.35">
      <c r="A1658" s="7">
        <v>42585</v>
      </c>
      <c r="B1658" s="43">
        <v>327</v>
      </c>
      <c r="C1658">
        <f t="shared" si="32"/>
        <v>2016</v>
      </c>
    </row>
    <row r="1659" spans="1:3" x14ac:dyDescent="0.35">
      <c r="A1659" s="7">
        <v>42584</v>
      </c>
      <c r="B1659" s="43">
        <v>331</v>
      </c>
      <c r="C1659">
        <f t="shared" si="32"/>
        <v>2016</v>
      </c>
    </row>
    <row r="1660" spans="1:3" x14ac:dyDescent="0.35">
      <c r="A1660" s="7">
        <v>42583</v>
      </c>
      <c r="B1660" s="43">
        <v>336</v>
      </c>
      <c r="C1660">
        <f t="shared" si="32"/>
        <v>2016</v>
      </c>
    </row>
    <row r="1661" spans="1:3" x14ac:dyDescent="0.35">
      <c r="A1661" s="7">
        <v>42580</v>
      </c>
      <c r="B1661" s="43">
        <v>339</v>
      </c>
      <c r="C1661">
        <f t="shared" si="32"/>
        <v>2016</v>
      </c>
    </row>
    <row r="1662" spans="1:3" x14ac:dyDescent="0.35">
      <c r="A1662" s="7">
        <v>42579</v>
      </c>
      <c r="B1662" s="43">
        <v>340</v>
      </c>
      <c r="C1662">
        <f t="shared" si="32"/>
        <v>2016</v>
      </c>
    </row>
    <row r="1663" spans="1:3" x14ac:dyDescent="0.35">
      <c r="A1663" s="7">
        <v>42578</v>
      </c>
      <c r="B1663" s="43">
        <v>344</v>
      </c>
      <c r="C1663">
        <f t="shared" si="32"/>
        <v>2016</v>
      </c>
    </row>
    <row r="1664" spans="1:3" x14ac:dyDescent="0.35">
      <c r="A1664" s="7">
        <v>42577</v>
      </c>
      <c r="B1664" s="43">
        <v>343</v>
      </c>
      <c r="C1664">
        <f t="shared" si="32"/>
        <v>2016</v>
      </c>
    </row>
    <row r="1665" spans="1:3" x14ac:dyDescent="0.35">
      <c r="A1665" s="7">
        <v>42576</v>
      </c>
      <c r="B1665" s="43">
        <v>341</v>
      </c>
      <c r="C1665">
        <f t="shared" si="32"/>
        <v>2016</v>
      </c>
    </row>
    <row r="1666" spans="1:3" x14ac:dyDescent="0.35">
      <c r="A1666" s="7">
        <v>42573</v>
      </c>
      <c r="B1666" s="43">
        <v>338</v>
      </c>
      <c r="C1666">
        <f t="shared" si="32"/>
        <v>2016</v>
      </c>
    </row>
    <row r="1667" spans="1:3" x14ac:dyDescent="0.35">
      <c r="A1667" s="7">
        <v>42572</v>
      </c>
      <c r="B1667" s="43">
        <v>337</v>
      </c>
      <c r="C1667">
        <f t="shared" ref="C1667:C1730" si="33">YEAR(A1667)</f>
        <v>2016</v>
      </c>
    </row>
    <row r="1668" spans="1:3" x14ac:dyDescent="0.35">
      <c r="A1668" s="7">
        <v>42571</v>
      </c>
      <c r="B1668" s="43">
        <v>330</v>
      </c>
      <c r="C1668">
        <f t="shared" si="33"/>
        <v>2016</v>
      </c>
    </row>
    <row r="1669" spans="1:3" x14ac:dyDescent="0.35">
      <c r="A1669" s="7">
        <v>42570</v>
      </c>
      <c r="B1669" s="43">
        <v>332</v>
      </c>
      <c r="C1669">
        <f t="shared" si="33"/>
        <v>2016</v>
      </c>
    </row>
    <row r="1670" spans="1:3" x14ac:dyDescent="0.35">
      <c r="A1670" s="7">
        <v>42569</v>
      </c>
      <c r="B1670" s="43">
        <v>332</v>
      </c>
      <c r="C1670">
        <f t="shared" si="33"/>
        <v>2016</v>
      </c>
    </row>
    <row r="1671" spans="1:3" x14ac:dyDescent="0.35">
      <c r="A1671" s="7">
        <v>42566</v>
      </c>
      <c r="B1671" s="43">
        <v>331</v>
      </c>
      <c r="C1671">
        <f t="shared" si="33"/>
        <v>2016</v>
      </c>
    </row>
    <row r="1672" spans="1:3" x14ac:dyDescent="0.35">
      <c r="A1672" s="7">
        <v>42565</v>
      </c>
      <c r="B1672" s="43">
        <v>331</v>
      </c>
      <c r="C1672">
        <f t="shared" si="33"/>
        <v>2016</v>
      </c>
    </row>
    <row r="1673" spans="1:3" x14ac:dyDescent="0.35">
      <c r="A1673" s="7">
        <v>42564</v>
      </c>
      <c r="B1673" s="43">
        <v>334</v>
      </c>
      <c r="C1673">
        <f t="shared" si="33"/>
        <v>2016</v>
      </c>
    </row>
    <row r="1674" spans="1:3" x14ac:dyDescent="0.35">
      <c r="A1674" s="7">
        <v>42563</v>
      </c>
      <c r="B1674" s="43">
        <v>331</v>
      </c>
      <c r="C1674">
        <f t="shared" si="33"/>
        <v>2016</v>
      </c>
    </row>
    <row r="1675" spans="1:3" x14ac:dyDescent="0.35">
      <c r="A1675" s="7">
        <v>42562</v>
      </c>
      <c r="B1675" s="43">
        <v>340</v>
      </c>
      <c r="C1675">
        <f t="shared" si="33"/>
        <v>2016</v>
      </c>
    </row>
    <row r="1676" spans="1:3" x14ac:dyDescent="0.35">
      <c r="A1676" s="7">
        <v>42559</v>
      </c>
      <c r="B1676" s="43">
        <v>345</v>
      </c>
      <c r="C1676">
        <f t="shared" si="33"/>
        <v>2016</v>
      </c>
    </row>
    <row r="1677" spans="1:3" x14ac:dyDescent="0.35">
      <c r="A1677" s="7">
        <v>42558</v>
      </c>
      <c r="B1677" s="43">
        <v>355</v>
      </c>
      <c r="C1677">
        <f t="shared" si="33"/>
        <v>2016</v>
      </c>
    </row>
    <row r="1678" spans="1:3" x14ac:dyDescent="0.35">
      <c r="A1678" s="7">
        <v>42557</v>
      </c>
      <c r="B1678" s="43">
        <v>355</v>
      </c>
      <c r="C1678">
        <f t="shared" si="33"/>
        <v>2016</v>
      </c>
    </row>
    <row r="1679" spans="1:3" x14ac:dyDescent="0.35">
      <c r="A1679" s="7">
        <v>42556</v>
      </c>
      <c r="B1679" s="43">
        <v>352</v>
      </c>
      <c r="C1679">
        <f t="shared" si="33"/>
        <v>2016</v>
      </c>
    </row>
    <row r="1680" spans="1:3" x14ac:dyDescent="0.35">
      <c r="A1680" s="7">
        <v>42555</v>
      </c>
      <c r="B1680" s="43">
        <v>347</v>
      </c>
      <c r="C1680">
        <f t="shared" si="33"/>
        <v>2016</v>
      </c>
    </row>
    <row r="1681" spans="1:3" x14ac:dyDescent="0.35">
      <c r="A1681" s="7">
        <v>42552</v>
      </c>
      <c r="B1681" s="43">
        <v>347</v>
      </c>
      <c r="C1681">
        <f t="shared" si="33"/>
        <v>2016</v>
      </c>
    </row>
    <row r="1682" spans="1:3" x14ac:dyDescent="0.35">
      <c r="A1682" s="7">
        <v>42551</v>
      </c>
      <c r="B1682" s="43">
        <v>350</v>
      </c>
      <c r="C1682">
        <f t="shared" si="33"/>
        <v>2016</v>
      </c>
    </row>
    <row r="1683" spans="1:3" x14ac:dyDescent="0.35">
      <c r="A1683" s="7">
        <v>42550</v>
      </c>
      <c r="B1683" s="43">
        <v>354</v>
      </c>
      <c r="C1683">
        <f t="shared" si="33"/>
        <v>2016</v>
      </c>
    </row>
    <row r="1684" spans="1:3" x14ac:dyDescent="0.35">
      <c r="A1684" s="7">
        <v>42549</v>
      </c>
      <c r="B1684" s="43">
        <v>376</v>
      </c>
      <c r="C1684">
        <f t="shared" si="33"/>
        <v>2016</v>
      </c>
    </row>
    <row r="1685" spans="1:3" x14ac:dyDescent="0.35">
      <c r="A1685" s="7">
        <v>42548</v>
      </c>
      <c r="B1685" s="43">
        <v>393</v>
      </c>
      <c r="C1685">
        <f t="shared" si="33"/>
        <v>2016</v>
      </c>
    </row>
    <row r="1686" spans="1:3" x14ac:dyDescent="0.35">
      <c r="A1686" s="7">
        <v>42545</v>
      </c>
      <c r="B1686" s="43">
        <v>384</v>
      </c>
      <c r="C1686">
        <f t="shared" si="33"/>
        <v>2016</v>
      </c>
    </row>
    <row r="1687" spans="1:3" x14ac:dyDescent="0.35">
      <c r="A1687" s="7">
        <v>42544</v>
      </c>
      <c r="B1687" s="43">
        <v>365</v>
      </c>
      <c r="C1687">
        <f t="shared" si="33"/>
        <v>2016</v>
      </c>
    </row>
    <row r="1688" spans="1:3" x14ac:dyDescent="0.35">
      <c r="A1688" s="7">
        <v>42543</v>
      </c>
      <c r="B1688" s="43">
        <v>376</v>
      </c>
      <c r="C1688">
        <f t="shared" si="33"/>
        <v>2016</v>
      </c>
    </row>
    <row r="1689" spans="1:3" x14ac:dyDescent="0.35">
      <c r="A1689" s="7">
        <v>42542</v>
      </c>
      <c r="B1689" s="43">
        <v>378</v>
      </c>
      <c r="C1689">
        <f t="shared" si="33"/>
        <v>2016</v>
      </c>
    </row>
    <row r="1690" spans="1:3" x14ac:dyDescent="0.35">
      <c r="A1690" s="7">
        <v>42541</v>
      </c>
      <c r="B1690" s="43">
        <v>380</v>
      </c>
      <c r="C1690">
        <f t="shared" si="33"/>
        <v>2016</v>
      </c>
    </row>
    <row r="1691" spans="1:3" x14ac:dyDescent="0.35">
      <c r="A1691" s="7">
        <v>42538</v>
      </c>
      <c r="B1691" s="43">
        <v>392</v>
      </c>
      <c r="C1691">
        <f t="shared" si="33"/>
        <v>2016</v>
      </c>
    </row>
    <row r="1692" spans="1:3" x14ac:dyDescent="0.35">
      <c r="A1692" s="7">
        <v>42537</v>
      </c>
      <c r="B1692" s="43">
        <v>399</v>
      </c>
      <c r="C1692">
        <f t="shared" si="33"/>
        <v>2016</v>
      </c>
    </row>
    <row r="1693" spans="1:3" x14ac:dyDescent="0.35">
      <c r="A1693" s="7">
        <v>42536</v>
      </c>
      <c r="B1693" s="43">
        <v>395</v>
      </c>
      <c r="C1693">
        <f t="shared" si="33"/>
        <v>2016</v>
      </c>
    </row>
    <row r="1694" spans="1:3" x14ac:dyDescent="0.35">
      <c r="A1694" s="7">
        <v>42535</v>
      </c>
      <c r="B1694" s="43">
        <v>401</v>
      </c>
      <c r="C1694">
        <f t="shared" si="33"/>
        <v>2016</v>
      </c>
    </row>
    <row r="1695" spans="1:3" x14ac:dyDescent="0.35">
      <c r="A1695" s="7">
        <v>42534</v>
      </c>
      <c r="B1695" s="43">
        <v>389</v>
      </c>
      <c r="C1695">
        <f t="shared" si="33"/>
        <v>2016</v>
      </c>
    </row>
    <row r="1696" spans="1:3" x14ac:dyDescent="0.35">
      <c r="A1696" s="7">
        <v>42531</v>
      </c>
      <c r="B1696" s="43">
        <v>383</v>
      </c>
      <c r="C1696">
        <f t="shared" si="33"/>
        <v>2016</v>
      </c>
    </row>
    <row r="1697" spans="1:3" x14ac:dyDescent="0.35">
      <c r="A1697" s="7">
        <v>42530</v>
      </c>
      <c r="B1697" s="43">
        <v>375</v>
      </c>
      <c r="C1697">
        <f t="shared" si="33"/>
        <v>2016</v>
      </c>
    </row>
    <row r="1698" spans="1:3" x14ac:dyDescent="0.35">
      <c r="A1698" s="7">
        <v>42529</v>
      </c>
      <c r="B1698" s="43">
        <v>371</v>
      </c>
      <c r="C1698">
        <f t="shared" si="33"/>
        <v>2016</v>
      </c>
    </row>
    <row r="1699" spans="1:3" x14ac:dyDescent="0.35">
      <c r="A1699" s="7">
        <v>42528</v>
      </c>
      <c r="B1699" s="43">
        <v>377</v>
      </c>
      <c r="C1699">
        <f t="shared" si="33"/>
        <v>2016</v>
      </c>
    </row>
    <row r="1700" spans="1:3" x14ac:dyDescent="0.35">
      <c r="A1700" s="7">
        <v>42527</v>
      </c>
      <c r="B1700" s="43">
        <v>385</v>
      </c>
      <c r="C1700">
        <f t="shared" si="33"/>
        <v>2016</v>
      </c>
    </row>
    <row r="1701" spans="1:3" x14ac:dyDescent="0.35">
      <c r="A1701" s="7">
        <v>42524</v>
      </c>
      <c r="B1701" s="43">
        <v>391</v>
      </c>
      <c r="C1701">
        <f t="shared" si="33"/>
        <v>2016</v>
      </c>
    </row>
    <row r="1702" spans="1:3" x14ac:dyDescent="0.35">
      <c r="A1702" s="7">
        <v>42523</v>
      </c>
      <c r="B1702" s="43">
        <v>392</v>
      </c>
      <c r="C1702">
        <f t="shared" si="33"/>
        <v>2016</v>
      </c>
    </row>
    <row r="1703" spans="1:3" x14ac:dyDescent="0.35">
      <c r="A1703" s="7">
        <v>42522</v>
      </c>
      <c r="B1703" s="43">
        <v>401</v>
      </c>
      <c r="C1703">
        <f t="shared" si="33"/>
        <v>2016</v>
      </c>
    </row>
    <row r="1704" spans="1:3" x14ac:dyDescent="0.35">
      <c r="A1704" s="7">
        <v>42521</v>
      </c>
      <c r="B1704" s="43">
        <v>404</v>
      </c>
      <c r="C1704">
        <f t="shared" si="33"/>
        <v>2016</v>
      </c>
    </row>
    <row r="1705" spans="1:3" x14ac:dyDescent="0.35">
      <c r="A1705" s="7">
        <v>42520</v>
      </c>
      <c r="B1705" s="43">
        <v>391</v>
      </c>
      <c r="C1705">
        <f t="shared" si="33"/>
        <v>2016</v>
      </c>
    </row>
    <row r="1706" spans="1:3" x14ac:dyDescent="0.35">
      <c r="A1706" s="7">
        <v>42517</v>
      </c>
      <c r="B1706" s="43">
        <v>391</v>
      </c>
      <c r="C1706">
        <f t="shared" si="33"/>
        <v>2016</v>
      </c>
    </row>
    <row r="1707" spans="1:3" x14ac:dyDescent="0.35">
      <c r="A1707" s="7">
        <v>42516</v>
      </c>
      <c r="B1707" s="43">
        <v>395</v>
      </c>
      <c r="C1707">
        <f t="shared" si="33"/>
        <v>2016</v>
      </c>
    </row>
    <row r="1708" spans="1:3" x14ac:dyDescent="0.35">
      <c r="A1708" s="7">
        <v>42515</v>
      </c>
      <c r="B1708" s="43">
        <v>391</v>
      </c>
      <c r="C1708">
        <f t="shared" si="33"/>
        <v>2016</v>
      </c>
    </row>
    <row r="1709" spans="1:3" x14ac:dyDescent="0.35">
      <c r="A1709" s="7">
        <v>42514</v>
      </c>
      <c r="B1709" s="43">
        <v>395</v>
      </c>
      <c r="C1709">
        <f t="shared" si="33"/>
        <v>2016</v>
      </c>
    </row>
    <row r="1710" spans="1:3" x14ac:dyDescent="0.35">
      <c r="A1710" s="7">
        <v>42513</v>
      </c>
      <c r="B1710" s="43">
        <v>397</v>
      </c>
      <c r="C1710">
        <f t="shared" si="33"/>
        <v>2016</v>
      </c>
    </row>
    <row r="1711" spans="1:3" x14ac:dyDescent="0.35">
      <c r="A1711" s="7">
        <v>42510</v>
      </c>
      <c r="B1711" s="43">
        <v>392</v>
      </c>
      <c r="C1711">
        <f t="shared" si="33"/>
        <v>2016</v>
      </c>
    </row>
    <row r="1712" spans="1:3" x14ac:dyDescent="0.35">
      <c r="A1712" s="7">
        <v>42509</v>
      </c>
      <c r="B1712" s="43">
        <v>394</v>
      </c>
      <c r="C1712">
        <f t="shared" si="33"/>
        <v>2016</v>
      </c>
    </row>
    <row r="1713" spans="1:3" x14ac:dyDescent="0.35">
      <c r="A1713" s="7">
        <v>42508</v>
      </c>
      <c r="B1713" s="43">
        <v>377</v>
      </c>
      <c r="C1713">
        <f t="shared" si="33"/>
        <v>2016</v>
      </c>
    </row>
    <row r="1714" spans="1:3" x14ac:dyDescent="0.35">
      <c r="A1714" s="7">
        <v>42507</v>
      </c>
      <c r="B1714" s="43">
        <v>374</v>
      </c>
      <c r="C1714">
        <f t="shared" si="33"/>
        <v>2016</v>
      </c>
    </row>
    <row r="1715" spans="1:3" x14ac:dyDescent="0.35">
      <c r="A1715" s="7">
        <v>42506</v>
      </c>
      <c r="B1715" s="43">
        <v>375</v>
      </c>
      <c r="C1715">
        <f t="shared" si="33"/>
        <v>2016</v>
      </c>
    </row>
    <row r="1716" spans="1:3" x14ac:dyDescent="0.35">
      <c r="A1716" s="7">
        <v>42503</v>
      </c>
      <c r="B1716" s="43">
        <v>382</v>
      </c>
      <c r="C1716">
        <f t="shared" si="33"/>
        <v>2016</v>
      </c>
    </row>
    <row r="1717" spans="1:3" x14ac:dyDescent="0.35">
      <c r="A1717" s="7">
        <v>42502</v>
      </c>
      <c r="B1717" s="43">
        <v>376</v>
      </c>
      <c r="C1717">
        <f t="shared" si="33"/>
        <v>2016</v>
      </c>
    </row>
    <row r="1718" spans="1:3" x14ac:dyDescent="0.35">
      <c r="A1718" s="7">
        <v>42501</v>
      </c>
      <c r="B1718" s="43">
        <v>379</v>
      </c>
      <c r="C1718">
        <f t="shared" si="33"/>
        <v>2016</v>
      </c>
    </row>
    <row r="1719" spans="1:3" x14ac:dyDescent="0.35">
      <c r="A1719" s="7">
        <v>42500</v>
      </c>
      <c r="B1719" s="43">
        <v>387</v>
      </c>
      <c r="C1719">
        <f t="shared" si="33"/>
        <v>2016</v>
      </c>
    </row>
    <row r="1720" spans="1:3" x14ac:dyDescent="0.35">
      <c r="A1720" s="7">
        <v>42499</v>
      </c>
      <c r="B1720" s="43">
        <v>394</v>
      </c>
      <c r="C1720">
        <f t="shared" si="33"/>
        <v>2016</v>
      </c>
    </row>
    <row r="1721" spans="1:3" x14ac:dyDescent="0.35">
      <c r="A1721" s="7">
        <v>42496</v>
      </c>
      <c r="B1721" s="43">
        <v>390</v>
      </c>
      <c r="C1721">
        <f t="shared" si="33"/>
        <v>2016</v>
      </c>
    </row>
    <row r="1722" spans="1:3" x14ac:dyDescent="0.35">
      <c r="A1722" s="7">
        <v>42495</v>
      </c>
      <c r="B1722" s="43">
        <v>397</v>
      </c>
      <c r="C1722">
        <f t="shared" si="33"/>
        <v>2016</v>
      </c>
    </row>
    <row r="1723" spans="1:3" x14ac:dyDescent="0.35">
      <c r="A1723" s="7">
        <v>42494</v>
      </c>
      <c r="B1723" s="43">
        <v>395</v>
      </c>
      <c r="C1723">
        <f t="shared" si="33"/>
        <v>2016</v>
      </c>
    </row>
    <row r="1724" spans="1:3" x14ac:dyDescent="0.35">
      <c r="A1724" s="7">
        <v>42493</v>
      </c>
      <c r="B1724" s="43">
        <v>392</v>
      </c>
      <c r="C1724">
        <f t="shared" si="33"/>
        <v>2016</v>
      </c>
    </row>
    <row r="1725" spans="1:3" x14ac:dyDescent="0.35">
      <c r="A1725" s="7">
        <v>42492</v>
      </c>
      <c r="B1725" s="43">
        <v>382</v>
      </c>
      <c r="C1725">
        <f t="shared" si="33"/>
        <v>2016</v>
      </c>
    </row>
    <row r="1726" spans="1:3" x14ac:dyDescent="0.35">
      <c r="A1726" s="7">
        <v>42489</v>
      </c>
      <c r="B1726" s="43">
        <v>385</v>
      </c>
      <c r="C1726">
        <f t="shared" si="33"/>
        <v>2016</v>
      </c>
    </row>
    <row r="1727" spans="1:3" x14ac:dyDescent="0.35">
      <c r="A1727" s="7">
        <v>42488</v>
      </c>
      <c r="B1727" s="43">
        <v>385</v>
      </c>
      <c r="C1727">
        <f t="shared" si="33"/>
        <v>2016</v>
      </c>
    </row>
    <row r="1728" spans="1:3" x14ac:dyDescent="0.35">
      <c r="A1728" s="7">
        <v>42487</v>
      </c>
      <c r="B1728" s="43">
        <v>382</v>
      </c>
      <c r="C1728">
        <f t="shared" si="33"/>
        <v>2016</v>
      </c>
    </row>
    <row r="1729" spans="1:3" x14ac:dyDescent="0.35">
      <c r="A1729" s="7">
        <v>42486</v>
      </c>
      <c r="B1729" s="43">
        <v>397</v>
      </c>
      <c r="C1729">
        <f t="shared" si="33"/>
        <v>2016</v>
      </c>
    </row>
    <row r="1730" spans="1:3" x14ac:dyDescent="0.35">
      <c r="A1730" s="7">
        <v>42485</v>
      </c>
      <c r="B1730" s="43">
        <v>403</v>
      </c>
      <c r="C1730">
        <f t="shared" si="33"/>
        <v>2016</v>
      </c>
    </row>
    <row r="1731" spans="1:3" x14ac:dyDescent="0.35">
      <c r="A1731" s="7">
        <v>42482</v>
      </c>
      <c r="B1731" s="43">
        <v>406</v>
      </c>
      <c r="C1731">
        <f t="shared" ref="C1731:C1794" si="34">YEAR(A1731)</f>
        <v>2016</v>
      </c>
    </row>
    <row r="1732" spans="1:3" x14ac:dyDescent="0.35">
      <c r="A1732" s="7">
        <v>42481</v>
      </c>
      <c r="B1732" s="43">
        <v>400</v>
      </c>
      <c r="C1732">
        <f t="shared" si="34"/>
        <v>2016</v>
      </c>
    </row>
    <row r="1733" spans="1:3" x14ac:dyDescent="0.35">
      <c r="A1733" s="7">
        <v>42480</v>
      </c>
      <c r="B1733" s="43">
        <v>385</v>
      </c>
      <c r="C1733">
        <f t="shared" si="34"/>
        <v>2016</v>
      </c>
    </row>
    <row r="1734" spans="1:3" x14ac:dyDescent="0.35">
      <c r="A1734" s="7">
        <v>42479</v>
      </c>
      <c r="B1734" s="43">
        <v>390</v>
      </c>
      <c r="C1734">
        <f t="shared" si="34"/>
        <v>2016</v>
      </c>
    </row>
    <row r="1735" spans="1:3" x14ac:dyDescent="0.35">
      <c r="A1735" s="7">
        <v>42478</v>
      </c>
      <c r="B1735" s="43">
        <v>394</v>
      </c>
      <c r="C1735">
        <f t="shared" si="34"/>
        <v>2016</v>
      </c>
    </row>
    <row r="1736" spans="1:3" x14ac:dyDescent="0.35">
      <c r="A1736" s="7">
        <v>42475</v>
      </c>
      <c r="B1736" s="43">
        <v>387</v>
      </c>
      <c r="C1736">
        <f t="shared" si="34"/>
        <v>2016</v>
      </c>
    </row>
    <row r="1737" spans="1:3" x14ac:dyDescent="0.35">
      <c r="A1737" s="7">
        <v>42474</v>
      </c>
      <c r="B1737" s="43">
        <v>382</v>
      </c>
      <c r="C1737">
        <f t="shared" si="34"/>
        <v>2016</v>
      </c>
    </row>
    <row r="1738" spans="1:3" x14ac:dyDescent="0.35">
      <c r="A1738" s="7">
        <v>42473</v>
      </c>
      <c r="B1738" s="43">
        <v>387</v>
      </c>
      <c r="C1738">
        <f t="shared" si="34"/>
        <v>2016</v>
      </c>
    </row>
    <row r="1739" spans="1:3" x14ac:dyDescent="0.35">
      <c r="A1739" s="7">
        <v>42472</v>
      </c>
      <c r="B1739" s="43">
        <v>397</v>
      </c>
      <c r="C1739">
        <f t="shared" si="34"/>
        <v>2016</v>
      </c>
    </row>
    <row r="1740" spans="1:3" x14ac:dyDescent="0.35">
      <c r="A1740" s="7">
        <v>42471</v>
      </c>
      <c r="B1740" s="43">
        <v>416</v>
      </c>
      <c r="C1740">
        <f t="shared" si="34"/>
        <v>2016</v>
      </c>
    </row>
    <row r="1741" spans="1:3" x14ac:dyDescent="0.35">
      <c r="A1741" s="7">
        <v>42468</v>
      </c>
      <c r="B1741" s="43">
        <v>440</v>
      </c>
      <c r="C1741">
        <f t="shared" si="34"/>
        <v>2016</v>
      </c>
    </row>
    <row r="1742" spans="1:3" x14ac:dyDescent="0.35">
      <c r="A1742" s="7">
        <v>42467</v>
      </c>
      <c r="B1742" s="43">
        <v>449</v>
      </c>
      <c r="C1742">
        <f t="shared" si="34"/>
        <v>2016</v>
      </c>
    </row>
    <row r="1743" spans="1:3" x14ac:dyDescent="0.35">
      <c r="A1743" s="7">
        <v>42466</v>
      </c>
      <c r="B1743" s="43">
        <v>430</v>
      </c>
      <c r="C1743">
        <f t="shared" si="34"/>
        <v>2016</v>
      </c>
    </row>
    <row r="1744" spans="1:3" x14ac:dyDescent="0.35">
      <c r="A1744" s="7">
        <v>42465</v>
      </c>
      <c r="B1744" s="43">
        <v>432</v>
      </c>
      <c r="C1744">
        <f t="shared" si="34"/>
        <v>2016</v>
      </c>
    </row>
    <row r="1745" spans="1:3" x14ac:dyDescent="0.35">
      <c r="A1745" s="7">
        <v>42464</v>
      </c>
      <c r="B1745" s="43">
        <v>413</v>
      </c>
      <c r="C1745">
        <f t="shared" si="34"/>
        <v>2016</v>
      </c>
    </row>
    <row r="1746" spans="1:3" x14ac:dyDescent="0.35">
      <c r="A1746" s="7">
        <v>42461</v>
      </c>
      <c r="B1746" s="43">
        <v>404</v>
      </c>
      <c r="C1746">
        <f t="shared" si="34"/>
        <v>2016</v>
      </c>
    </row>
    <row r="1747" spans="1:3" x14ac:dyDescent="0.35">
      <c r="A1747" s="7">
        <v>42460</v>
      </c>
      <c r="B1747" s="43">
        <v>409</v>
      </c>
      <c r="C1747">
        <f t="shared" si="34"/>
        <v>2016</v>
      </c>
    </row>
    <row r="1748" spans="1:3" x14ac:dyDescent="0.35">
      <c r="A1748" s="7">
        <v>42459</v>
      </c>
      <c r="B1748" s="43">
        <v>404</v>
      </c>
      <c r="C1748">
        <f t="shared" si="34"/>
        <v>2016</v>
      </c>
    </row>
    <row r="1749" spans="1:3" x14ac:dyDescent="0.35">
      <c r="A1749" s="7">
        <v>42458</v>
      </c>
      <c r="B1749" s="43">
        <v>416</v>
      </c>
      <c r="C1749">
        <f t="shared" si="34"/>
        <v>2016</v>
      </c>
    </row>
    <row r="1750" spans="1:3" x14ac:dyDescent="0.35">
      <c r="A1750" s="7">
        <v>42457</v>
      </c>
      <c r="B1750" s="43">
        <v>419</v>
      </c>
      <c r="C1750">
        <f t="shared" si="34"/>
        <v>2016</v>
      </c>
    </row>
    <row r="1751" spans="1:3" x14ac:dyDescent="0.35">
      <c r="A1751" s="7">
        <v>42453</v>
      </c>
      <c r="B1751" s="43">
        <v>427</v>
      </c>
      <c r="C1751">
        <f t="shared" si="34"/>
        <v>2016</v>
      </c>
    </row>
    <row r="1752" spans="1:3" x14ac:dyDescent="0.35">
      <c r="A1752" s="7">
        <v>42452</v>
      </c>
      <c r="B1752" s="43">
        <v>419</v>
      </c>
      <c r="C1752">
        <f t="shared" si="34"/>
        <v>2016</v>
      </c>
    </row>
    <row r="1753" spans="1:3" x14ac:dyDescent="0.35">
      <c r="A1753" s="7">
        <v>42451</v>
      </c>
      <c r="B1753" s="43">
        <v>391</v>
      </c>
      <c r="C1753">
        <f t="shared" si="34"/>
        <v>2016</v>
      </c>
    </row>
    <row r="1754" spans="1:3" x14ac:dyDescent="0.35">
      <c r="A1754" s="7">
        <v>42450</v>
      </c>
      <c r="B1754" s="43">
        <v>392</v>
      </c>
      <c r="C1754">
        <f t="shared" si="34"/>
        <v>2016</v>
      </c>
    </row>
    <row r="1755" spans="1:3" x14ac:dyDescent="0.35">
      <c r="A1755" s="7">
        <v>42447</v>
      </c>
      <c r="B1755" s="43">
        <v>409</v>
      </c>
      <c r="C1755">
        <f t="shared" si="34"/>
        <v>2016</v>
      </c>
    </row>
    <row r="1756" spans="1:3" x14ac:dyDescent="0.35">
      <c r="A1756" s="7">
        <v>42446</v>
      </c>
      <c r="B1756" s="43">
        <v>435</v>
      </c>
      <c r="C1756">
        <f t="shared" si="34"/>
        <v>2016</v>
      </c>
    </row>
    <row r="1757" spans="1:3" x14ac:dyDescent="0.35">
      <c r="A1757" s="7">
        <v>42445</v>
      </c>
      <c r="B1757" s="43">
        <v>457</v>
      </c>
      <c r="C1757">
        <f t="shared" si="34"/>
        <v>2016</v>
      </c>
    </row>
    <row r="1758" spans="1:3" x14ac:dyDescent="0.35">
      <c r="A1758" s="7">
        <v>42444</v>
      </c>
      <c r="B1758" s="43">
        <v>459</v>
      </c>
      <c r="C1758">
        <f t="shared" si="34"/>
        <v>2016</v>
      </c>
    </row>
    <row r="1759" spans="1:3" x14ac:dyDescent="0.35">
      <c r="A1759" s="7">
        <v>42443</v>
      </c>
      <c r="B1759" s="43">
        <v>437</v>
      </c>
      <c r="C1759">
        <f t="shared" si="34"/>
        <v>2016</v>
      </c>
    </row>
    <row r="1760" spans="1:3" x14ac:dyDescent="0.35">
      <c r="A1760" s="7">
        <v>42440</v>
      </c>
      <c r="B1760" s="43">
        <v>427</v>
      </c>
      <c r="C1760">
        <f t="shared" si="34"/>
        <v>2016</v>
      </c>
    </row>
    <row r="1761" spans="1:3" x14ac:dyDescent="0.35">
      <c r="A1761" s="7">
        <v>42439</v>
      </c>
      <c r="B1761" s="43">
        <v>434</v>
      </c>
      <c r="C1761">
        <f t="shared" si="34"/>
        <v>2016</v>
      </c>
    </row>
    <row r="1762" spans="1:3" x14ac:dyDescent="0.35">
      <c r="A1762" s="7">
        <v>42438</v>
      </c>
      <c r="B1762" s="43">
        <v>440</v>
      </c>
      <c r="C1762">
        <f t="shared" si="34"/>
        <v>2016</v>
      </c>
    </row>
    <row r="1763" spans="1:3" x14ac:dyDescent="0.35">
      <c r="A1763" s="7">
        <v>42437</v>
      </c>
      <c r="B1763" s="43">
        <v>460</v>
      </c>
      <c r="C1763">
        <f t="shared" si="34"/>
        <v>2016</v>
      </c>
    </row>
    <row r="1764" spans="1:3" x14ac:dyDescent="0.35">
      <c r="A1764" s="7">
        <v>42436</v>
      </c>
      <c r="B1764" s="43">
        <v>452</v>
      </c>
      <c r="C1764">
        <f t="shared" si="34"/>
        <v>2016</v>
      </c>
    </row>
    <row r="1765" spans="1:3" x14ac:dyDescent="0.35">
      <c r="A1765" s="7">
        <v>42433</v>
      </c>
      <c r="B1765" s="43">
        <v>447</v>
      </c>
      <c r="C1765">
        <f t="shared" si="34"/>
        <v>2016</v>
      </c>
    </row>
    <row r="1766" spans="1:3" x14ac:dyDescent="0.35">
      <c r="A1766" s="7">
        <v>42432</v>
      </c>
      <c r="B1766" s="43">
        <v>462</v>
      </c>
      <c r="C1766">
        <f t="shared" si="34"/>
        <v>2016</v>
      </c>
    </row>
    <row r="1767" spans="1:3" x14ac:dyDescent="0.35">
      <c r="A1767" s="7">
        <v>42431</v>
      </c>
      <c r="B1767" s="43">
        <v>485</v>
      </c>
      <c r="C1767">
        <f t="shared" si="34"/>
        <v>2016</v>
      </c>
    </row>
    <row r="1768" spans="1:3" x14ac:dyDescent="0.35">
      <c r="A1768" s="7">
        <v>42430</v>
      </c>
      <c r="B1768" s="43">
        <v>489</v>
      </c>
      <c r="C1768">
        <f t="shared" si="34"/>
        <v>2016</v>
      </c>
    </row>
    <row r="1769" spans="1:3" x14ac:dyDescent="0.35">
      <c r="A1769" s="7">
        <v>42429</v>
      </c>
      <c r="B1769" s="43">
        <v>502</v>
      </c>
      <c r="C1769">
        <f t="shared" si="34"/>
        <v>2016</v>
      </c>
    </row>
    <row r="1770" spans="1:3" x14ac:dyDescent="0.35">
      <c r="A1770" s="7">
        <v>42426</v>
      </c>
      <c r="B1770" s="43">
        <v>506</v>
      </c>
      <c r="C1770">
        <f t="shared" si="34"/>
        <v>2016</v>
      </c>
    </row>
    <row r="1771" spans="1:3" x14ac:dyDescent="0.35">
      <c r="A1771" s="7">
        <v>42425</v>
      </c>
      <c r="B1771" s="43">
        <v>513</v>
      </c>
      <c r="C1771">
        <f t="shared" si="34"/>
        <v>2016</v>
      </c>
    </row>
    <row r="1772" spans="1:3" x14ac:dyDescent="0.35">
      <c r="A1772" s="7">
        <v>42424</v>
      </c>
      <c r="B1772" s="43">
        <v>506</v>
      </c>
      <c r="C1772">
        <f t="shared" si="34"/>
        <v>2016</v>
      </c>
    </row>
    <row r="1773" spans="1:3" x14ac:dyDescent="0.35">
      <c r="A1773" s="7">
        <v>42423</v>
      </c>
      <c r="B1773" s="43">
        <v>519</v>
      </c>
      <c r="C1773">
        <f t="shared" si="34"/>
        <v>2016</v>
      </c>
    </row>
    <row r="1774" spans="1:3" x14ac:dyDescent="0.35">
      <c r="A1774" s="7">
        <v>42422</v>
      </c>
      <c r="B1774" s="43">
        <v>521</v>
      </c>
      <c r="C1774">
        <f t="shared" si="34"/>
        <v>2016</v>
      </c>
    </row>
    <row r="1775" spans="1:3" x14ac:dyDescent="0.35">
      <c r="A1775" s="7">
        <v>42419</v>
      </c>
      <c r="B1775" s="43">
        <v>529</v>
      </c>
      <c r="C1775">
        <f t="shared" si="34"/>
        <v>2016</v>
      </c>
    </row>
    <row r="1776" spans="1:3" x14ac:dyDescent="0.35">
      <c r="A1776" s="7">
        <v>42418</v>
      </c>
      <c r="B1776" s="43">
        <v>539</v>
      </c>
      <c r="C1776">
        <f t="shared" si="34"/>
        <v>2016</v>
      </c>
    </row>
    <row r="1777" spans="1:3" x14ac:dyDescent="0.35">
      <c r="A1777" s="7">
        <v>42417</v>
      </c>
      <c r="B1777" s="43">
        <v>535</v>
      </c>
      <c r="C1777">
        <f t="shared" si="34"/>
        <v>2016</v>
      </c>
    </row>
    <row r="1778" spans="1:3" x14ac:dyDescent="0.35">
      <c r="A1778" s="7">
        <v>42416</v>
      </c>
      <c r="B1778" s="43">
        <v>549</v>
      </c>
      <c r="C1778">
        <f t="shared" si="34"/>
        <v>2016</v>
      </c>
    </row>
    <row r="1779" spans="1:3" x14ac:dyDescent="0.35">
      <c r="A1779" s="7">
        <v>42415</v>
      </c>
      <c r="B1779" s="43">
        <v>554</v>
      </c>
      <c r="C1779">
        <f t="shared" si="34"/>
        <v>2016</v>
      </c>
    </row>
    <row r="1780" spans="1:3" x14ac:dyDescent="0.35">
      <c r="A1780" s="7">
        <v>42412</v>
      </c>
      <c r="B1780" s="43">
        <v>554</v>
      </c>
      <c r="C1780">
        <f t="shared" si="34"/>
        <v>2016</v>
      </c>
    </row>
    <row r="1781" spans="1:3" x14ac:dyDescent="0.35">
      <c r="A1781" s="7">
        <v>42411</v>
      </c>
      <c r="B1781" s="43">
        <v>569</v>
      </c>
      <c r="C1781">
        <f t="shared" si="34"/>
        <v>2016</v>
      </c>
    </row>
    <row r="1782" spans="1:3" x14ac:dyDescent="0.35">
      <c r="A1782" s="7">
        <v>42410</v>
      </c>
      <c r="B1782" s="43">
        <v>554</v>
      </c>
      <c r="C1782">
        <f t="shared" si="34"/>
        <v>2016</v>
      </c>
    </row>
    <row r="1783" spans="1:3" x14ac:dyDescent="0.35">
      <c r="A1783" s="7">
        <v>42409</v>
      </c>
      <c r="B1783" s="43">
        <v>547</v>
      </c>
      <c r="C1783">
        <f t="shared" si="34"/>
        <v>2016</v>
      </c>
    </row>
    <row r="1784" spans="1:3" x14ac:dyDescent="0.35">
      <c r="A1784" s="7">
        <v>42408</v>
      </c>
      <c r="B1784" s="43">
        <v>548</v>
      </c>
      <c r="C1784">
        <f t="shared" si="34"/>
        <v>2016</v>
      </c>
    </row>
    <row r="1785" spans="1:3" x14ac:dyDescent="0.35">
      <c r="A1785" s="7">
        <v>42405</v>
      </c>
      <c r="B1785" s="43">
        <v>521</v>
      </c>
      <c r="C1785">
        <f t="shared" si="34"/>
        <v>2016</v>
      </c>
    </row>
    <row r="1786" spans="1:3" x14ac:dyDescent="0.35">
      <c r="A1786" s="7">
        <v>42404</v>
      </c>
      <c r="B1786" s="43">
        <v>523</v>
      </c>
      <c r="C1786">
        <f t="shared" si="34"/>
        <v>2016</v>
      </c>
    </row>
    <row r="1787" spans="1:3" x14ac:dyDescent="0.35">
      <c r="A1787" s="7">
        <v>42403</v>
      </c>
      <c r="B1787" s="43">
        <v>525</v>
      </c>
      <c r="C1787">
        <f t="shared" si="34"/>
        <v>2016</v>
      </c>
    </row>
    <row r="1788" spans="1:3" x14ac:dyDescent="0.35">
      <c r="A1788" s="7">
        <v>42402</v>
      </c>
      <c r="B1788" s="43">
        <v>530</v>
      </c>
      <c r="C1788">
        <f t="shared" si="34"/>
        <v>2016</v>
      </c>
    </row>
    <row r="1789" spans="1:3" x14ac:dyDescent="0.35">
      <c r="A1789" s="7">
        <v>42401</v>
      </c>
      <c r="B1789" s="43">
        <v>513</v>
      </c>
      <c r="C1789">
        <f t="shared" si="34"/>
        <v>2016</v>
      </c>
    </row>
    <row r="1790" spans="1:3" x14ac:dyDescent="0.35">
      <c r="A1790" s="7">
        <v>42398</v>
      </c>
      <c r="B1790" s="43">
        <v>512</v>
      </c>
      <c r="C1790">
        <f t="shared" si="34"/>
        <v>2016</v>
      </c>
    </row>
    <row r="1791" spans="1:3" x14ac:dyDescent="0.35">
      <c r="A1791" s="7">
        <v>42397</v>
      </c>
      <c r="B1791" s="43">
        <v>499</v>
      </c>
      <c r="C1791">
        <f t="shared" si="34"/>
        <v>2016</v>
      </c>
    </row>
    <row r="1792" spans="1:3" x14ac:dyDescent="0.35">
      <c r="A1792" s="7">
        <v>42396</v>
      </c>
      <c r="B1792" s="43">
        <v>503</v>
      </c>
      <c r="C1792">
        <f t="shared" si="34"/>
        <v>2016</v>
      </c>
    </row>
    <row r="1793" spans="1:3" x14ac:dyDescent="0.35">
      <c r="A1793" s="7">
        <v>42395</v>
      </c>
      <c r="B1793" s="43">
        <v>511</v>
      </c>
      <c r="C1793">
        <f t="shared" si="34"/>
        <v>2016</v>
      </c>
    </row>
    <row r="1794" spans="1:3" x14ac:dyDescent="0.35">
      <c r="A1794" s="7">
        <v>42394</v>
      </c>
      <c r="B1794" s="43">
        <v>523</v>
      </c>
      <c r="C1794">
        <f t="shared" si="34"/>
        <v>2016</v>
      </c>
    </row>
    <row r="1795" spans="1:3" x14ac:dyDescent="0.35">
      <c r="A1795" s="7">
        <v>42391</v>
      </c>
      <c r="B1795" s="43">
        <v>514</v>
      </c>
      <c r="C1795">
        <f t="shared" ref="C1795:C1858" si="35">YEAR(A1795)</f>
        <v>2016</v>
      </c>
    </row>
    <row r="1796" spans="1:3" x14ac:dyDescent="0.35">
      <c r="A1796" s="7">
        <v>42390</v>
      </c>
      <c r="B1796" s="43">
        <v>534</v>
      </c>
      <c r="C1796">
        <f t="shared" si="35"/>
        <v>2016</v>
      </c>
    </row>
    <row r="1797" spans="1:3" x14ac:dyDescent="0.35">
      <c r="A1797" s="7">
        <v>42389</v>
      </c>
      <c r="B1797" s="43">
        <v>544</v>
      </c>
      <c r="C1797">
        <f t="shared" si="35"/>
        <v>2016</v>
      </c>
    </row>
    <row r="1798" spans="1:3" x14ac:dyDescent="0.35">
      <c r="A1798" s="7">
        <v>42388</v>
      </c>
      <c r="B1798" s="43">
        <v>533</v>
      </c>
      <c r="C1798">
        <f t="shared" si="35"/>
        <v>2016</v>
      </c>
    </row>
    <row r="1799" spans="1:3" x14ac:dyDescent="0.35">
      <c r="A1799" s="7">
        <v>42387</v>
      </c>
      <c r="B1799" s="43">
        <v>533</v>
      </c>
      <c r="C1799">
        <f t="shared" si="35"/>
        <v>2016</v>
      </c>
    </row>
    <row r="1800" spans="1:3" x14ac:dyDescent="0.35">
      <c r="A1800" s="7">
        <v>42384</v>
      </c>
      <c r="B1800" s="43">
        <v>533</v>
      </c>
      <c r="C1800">
        <f t="shared" si="35"/>
        <v>2016</v>
      </c>
    </row>
    <row r="1801" spans="1:3" x14ac:dyDescent="0.35">
      <c r="A1801" s="7">
        <v>42383</v>
      </c>
      <c r="B1801" s="43">
        <v>512</v>
      </c>
      <c r="C1801">
        <f t="shared" si="35"/>
        <v>2016</v>
      </c>
    </row>
    <row r="1802" spans="1:3" x14ac:dyDescent="0.35">
      <c r="A1802" s="7">
        <v>42382</v>
      </c>
      <c r="B1802" s="43">
        <v>521</v>
      </c>
      <c r="C1802">
        <f t="shared" si="35"/>
        <v>2016</v>
      </c>
    </row>
    <row r="1803" spans="1:3" x14ac:dyDescent="0.35">
      <c r="A1803" s="7">
        <v>42381</v>
      </c>
      <c r="B1803" s="43">
        <v>506</v>
      </c>
      <c r="C1803">
        <f t="shared" si="35"/>
        <v>2016</v>
      </c>
    </row>
    <row r="1804" spans="1:3" x14ac:dyDescent="0.35">
      <c r="A1804" s="7">
        <v>42380</v>
      </c>
      <c r="B1804" s="43">
        <v>506</v>
      </c>
      <c r="C1804">
        <f t="shared" si="35"/>
        <v>2016</v>
      </c>
    </row>
    <row r="1805" spans="1:3" x14ac:dyDescent="0.35">
      <c r="A1805" s="7">
        <v>42377</v>
      </c>
      <c r="B1805" s="43">
        <v>512</v>
      </c>
      <c r="C1805">
        <f t="shared" si="35"/>
        <v>2016</v>
      </c>
    </row>
    <row r="1806" spans="1:3" x14ac:dyDescent="0.35">
      <c r="A1806" s="7">
        <v>42376</v>
      </c>
      <c r="B1806" s="43">
        <v>506</v>
      </c>
      <c r="C1806">
        <f t="shared" si="35"/>
        <v>2016</v>
      </c>
    </row>
    <row r="1807" spans="1:3" x14ac:dyDescent="0.35">
      <c r="A1807" s="7">
        <v>42375</v>
      </c>
      <c r="B1807" s="43">
        <v>505</v>
      </c>
      <c r="C1807">
        <f t="shared" si="35"/>
        <v>2016</v>
      </c>
    </row>
    <row r="1808" spans="1:3" x14ac:dyDescent="0.35">
      <c r="A1808" s="7">
        <v>42374</v>
      </c>
      <c r="B1808" s="43">
        <v>497</v>
      </c>
      <c r="C1808">
        <f t="shared" si="35"/>
        <v>2016</v>
      </c>
    </row>
    <row r="1809" spans="1:3" x14ac:dyDescent="0.35">
      <c r="A1809" s="7">
        <v>42373</v>
      </c>
      <c r="B1809" s="43">
        <v>532</v>
      </c>
      <c r="C1809">
        <f t="shared" si="35"/>
        <v>2016</v>
      </c>
    </row>
    <row r="1810" spans="1:3" x14ac:dyDescent="0.35">
      <c r="A1810" s="7">
        <v>42369</v>
      </c>
      <c r="B1810" s="43">
        <v>523</v>
      </c>
      <c r="C1810">
        <f t="shared" si="35"/>
        <v>2015</v>
      </c>
    </row>
    <row r="1811" spans="1:3" x14ac:dyDescent="0.35">
      <c r="A1811" s="7">
        <v>42368</v>
      </c>
      <c r="B1811" s="43">
        <v>516</v>
      </c>
      <c r="C1811">
        <f t="shared" si="35"/>
        <v>2015</v>
      </c>
    </row>
    <row r="1812" spans="1:3" x14ac:dyDescent="0.35">
      <c r="A1812" s="7">
        <v>42367</v>
      </c>
      <c r="B1812" s="43">
        <v>506</v>
      </c>
      <c r="C1812">
        <f t="shared" si="35"/>
        <v>2015</v>
      </c>
    </row>
    <row r="1813" spans="1:3" x14ac:dyDescent="0.35">
      <c r="A1813" s="7">
        <v>42366</v>
      </c>
      <c r="B1813" s="43">
        <v>520</v>
      </c>
      <c r="C1813">
        <f t="shared" si="35"/>
        <v>2015</v>
      </c>
    </row>
    <row r="1814" spans="1:3" x14ac:dyDescent="0.35">
      <c r="A1814" s="7">
        <v>42362</v>
      </c>
      <c r="B1814" s="43">
        <v>518</v>
      </c>
      <c r="C1814">
        <f t="shared" si="35"/>
        <v>2015</v>
      </c>
    </row>
    <row r="1815" spans="1:3" x14ac:dyDescent="0.35">
      <c r="A1815" s="7">
        <v>42361</v>
      </c>
      <c r="B1815" s="43">
        <v>516</v>
      </c>
      <c r="C1815">
        <f t="shared" si="35"/>
        <v>2015</v>
      </c>
    </row>
    <row r="1816" spans="1:3" x14ac:dyDescent="0.35">
      <c r="A1816" s="7">
        <v>42360</v>
      </c>
      <c r="B1816" s="43">
        <v>521</v>
      </c>
      <c r="C1816">
        <f t="shared" si="35"/>
        <v>2015</v>
      </c>
    </row>
    <row r="1817" spans="1:3" x14ac:dyDescent="0.35">
      <c r="A1817" s="7">
        <v>42359</v>
      </c>
      <c r="B1817" s="43">
        <v>545</v>
      </c>
      <c r="C1817">
        <f t="shared" si="35"/>
        <v>2015</v>
      </c>
    </row>
    <row r="1818" spans="1:3" x14ac:dyDescent="0.35">
      <c r="A1818" s="7">
        <v>42356</v>
      </c>
      <c r="B1818" s="43">
        <v>524</v>
      </c>
      <c r="C1818">
        <f t="shared" si="35"/>
        <v>2015</v>
      </c>
    </row>
    <row r="1819" spans="1:3" x14ac:dyDescent="0.35">
      <c r="A1819" s="7">
        <v>42355</v>
      </c>
      <c r="B1819" s="43">
        <v>498</v>
      </c>
      <c r="C1819">
        <f t="shared" si="35"/>
        <v>2015</v>
      </c>
    </row>
    <row r="1820" spans="1:3" x14ac:dyDescent="0.35">
      <c r="A1820" s="7">
        <v>42354</v>
      </c>
      <c r="B1820" s="43">
        <v>499</v>
      </c>
      <c r="C1820">
        <f t="shared" si="35"/>
        <v>2015</v>
      </c>
    </row>
    <row r="1821" spans="1:3" x14ac:dyDescent="0.35">
      <c r="A1821" s="7">
        <v>42353</v>
      </c>
      <c r="B1821" s="43">
        <v>465</v>
      </c>
      <c r="C1821">
        <f t="shared" si="35"/>
        <v>2015</v>
      </c>
    </row>
    <row r="1822" spans="1:3" x14ac:dyDescent="0.35">
      <c r="A1822" s="7">
        <v>42352</v>
      </c>
      <c r="B1822" s="43">
        <v>484</v>
      </c>
      <c r="C1822">
        <f t="shared" si="35"/>
        <v>2015</v>
      </c>
    </row>
    <row r="1823" spans="1:3" x14ac:dyDescent="0.35">
      <c r="A1823" s="7">
        <v>42349</v>
      </c>
      <c r="B1823" s="43">
        <v>501</v>
      </c>
      <c r="C1823">
        <f t="shared" si="35"/>
        <v>2015</v>
      </c>
    </row>
    <row r="1824" spans="1:3" x14ac:dyDescent="0.35">
      <c r="A1824" s="7">
        <v>42348</v>
      </c>
      <c r="B1824" s="43">
        <v>473</v>
      </c>
      <c r="C1824">
        <f t="shared" si="35"/>
        <v>2015</v>
      </c>
    </row>
    <row r="1825" spans="1:3" x14ac:dyDescent="0.35">
      <c r="A1825" s="7">
        <v>42347</v>
      </c>
      <c r="B1825" s="43">
        <v>458</v>
      </c>
      <c r="C1825">
        <f t="shared" si="35"/>
        <v>2015</v>
      </c>
    </row>
    <row r="1826" spans="1:3" x14ac:dyDescent="0.35">
      <c r="A1826" s="7">
        <v>42346</v>
      </c>
      <c r="B1826" s="43">
        <v>453</v>
      </c>
      <c r="C1826">
        <f t="shared" si="35"/>
        <v>2015</v>
      </c>
    </row>
    <row r="1827" spans="1:3" x14ac:dyDescent="0.35">
      <c r="A1827" s="7">
        <v>42345</v>
      </c>
      <c r="B1827" s="43">
        <v>444</v>
      </c>
      <c r="C1827">
        <f t="shared" si="35"/>
        <v>2015</v>
      </c>
    </row>
    <row r="1828" spans="1:3" x14ac:dyDescent="0.35">
      <c r="A1828" s="7">
        <v>42342</v>
      </c>
      <c r="B1828" s="43">
        <v>435</v>
      </c>
      <c r="C1828">
        <f t="shared" si="35"/>
        <v>2015</v>
      </c>
    </row>
    <row r="1829" spans="1:3" x14ac:dyDescent="0.35">
      <c r="A1829" s="7">
        <v>42341</v>
      </c>
      <c r="B1829" s="43">
        <v>438</v>
      </c>
      <c r="C1829">
        <f t="shared" si="35"/>
        <v>2015</v>
      </c>
    </row>
    <row r="1830" spans="1:3" x14ac:dyDescent="0.35">
      <c r="A1830" s="7">
        <v>42340</v>
      </c>
      <c r="B1830" s="43">
        <v>440</v>
      </c>
      <c r="C1830">
        <f t="shared" si="35"/>
        <v>2015</v>
      </c>
    </row>
    <row r="1831" spans="1:3" x14ac:dyDescent="0.35">
      <c r="A1831" s="7">
        <v>42339</v>
      </c>
      <c r="B1831" s="43">
        <v>436</v>
      </c>
      <c r="C1831">
        <f t="shared" si="35"/>
        <v>2015</v>
      </c>
    </row>
    <row r="1832" spans="1:3" x14ac:dyDescent="0.35">
      <c r="A1832" s="7">
        <v>42338</v>
      </c>
      <c r="B1832" s="43">
        <v>432</v>
      </c>
      <c r="C1832">
        <f t="shared" si="35"/>
        <v>2015</v>
      </c>
    </row>
    <row r="1833" spans="1:3" x14ac:dyDescent="0.35">
      <c r="A1833" s="7">
        <v>42335</v>
      </c>
      <c r="B1833" s="43">
        <v>409</v>
      </c>
      <c r="C1833">
        <f t="shared" si="35"/>
        <v>2015</v>
      </c>
    </row>
    <row r="1834" spans="1:3" x14ac:dyDescent="0.35">
      <c r="A1834" s="7">
        <v>42334</v>
      </c>
      <c r="B1834" s="43">
        <v>411</v>
      </c>
      <c r="C1834">
        <f t="shared" si="35"/>
        <v>2015</v>
      </c>
    </row>
    <row r="1835" spans="1:3" x14ac:dyDescent="0.35">
      <c r="A1835" s="7">
        <v>42333</v>
      </c>
      <c r="B1835" s="43">
        <v>411</v>
      </c>
      <c r="C1835">
        <f t="shared" si="35"/>
        <v>2015</v>
      </c>
    </row>
    <row r="1836" spans="1:3" x14ac:dyDescent="0.35">
      <c r="A1836" s="7">
        <v>42332</v>
      </c>
      <c r="B1836" s="43">
        <v>393</v>
      </c>
      <c r="C1836">
        <f t="shared" si="35"/>
        <v>2015</v>
      </c>
    </row>
    <row r="1837" spans="1:3" x14ac:dyDescent="0.35">
      <c r="A1837" s="7">
        <v>42331</v>
      </c>
      <c r="B1837" s="43">
        <v>397</v>
      </c>
      <c r="C1837">
        <f t="shared" si="35"/>
        <v>2015</v>
      </c>
    </row>
    <row r="1838" spans="1:3" x14ac:dyDescent="0.35">
      <c r="A1838" s="7">
        <v>42328</v>
      </c>
      <c r="B1838" s="43">
        <v>386</v>
      </c>
      <c r="C1838">
        <f t="shared" si="35"/>
        <v>2015</v>
      </c>
    </row>
    <row r="1839" spans="1:3" x14ac:dyDescent="0.35">
      <c r="A1839" s="7">
        <v>42327</v>
      </c>
      <c r="B1839" s="43">
        <v>381</v>
      </c>
      <c r="C1839">
        <f t="shared" si="35"/>
        <v>2015</v>
      </c>
    </row>
    <row r="1840" spans="1:3" x14ac:dyDescent="0.35">
      <c r="A1840" s="7">
        <v>42326</v>
      </c>
      <c r="B1840" s="43">
        <v>395</v>
      </c>
      <c r="C1840">
        <f t="shared" si="35"/>
        <v>2015</v>
      </c>
    </row>
    <row r="1841" spans="1:3" x14ac:dyDescent="0.35">
      <c r="A1841" s="7">
        <v>42325</v>
      </c>
      <c r="B1841" s="43">
        <v>399</v>
      </c>
      <c r="C1841">
        <f t="shared" si="35"/>
        <v>2015</v>
      </c>
    </row>
    <row r="1842" spans="1:3" x14ac:dyDescent="0.35">
      <c r="A1842" s="7">
        <v>42324</v>
      </c>
      <c r="B1842" s="43">
        <v>410</v>
      </c>
      <c r="C1842">
        <f t="shared" si="35"/>
        <v>2015</v>
      </c>
    </row>
    <row r="1843" spans="1:3" x14ac:dyDescent="0.35">
      <c r="A1843" s="7">
        <v>42321</v>
      </c>
      <c r="B1843" s="43">
        <v>415</v>
      </c>
      <c r="C1843">
        <f t="shared" si="35"/>
        <v>2015</v>
      </c>
    </row>
    <row r="1844" spans="1:3" x14ac:dyDescent="0.35">
      <c r="A1844" s="7">
        <v>42320</v>
      </c>
      <c r="B1844" s="43">
        <v>398</v>
      </c>
      <c r="C1844">
        <f t="shared" si="35"/>
        <v>2015</v>
      </c>
    </row>
    <row r="1845" spans="1:3" x14ac:dyDescent="0.35">
      <c r="A1845" s="7">
        <v>42319</v>
      </c>
      <c r="B1845" s="43">
        <v>396</v>
      </c>
      <c r="C1845">
        <f t="shared" si="35"/>
        <v>2015</v>
      </c>
    </row>
    <row r="1846" spans="1:3" x14ac:dyDescent="0.35">
      <c r="A1846" s="7">
        <v>42318</v>
      </c>
      <c r="B1846" s="43">
        <v>396</v>
      </c>
      <c r="C1846">
        <f t="shared" si="35"/>
        <v>2015</v>
      </c>
    </row>
    <row r="1847" spans="1:3" x14ac:dyDescent="0.35">
      <c r="A1847" s="7">
        <v>42317</v>
      </c>
      <c r="B1847" s="43">
        <v>403</v>
      </c>
      <c r="C1847">
        <f t="shared" si="35"/>
        <v>2015</v>
      </c>
    </row>
    <row r="1848" spans="1:3" x14ac:dyDescent="0.35">
      <c r="A1848" s="7">
        <v>42314</v>
      </c>
      <c r="B1848" s="43">
        <v>393</v>
      </c>
      <c r="C1848">
        <f t="shared" si="35"/>
        <v>2015</v>
      </c>
    </row>
    <row r="1849" spans="1:3" x14ac:dyDescent="0.35">
      <c r="A1849" s="7">
        <v>42313</v>
      </c>
      <c r="B1849" s="43">
        <v>387</v>
      </c>
      <c r="C1849">
        <f t="shared" si="35"/>
        <v>2015</v>
      </c>
    </row>
    <row r="1850" spans="1:3" x14ac:dyDescent="0.35">
      <c r="A1850" s="7">
        <v>42312</v>
      </c>
      <c r="B1850" s="43">
        <v>378</v>
      </c>
      <c r="C1850">
        <f t="shared" si="35"/>
        <v>2015</v>
      </c>
    </row>
    <row r="1851" spans="1:3" x14ac:dyDescent="0.35">
      <c r="A1851" s="7">
        <v>42311</v>
      </c>
      <c r="B1851" s="43">
        <v>376</v>
      </c>
      <c r="C1851">
        <f t="shared" si="35"/>
        <v>2015</v>
      </c>
    </row>
    <row r="1852" spans="1:3" x14ac:dyDescent="0.35">
      <c r="A1852" s="7">
        <v>42310</v>
      </c>
      <c r="B1852" s="43">
        <v>394</v>
      </c>
      <c r="C1852">
        <f t="shared" si="35"/>
        <v>2015</v>
      </c>
    </row>
    <row r="1853" spans="1:3" x14ac:dyDescent="0.35">
      <c r="A1853" s="7">
        <v>42307</v>
      </c>
      <c r="B1853" s="43">
        <v>410</v>
      </c>
      <c r="C1853">
        <f t="shared" si="35"/>
        <v>2015</v>
      </c>
    </row>
    <row r="1854" spans="1:3" x14ac:dyDescent="0.35">
      <c r="A1854" s="7">
        <v>42306</v>
      </c>
      <c r="B1854" s="43">
        <v>410</v>
      </c>
      <c r="C1854">
        <f t="shared" si="35"/>
        <v>2015</v>
      </c>
    </row>
    <row r="1855" spans="1:3" x14ac:dyDescent="0.35">
      <c r="A1855" s="7">
        <v>42305</v>
      </c>
      <c r="B1855" s="43">
        <v>414</v>
      </c>
      <c r="C1855">
        <f t="shared" si="35"/>
        <v>2015</v>
      </c>
    </row>
    <row r="1856" spans="1:3" x14ac:dyDescent="0.35">
      <c r="A1856" s="7">
        <v>42304</v>
      </c>
      <c r="B1856" s="43">
        <v>422</v>
      </c>
      <c r="C1856">
        <f t="shared" si="35"/>
        <v>2015</v>
      </c>
    </row>
    <row r="1857" spans="1:3" x14ac:dyDescent="0.35">
      <c r="A1857" s="7">
        <v>42303</v>
      </c>
      <c r="B1857" s="43">
        <v>418</v>
      </c>
      <c r="C1857">
        <f t="shared" si="35"/>
        <v>2015</v>
      </c>
    </row>
    <row r="1858" spans="1:3" x14ac:dyDescent="0.35">
      <c r="A1858" s="7">
        <v>42300</v>
      </c>
      <c r="B1858" s="43">
        <v>423</v>
      </c>
      <c r="C1858">
        <f t="shared" si="35"/>
        <v>2015</v>
      </c>
    </row>
    <row r="1859" spans="1:3" x14ac:dyDescent="0.35">
      <c r="A1859" s="7">
        <v>42299</v>
      </c>
      <c r="B1859" s="43">
        <v>437</v>
      </c>
      <c r="C1859">
        <f t="shared" ref="C1859:C1922" si="36">YEAR(A1859)</f>
        <v>2015</v>
      </c>
    </row>
    <row r="1860" spans="1:3" x14ac:dyDescent="0.35">
      <c r="A1860" s="7">
        <v>42298</v>
      </c>
      <c r="B1860" s="43">
        <v>450</v>
      </c>
      <c r="C1860">
        <f t="shared" si="36"/>
        <v>2015</v>
      </c>
    </row>
    <row r="1861" spans="1:3" x14ac:dyDescent="0.35">
      <c r="A1861" s="7">
        <v>42297</v>
      </c>
      <c r="B1861" s="43">
        <v>454</v>
      </c>
      <c r="C1861">
        <f t="shared" si="36"/>
        <v>2015</v>
      </c>
    </row>
    <row r="1862" spans="1:3" x14ac:dyDescent="0.35">
      <c r="A1862" s="7">
        <v>42296</v>
      </c>
      <c r="B1862" s="43">
        <v>438</v>
      </c>
      <c r="C1862">
        <f t="shared" si="36"/>
        <v>2015</v>
      </c>
    </row>
    <row r="1863" spans="1:3" x14ac:dyDescent="0.35">
      <c r="A1863" s="7">
        <v>42293</v>
      </c>
      <c r="B1863" s="43">
        <v>419</v>
      </c>
      <c r="C1863">
        <f t="shared" si="36"/>
        <v>2015</v>
      </c>
    </row>
    <row r="1864" spans="1:3" x14ac:dyDescent="0.35">
      <c r="A1864" s="7">
        <v>42292</v>
      </c>
      <c r="B1864" s="43">
        <v>408</v>
      </c>
      <c r="C1864">
        <f t="shared" si="36"/>
        <v>2015</v>
      </c>
    </row>
    <row r="1865" spans="1:3" x14ac:dyDescent="0.35">
      <c r="A1865" s="7">
        <v>42291</v>
      </c>
      <c r="B1865" s="43">
        <v>411</v>
      </c>
      <c r="C1865">
        <f t="shared" si="36"/>
        <v>2015</v>
      </c>
    </row>
    <row r="1866" spans="1:3" x14ac:dyDescent="0.35">
      <c r="A1866" s="7">
        <v>42290</v>
      </c>
      <c r="B1866" s="43">
        <v>408</v>
      </c>
      <c r="C1866">
        <f t="shared" si="36"/>
        <v>2015</v>
      </c>
    </row>
    <row r="1867" spans="1:3" x14ac:dyDescent="0.35">
      <c r="A1867" s="7">
        <v>42289</v>
      </c>
      <c r="B1867" s="43">
        <v>383</v>
      </c>
      <c r="C1867">
        <f t="shared" si="36"/>
        <v>2015</v>
      </c>
    </row>
    <row r="1868" spans="1:3" x14ac:dyDescent="0.35">
      <c r="A1868" s="7">
        <v>42286</v>
      </c>
      <c r="B1868" s="43">
        <v>383</v>
      </c>
      <c r="C1868">
        <f t="shared" si="36"/>
        <v>2015</v>
      </c>
    </row>
    <row r="1869" spans="1:3" x14ac:dyDescent="0.35">
      <c r="A1869" s="7">
        <v>42285</v>
      </c>
      <c r="B1869" s="43">
        <v>389</v>
      </c>
      <c r="C1869">
        <f t="shared" si="36"/>
        <v>2015</v>
      </c>
    </row>
    <row r="1870" spans="1:3" x14ac:dyDescent="0.35">
      <c r="A1870" s="7">
        <v>42284</v>
      </c>
      <c r="B1870" s="43">
        <v>405</v>
      </c>
      <c r="C1870">
        <f t="shared" si="36"/>
        <v>2015</v>
      </c>
    </row>
    <row r="1871" spans="1:3" x14ac:dyDescent="0.35">
      <c r="A1871" s="7">
        <v>42283</v>
      </c>
      <c r="B1871" s="43">
        <v>386</v>
      </c>
      <c r="C1871">
        <f t="shared" si="36"/>
        <v>2015</v>
      </c>
    </row>
    <row r="1872" spans="1:3" x14ac:dyDescent="0.35">
      <c r="A1872" s="7">
        <v>42282</v>
      </c>
      <c r="B1872" s="43">
        <v>388</v>
      </c>
      <c r="C1872">
        <f t="shared" si="36"/>
        <v>2015</v>
      </c>
    </row>
    <row r="1873" spans="1:3" x14ac:dyDescent="0.35">
      <c r="A1873" s="7">
        <v>42279</v>
      </c>
      <c r="B1873" s="43">
        <v>406</v>
      </c>
      <c r="C1873">
        <f t="shared" si="36"/>
        <v>2015</v>
      </c>
    </row>
    <row r="1874" spans="1:3" x14ac:dyDescent="0.35">
      <c r="A1874" s="7">
        <v>42278</v>
      </c>
      <c r="B1874" s="43">
        <v>421</v>
      </c>
      <c r="C1874">
        <f t="shared" si="36"/>
        <v>2015</v>
      </c>
    </row>
    <row r="1875" spans="1:3" x14ac:dyDescent="0.35">
      <c r="A1875" s="7">
        <v>42277</v>
      </c>
      <c r="B1875" s="43">
        <v>442</v>
      </c>
      <c r="C1875">
        <f t="shared" si="36"/>
        <v>2015</v>
      </c>
    </row>
    <row r="1876" spans="1:3" x14ac:dyDescent="0.35">
      <c r="A1876" s="7">
        <v>42276</v>
      </c>
      <c r="B1876" s="43">
        <v>485</v>
      </c>
      <c r="C1876">
        <f t="shared" si="36"/>
        <v>2015</v>
      </c>
    </row>
    <row r="1877" spans="1:3" x14ac:dyDescent="0.35">
      <c r="A1877" s="7">
        <v>42275</v>
      </c>
      <c r="B1877" s="43">
        <v>489</v>
      </c>
      <c r="C1877">
        <f t="shared" si="36"/>
        <v>2015</v>
      </c>
    </row>
    <row r="1878" spans="1:3" x14ac:dyDescent="0.35">
      <c r="A1878" s="7">
        <v>42272</v>
      </c>
      <c r="B1878" s="43">
        <v>453</v>
      </c>
      <c r="C1878">
        <f t="shared" si="36"/>
        <v>2015</v>
      </c>
    </row>
    <row r="1879" spans="1:3" x14ac:dyDescent="0.35">
      <c r="A1879" s="7">
        <v>42271</v>
      </c>
      <c r="B1879" s="43">
        <v>450</v>
      </c>
      <c r="C1879">
        <f t="shared" si="36"/>
        <v>2015</v>
      </c>
    </row>
    <row r="1880" spans="1:3" x14ac:dyDescent="0.35">
      <c r="A1880" s="7">
        <v>42270</v>
      </c>
      <c r="B1880" s="43">
        <v>454</v>
      </c>
      <c r="C1880">
        <f t="shared" si="36"/>
        <v>2015</v>
      </c>
    </row>
    <row r="1881" spans="1:3" x14ac:dyDescent="0.35">
      <c r="A1881" s="7">
        <v>42269</v>
      </c>
      <c r="B1881" s="43">
        <v>443</v>
      </c>
      <c r="C1881">
        <f t="shared" si="36"/>
        <v>2015</v>
      </c>
    </row>
    <row r="1882" spans="1:3" x14ac:dyDescent="0.35">
      <c r="A1882" s="7">
        <v>42268</v>
      </c>
      <c r="B1882" s="43">
        <v>422</v>
      </c>
      <c r="C1882">
        <f t="shared" si="36"/>
        <v>2015</v>
      </c>
    </row>
    <row r="1883" spans="1:3" x14ac:dyDescent="0.35">
      <c r="A1883" s="7">
        <v>42265</v>
      </c>
      <c r="B1883" s="43">
        <v>397</v>
      </c>
      <c r="C1883">
        <f t="shared" si="36"/>
        <v>2015</v>
      </c>
    </row>
    <row r="1884" spans="1:3" x14ac:dyDescent="0.35">
      <c r="A1884" s="7">
        <v>42264</v>
      </c>
      <c r="B1884" s="43">
        <v>376</v>
      </c>
      <c r="C1884">
        <f t="shared" si="36"/>
        <v>2015</v>
      </c>
    </row>
    <row r="1885" spans="1:3" x14ac:dyDescent="0.35">
      <c r="A1885" s="7">
        <v>42263</v>
      </c>
      <c r="B1885" s="43">
        <v>374</v>
      </c>
      <c r="C1885">
        <f t="shared" si="36"/>
        <v>2015</v>
      </c>
    </row>
    <row r="1886" spans="1:3" x14ac:dyDescent="0.35">
      <c r="A1886" s="7">
        <v>42262</v>
      </c>
      <c r="B1886" s="43">
        <v>377</v>
      </c>
      <c r="C1886">
        <f t="shared" si="36"/>
        <v>2015</v>
      </c>
    </row>
    <row r="1887" spans="1:3" x14ac:dyDescent="0.35">
      <c r="A1887" s="7">
        <v>42261</v>
      </c>
      <c r="B1887" s="43">
        <v>389</v>
      </c>
      <c r="C1887">
        <f t="shared" si="36"/>
        <v>2015</v>
      </c>
    </row>
    <row r="1888" spans="1:3" x14ac:dyDescent="0.35">
      <c r="A1888" s="7">
        <v>42258</v>
      </c>
      <c r="B1888" s="43">
        <v>390</v>
      </c>
      <c r="C1888">
        <f t="shared" si="36"/>
        <v>2015</v>
      </c>
    </row>
    <row r="1889" spans="1:3" x14ac:dyDescent="0.35">
      <c r="A1889" s="7">
        <v>42257</v>
      </c>
      <c r="B1889" s="43">
        <v>388</v>
      </c>
      <c r="C1889">
        <f t="shared" si="36"/>
        <v>2015</v>
      </c>
    </row>
    <row r="1890" spans="1:3" x14ac:dyDescent="0.35">
      <c r="A1890" s="7">
        <v>42256</v>
      </c>
      <c r="B1890" s="43">
        <v>363</v>
      </c>
      <c r="C1890">
        <f t="shared" si="36"/>
        <v>2015</v>
      </c>
    </row>
    <row r="1891" spans="1:3" x14ac:dyDescent="0.35">
      <c r="A1891" s="7">
        <v>42255</v>
      </c>
      <c r="B1891" s="43">
        <v>372</v>
      </c>
      <c r="C1891">
        <f t="shared" si="36"/>
        <v>2015</v>
      </c>
    </row>
    <row r="1892" spans="1:3" x14ac:dyDescent="0.35">
      <c r="A1892" s="7">
        <v>42254</v>
      </c>
      <c r="B1892" s="43">
        <v>381</v>
      </c>
      <c r="C1892">
        <f t="shared" si="36"/>
        <v>2015</v>
      </c>
    </row>
    <row r="1893" spans="1:3" x14ac:dyDescent="0.35">
      <c r="A1893" s="7">
        <v>42251</v>
      </c>
      <c r="B1893" s="43">
        <v>381</v>
      </c>
      <c r="C1893">
        <f t="shared" si="36"/>
        <v>2015</v>
      </c>
    </row>
    <row r="1894" spans="1:3" x14ac:dyDescent="0.35">
      <c r="A1894" s="7">
        <v>42250</v>
      </c>
      <c r="B1894" s="43">
        <v>365</v>
      </c>
      <c r="C1894">
        <f t="shared" si="36"/>
        <v>2015</v>
      </c>
    </row>
    <row r="1895" spans="1:3" x14ac:dyDescent="0.35">
      <c r="A1895" s="7">
        <v>42249</v>
      </c>
      <c r="B1895" s="43">
        <v>367</v>
      </c>
      <c r="C1895">
        <f t="shared" si="36"/>
        <v>2015</v>
      </c>
    </row>
    <row r="1896" spans="1:3" x14ac:dyDescent="0.35">
      <c r="A1896" s="7">
        <v>42248</v>
      </c>
      <c r="B1896" s="43">
        <v>361</v>
      </c>
      <c r="C1896">
        <f t="shared" si="36"/>
        <v>2015</v>
      </c>
    </row>
    <row r="1897" spans="1:3" x14ac:dyDescent="0.35">
      <c r="A1897" s="7">
        <v>42247</v>
      </c>
      <c r="B1897" s="43">
        <v>340</v>
      </c>
      <c r="C1897">
        <f t="shared" si="36"/>
        <v>2015</v>
      </c>
    </row>
    <row r="1898" spans="1:3" x14ac:dyDescent="0.35">
      <c r="A1898" s="7">
        <v>42244</v>
      </c>
      <c r="B1898" s="43">
        <v>334</v>
      </c>
      <c r="C1898">
        <f t="shared" si="36"/>
        <v>2015</v>
      </c>
    </row>
    <row r="1899" spans="1:3" x14ac:dyDescent="0.35">
      <c r="A1899" s="7">
        <v>42243</v>
      </c>
      <c r="B1899" s="43">
        <v>338</v>
      </c>
      <c r="C1899">
        <f t="shared" si="36"/>
        <v>2015</v>
      </c>
    </row>
    <row r="1900" spans="1:3" x14ac:dyDescent="0.35">
      <c r="A1900" s="7">
        <v>42242</v>
      </c>
      <c r="B1900" s="43">
        <v>358</v>
      </c>
      <c r="C1900">
        <f t="shared" si="36"/>
        <v>2015</v>
      </c>
    </row>
    <row r="1901" spans="1:3" x14ac:dyDescent="0.35">
      <c r="A1901" s="7">
        <v>42241</v>
      </c>
      <c r="B1901" s="43">
        <v>352</v>
      </c>
      <c r="C1901">
        <f t="shared" si="36"/>
        <v>2015</v>
      </c>
    </row>
    <row r="1902" spans="1:3" x14ac:dyDescent="0.35">
      <c r="A1902" s="7">
        <v>42240</v>
      </c>
      <c r="B1902" s="43">
        <v>369</v>
      </c>
      <c r="C1902">
        <f t="shared" si="36"/>
        <v>2015</v>
      </c>
    </row>
    <row r="1903" spans="1:3" x14ac:dyDescent="0.35">
      <c r="A1903" s="7">
        <v>42237</v>
      </c>
      <c r="B1903" s="43">
        <v>351</v>
      </c>
      <c r="C1903">
        <f t="shared" si="36"/>
        <v>2015</v>
      </c>
    </row>
    <row r="1904" spans="1:3" x14ac:dyDescent="0.35">
      <c r="A1904" s="7">
        <v>42236</v>
      </c>
      <c r="B1904" s="43">
        <v>338</v>
      </c>
      <c r="C1904">
        <f t="shared" si="36"/>
        <v>2015</v>
      </c>
    </row>
    <row r="1905" spans="1:3" x14ac:dyDescent="0.35">
      <c r="A1905" s="7">
        <v>42235</v>
      </c>
      <c r="B1905" s="43">
        <v>329</v>
      </c>
      <c r="C1905">
        <f t="shared" si="36"/>
        <v>2015</v>
      </c>
    </row>
    <row r="1906" spans="1:3" x14ac:dyDescent="0.35">
      <c r="A1906" s="7">
        <v>42234</v>
      </c>
      <c r="B1906" s="43">
        <v>316</v>
      </c>
      <c r="C1906">
        <f t="shared" si="36"/>
        <v>2015</v>
      </c>
    </row>
    <row r="1907" spans="1:3" x14ac:dyDescent="0.35">
      <c r="A1907" s="7">
        <v>42233</v>
      </c>
      <c r="B1907" s="43">
        <v>316</v>
      </c>
      <c r="C1907">
        <f t="shared" si="36"/>
        <v>2015</v>
      </c>
    </row>
    <row r="1908" spans="1:3" x14ac:dyDescent="0.35">
      <c r="A1908" s="7">
        <v>42230</v>
      </c>
      <c r="B1908" s="43">
        <v>318</v>
      </c>
      <c r="C1908">
        <f t="shared" si="36"/>
        <v>2015</v>
      </c>
    </row>
    <row r="1909" spans="1:3" x14ac:dyDescent="0.35">
      <c r="A1909" s="7">
        <v>42229</v>
      </c>
      <c r="B1909" s="43">
        <v>322</v>
      </c>
      <c r="C1909">
        <f t="shared" si="36"/>
        <v>2015</v>
      </c>
    </row>
    <row r="1910" spans="1:3" x14ac:dyDescent="0.35">
      <c r="A1910" s="7">
        <v>42228</v>
      </c>
      <c r="B1910" s="43">
        <v>323</v>
      </c>
      <c r="C1910">
        <f t="shared" si="36"/>
        <v>2015</v>
      </c>
    </row>
    <row r="1911" spans="1:3" x14ac:dyDescent="0.35">
      <c r="A1911" s="7">
        <v>42227</v>
      </c>
      <c r="B1911" s="43">
        <v>342</v>
      </c>
      <c r="C1911">
        <f t="shared" si="36"/>
        <v>2015</v>
      </c>
    </row>
    <row r="1912" spans="1:3" x14ac:dyDescent="0.35">
      <c r="A1912" s="7">
        <v>42226</v>
      </c>
      <c r="B1912" s="43">
        <v>335</v>
      </c>
      <c r="C1912">
        <f t="shared" si="36"/>
        <v>2015</v>
      </c>
    </row>
    <row r="1913" spans="1:3" x14ac:dyDescent="0.35">
      <c r="A1913" s="7">
        <v>42223</v>
      </c>
      <c r="B1913" s="43">
        <v>343</v>
      </c>
      <c r="C1913">
        <f t="shared" si="36"/>
        <v>2015</v>
      </c>
    </row>
    <row r="1914" spans="1:3" x14ac:dyDescent="0.35">
      <c r="A1914" s="7">
        <v>42222</v>
      </c>
      <c r="B1914" s="43">
        <v>341</v>
      </c>
      <c r="C1914">
        <f t="shared" si="36"/>
        <v>2015</v>
      </c>
    </row>
    <row r="1915" spans="1:3" x14ac:dyDescent="0.35">
      <c r="A1915" s="7">
        <v>42221</v>
      </c>
      <c r="B1915" s="43">
        <v>317</v>
      </c>
      <c r="C1915">
        <f t="shared" si="36"/>
        <v>2015</v>
      </c>
    </row>
    <row r="1916" spans="1:3" x14ac:dyDescent="0.35">
      <c r="A1916" s="7">
        <v>42220</v>
      </c>
      <c r="B1916" s="43">
        <v>322</v>
      </c>
      <c r="C1916">
        <f t="shared" si="36"/>
        <v>2015</v>
      </c>
    </row>
    <row r="1917" spans="1:3" x14ac:dyDescent="0.35">
      <c r="A1917" s="7">
        <v>42219</v>
      </c>
      <c r="B1917" s="43">
        <v>323</v>
      </c>
      <c r="C1917">
        <f t="shared" si="36"/>
        <v>2015</v>
      </c>
    </row>
    <row r="1918" spans="1:3" x14ac:dyDescent="0.35">
      <c r="A1918" s="7">
        <v>42216</v>
      </c>
      <c r="B1918" s="43">
        <v>315</v>
      </c>
      <c r="C1918">
        <f t="shared" si="36"/>
        <v>2015</v>
      </c>
    </row>
    <row r="1919" spans="1:3" x14ac:dyDescent="0.35">
      <c r="A1919" s="7">
        <v>42215</v>
      </c>
      <c r="B1919" s="43">
        <v>339</v>
      </c>
      <c r="C1919">
        <f t="shared" si="36"/>
        <v>2015</v>
      </c>
    </row>
    <row r="1920" spans="1:3" x14ac:dyDescent="0.35">
      <c r="A1920" s="7">
        <v>42214</v>
      </c>
      <c r="B1920" s="43">
        <v>340</v>
      </c>
      <c r="C1920">
        <f t="shared" si="36"/>
        <v>2015</v>
      </c>
    </row>
    <row r="1921" spans="1:3" x14ac:dyDescent="0.35">
      <c r="A1921" s="7">
        <v>42213</v>
      </c>
      <c r="B1921" s="43">
        <v>350</v>
      </c>
      <c r="C1921">
        <f t="shared" si="36"/>
        <v>2015</v>
      </c>
    </row>
    <row r="1922" spans="1:3" x14ac:dyDescent="0.35">
      <c r="A1922" s="7">
        <v>42212</v>
      </c>
      <c r="B1922" s="43">
        <v>360</v>
      </c>
      <c r="C1922">
        <f t="shared" si="36"/>
        <v>2015</v>
      </c>
    </row>
    <row r="1923" spans="1:3" x14ac:dyDescent="0.35">
      <c r="A1923" s="7">
        <v>42209</v>
      </c>
      <c r="B1923" s="43">
        <v>353</v>
      </c>
      <c r="C1923">
        <f t="shared" ref="C1923:C1986" si="37">YEAR(A1923)</f>
        <v>2015</v>
      </c>
    </row>
    <row r="1924" spans="1:3" x14ac:dyDescent="0.35">
      <c r="A1924" s="7">
        <v>42208</v>
      </c>
      <c r="B1924" s="43">
        <v>344</v>
      </c>
      <c r="C1924">
        <f t="shared" si="37"/>
        <v>2015</v>
      </c>
    </row>
    <row r="1925" spans="1:3" x14ac:dyDescent="0.35">
      <c r="A1925" s="7">
        <v>42207</v>
      </c>
      <c r="B1925" s="43">
        <v>328</v>
      </c>
      <c r="C1925">
        <f t="shared" si="37"/>
        <v>2015</v>
      </c>
    </row>
    <row r="1926" spans="1:3" x14ac:dyDescent="0.35">
      <c r="A1926" s="7">
        <v>42206</v>
      </c>
      <c r="B1926" s="43">
        <v>320</v>
      </c>
      <c r="C1926">
        <f t="shared" si="37"/>
        <v>2015</v>
      </c>
    </row>
    <row r="1927" spans="1:3" x14ac:dyDescent="0.35">
      <c r="A1927" s="7">
        <v>42205</v>
      </c>
      <c r="B1927" s="43">
        <v>318</v>
      </c>
      <c r="C1927">
        <f t="shared" si="37"/>
        <v>2015</v>
      </c>
    </row>
    <row r="1928" spans="1:3" x14ac:dyDescent="0.35">
      <c r="A1928" s="7">
        <v>42202</v>
      </c>
      <c r="B1928" s="43">
        <v>311</v>
      </c>
      <c r="C1928">
        <f t="shared" si="37"/>
        <v>2015</v>
      </c>
    </row>
    <row r="1929" spans="1:3" x14ac:dyDescent="0.35">
      <c r="A1929" s="7">
        <v>42201</v>
      </c>
      <c r="B1929" s="43">
        <v>306</v>
      </c>
      <c r="C1929">
        <f t="shared" si="37"/>
        <v>2015</v>
      </c>
    </row>
    <row r="1930" spans="1:3" x14ac:dyDescent="0.35">
      <c r="A1930" s="7">
        <v>42200</v>
      </c>
      <c r="B1930" s="43">
        <v>306</v>
      </c>
      <c r="C1930">
        <f t="shared" si="37"/>
        <v>2015</v>
      </c>
    </row>
    <row r="1931" spans="1:3" x14ac:dyDescent="0.35">
      <c r="A1931" s="7">
        <v>42199</v>
      </c>
      <c r="B1931" s="43">
        <v>297</v>
      </c>
      <c r="C1931">
        <f t="shared" si="37"/>
        <v>2015</v>
      </c>
    </row>
    <row r="1932" spans="1:3" x14ac:dyDescent="0.35">
      <c r="A1932" s="7">
        <v>42198</v>
      </c>
      <c r="B1932" s="43">
        <v>296</v>
      </c>
      <c r="C1932">
        <f t="shared" si="37"/>
        <v>2015</v>
      </c>
    </row>
    <row r="1933" spans="1:3" x14ac:dyDescent="0.35">
      <c r="A1933" s="7">
        <v>42195</v>
      </c>
      <c r="B1933" s="43">
        <v>297</v>
      </c>
      <c r="C1933">
        <f t="shared" si="37"/>
        <v>2015</v>
      </c>
    </row>
    <row r="1934" spans="1:3" x14ac:dyDescent="0.35">
      <c r="A1934" s="7">
        <v>42194</v>
      </c>
      <c r="B1934" s="43">
        <v>307</v>
      </c>
      <c r="C1934">
        <f t="shared" si="37"/>
        <v>2015</v>
      </c>
    </row>
    <row r="1935" spans="1:3" x14ac:dyDescent="0.35">
      <c r="A1935" s="7">
        <v>42193</v>
      </c>
      <c r="B1935" s="43">
        <v>312</v>
      </c>
      <c r="C1935">
        <f t="shared" si="37"/>
        <v>2015</v>
      </c>
    </row>
    <row r="1936" spans="1:3" x14ac:dyDescent="0.35">
      <c r="A1936" s="7">
        <v>42192</v>
      </c>
      <c r="B1936" s="43">
        <v>309</v>
      </c>
      <c r="C1936">
        <f t="shared" si="37"/>
        <v>2015</v>
      </c>
    </row>
    <row r="1937" spans="1:3" x14ac:dyDescent="0.35">
      <c r="A1937" s="7">
        <v>42191</v>
      </c>
      <c r="B1937" s="43">
        <v>304</v>
      </c>
      <c r="C1937">
        <f t="shared" si="37"/>
        <v>2015</v>
      </c>
    </row>
    <row r="1938" spans="1:3" x14ac:dyDescent="0.35">
      <c r="A1938" s="7">
        <v>42188</v>
      </c>
      <c r="B1938" s="43">
        <v>295</v>
      </c>
      <c r="C1938">
        <f t="shared" si="37"/>
        <v>2015</v>
      </c>
    </row>
    <row r="1939" spans="1:3" x14ac:dyDescent="0.35">
      <c r="A1939" s="7">
        <v>42187</v>
      </c>
      <c r="B1939" s="43">
        <v>295</v>
      </c>
      <c r="C1939">
        <f t="shared" si="37"/>
        <v>2015</v>
      </c>
    </row>
    <row r="1940" spans="1:3" x14ac:dyDescent="0.35">
      <c r="A1940" s="7">
        <v>42186</v>
      </c>
      <c r="B1940" s="43">
        <v>299</v>
      </c>
      <c r="C1940">
        <f t="shared" si="37"/>
        <v>2015</v>
      </c>
    </row>
    <row r="1941" spans="1:3" x14ac:dyDescent="0.35">
      <c r="A1941" s="7">
        <v>42185</v>
      </c>
      <c r="B1941" s="43">
        <v>304</v>
      </c>
      <c r="C1941">
        <f t="shared" si="37"/>
        <v>2015</v>
      </c>
    </row>
    <row r="1942" spans="1:3" x14ac:dyDescent="0.35">
      <c r="A1942" s="7">
        <v>42184</v>
      </c>
      <c r="B1942" s="43">
        <v>310</v>
      </c>
      <c r="C1942">
        <f t="shared" si="37"/>
        <v>2015</v>
      </c>
    </row>
    <row r="1943" spans="1:3" x14ac:dyDescent="0.35">
      <c r="A1943" s="7">
        <v>42181</v>
      </c>
      <c r="B1943" s="43">
        <v>296</v>
      </c>
      <c r="C1943">
        <f t="shared" si="37"/>
        <v>2015</v>
      </c>
    </row>
    <row r="1944" spans="1:3" x14ac:dyDescent="0.35">
      <c r="A1944" s="7">
        <v>42180</v>
      </c>
      <c r="B1944" s="43">
        <v>298</v>
      </c>
      <c r="C1944">
        <f t="shared" si="37"/>
        <v>2015</v>
      </c>
    </row>
    <row r="1945" spans="1:3" x14ac:dyDescent="0.35">
      <c r="A1945" s="7">
        <v>42179</v>
      </c>
      <c r="B1945" s="43">
        <v>292</v>
      </c>
      <c r="C1945">
        <f t="shared" si="37"/>
        <v>2015</v>
      </c>
    </row>
    <row r="1946" spans="1:3" x14ac:dyDescent="0.35">
      <c r="A1946" s="7">
        <v>42178</v>
      </c>
      <c r="B1946" s="43">
        <v>288</v>
      </c>
      <c r="C1946">
        <f t="shared" si="37"/>
        <v>2015</v>
      </c>
    </row>
    <row r="1947" spans="1:3" x14ac:dyDescent="0.35">
      <c r="A1947" s="7">
        <v>42177</v>
      </c>
      <c r="B1947" s="43">
        <v>292</v>
      </c>
      <c r="C1947">
        <f t="shared" si="37"/>
        <v>2015</v>
      </c>
    </row>
    <row r="1948" spans="1:3" x14ac:dyDescent="0.35">
      <c r="A1948" s="7">
        <v>42174</v>
      </c>
      <c r="B1948" s="43">
        <v>292</v>
      </c>
      <c r="C1948">
        <f t="shared" si="37"/>
        <v>2015</v>
      </c>
    </row>
    <row r="1949" spans="1:3" x14ac:dyDescent="0.35">
      <c r="A1949" s="7">
        <v>42173</v>
      </c>
      <c r="B1949" s="43">
        <v>283</v>
      </c>
      <c r="C1949">
        <f t="shared" si="37"/>
        <v>2015</v>
      </c>
    </row>
    <row r="1950" spans="1:3" x14ac:dyDescent="0.35">
      <c r="A1950" s="7">
        <v>42172</v>
      </c>
      <c r="B1950" s="43">
        <v>298</v>
      </c>
      <c r="C1950">
        <f t="shared" si="37"/>
        <v>2015</v>
      </c>
    </row>
    <row r="1951" spans="1:3" x14ac:dyDescent="0.35">
      <c r="A1951" s="7">
        <v>42171</v>
      </c>
      <c r="B1951" s="43">
        <v>297</v>
      </c>
      <c r="C1951">
        <f t="shared" si="37"/>
        <v>2015</v>
      </c>
    </row>
    <row r="1952" spans="1:3" x14ac:dyDescent="0.35">
      <c r="A1952" s="7">
        <v>42170</v>
      </c>
      <c r="B1952" s="43">
        <v>292</v>
      </c>
      <c r="C1952">
        <f t="shared" si="37"/>
        <v>2015</v>
      </c>
    </row>
    <row r="1953" spans="1:3" x14ac:dyDescent="0.35">
      <c r="A1953" s="7">
        <v>42167</v>
      </c>
      <c r="B1953" s="43">
        <v>287</v>
      </c>
      <c r="C1953">
        <f t="shared" si="37"/>
        <v>2015</v>
      </c>
    </row>
    <row r="1954" spans="1:3" x14ac:dyDescent="0.35">
      <c r="A1954" s="7">
        <v>42166</v>
      </c>
      <c r="B1954" s="43">
        <v>288</v>
      </c>
      <c r="C1954">
        <f t="shared" si="37"/>
        <v>2015</v>
      </c>
    </row>
    <row r="1955" spans="1:3" x14ac:dyDescent="0.35">
      <c r="A1955" s="7">
        <v>42165</v>
      </c>
      <c r="B1955" s="43">
        <v>291</v>
      </c>
      <c r="C1955">
        <f t="shared" si="37"/>
        <v>2015</v>
      </c>
    </row>
    <row r="1956" spans="1:3" x14ac:dyDescent="0.35">
      <c r="A1956" s="7">
        <v>42164</v>
      </c>
      <c r="B1956" s="43">
        <v>290</v>
      </c>
      <c r="C1956">
        <f t="shared" si="37"/>
        <v>2015</v>
      </c>
    </row>
    <row r="1957" spans="1:3" x14ac:dyDescent="0.35">
      <c r="A1957" s="7">
        <v>42163</v>
      </c>
      <c r="B1957" s="43">
        <v>288</v>
      </c>
      <c r="C1957">
        <f t="shared" si="37"/>
        <v>2015</v>
      </c>
    </row>
    <row r="1958" spans="1:3" x14ac:dyDescent="0.35">
      <c r="A1958" s="7">
        <v>42160</v>
      </c>
      <c r="B1958" s="43">
        <v>287</v>
      </c>
      <c r="C1958">
        <f t="shared" si="37"/>
        <v>2015</v>
      </c>
    </row>
    <row r="1959" spans="1:3" x14ac:dyDescent="0.35">
      <c r="A1959" s="7">
        <v>42159</v>
      </c>
      <c r="B1959" s="43">
        <v>288</v>
      </c>
      <c r="C1959">
        <f t="shared" si="37"/>
        <v>2015</v>
      </c>
    </row>
    <row r="1960" spans="1:3" x14ac:dyDescent="0.35">
      <c r="A1960" s="7">
        <v>42158</v>
      </c>
      <c r="B1960" s="43">
        <v>283</v>
      </c>
      <c r="C1960">
        <f t="shared" si="37"/>
        <v>2015</v>
      </c>
    </row>
    <row r="1961" spans="1:3" x14ac:dyDescent="0.35">
      <c r="A1961" s="7">
        <v>42157</v>
      </c>
      <c r="B1961" s="43">
        <v>284</v>
      </c>
      <c r="C1961">
        <f t="shared" si="37"/>
        <v>2015</v>
      </c>
    </row>
    <row r="1962" spans="1:3" x14ac:dyDescent="0.35">
      <c r="A1962" s="7">
        <v>42156</v>
      </c>
      <c r="B1962" s="43">
        <v>292</v>
      </c>
      <c r="C1962">
        <f t="shared" si="37"/>
        <v>2015</v>
      </c>
    </row>
    <row r="1963" spans="1:3" x14ac:dyDescent="0.35">
      <c r="A1963" s="7">
        <v>42153</v>
      </c>
      <c r="B1963" s="43">
        <v>294</v>
      </c>
      <c r="C1963">
        <f t="shared" si="37"/>
        <v>2015</v>
      </c>
    </row>
    <row r="1964" spans="1:3" x14ac:dyDescent="0.35">
      <c r="A1964" s="7">
        <v>42152</v>
      </c>
      <c r="B1964" s="43">
        <v>287</v>
      </c>
      <c r="C1964">
        <f t="shared" si="37"/>
        <v>2015</v>
      </c>
    </row>
    <row r="1965" spans="1:3" x14ac:dyDescent="0.35">
      <c r="A1965" s="7">
        <v>42151</v>
      </c>
      <c r="B1965" s="43">
        <v>285</v>
      </c>
      <c r="C1965">
        <f t="shared" si="37"/>
        <v>2015</v>
      </c>
    </row>
    <row r="1966" spans="1:3" x14ac:dyDescent="0.35">
      <c r="A1966" s="7">
        <v>42150</v>
      </c>
      <c r="B1966" s="43">
        <v>281</v>
      </c>
      <c r="C1966">
        <f t="shared" si="37"/>
        <v>2015</v>
      </c>
    </row>
    <row r="1967" spans="1:3" x14ac:dyDescent="0.35">
      <c r="A1967" s="7">
        <v>42149</v>
      </c>
      <c r="B1967" s="43">
        <v>268</v>
      </c>
      <c r="C1967">
        <f t="shared" si="37"/>
        <v>2015</v>
      </c>
    </row>
    <row r="1968" spans="1:3" x14ac:dyDescent="0.35">
      <c r="A1968" s="7">
        <v>42146</v>
      </c>
      <c r="B1968" s="43">
        <v>268</v>
      </c>
      <c r="C1968">
        <f t="shared" si="37"/>
        <v>2015</v>
      </c>
    </row>
    <row r="1969" spans="1:3" x14ac:dyDescent="0.35">
      <c r="A1969" s="7">
        <v>42145</v>
      </c>
      <c r="B1969" s="43">
        <v>269</v>
      </c>
      <c r="C1969">
        <f t="shared" si="37"/>
        <v>2015</v>
      </c>
    </row>
    <row r="1970" spans="1:3" x14ac:dyDescent="0.35">
      <c r="A1970" s="7">
        <v>42144</v>
      </c>
      <c r="B1970" s="43">
        <v>270</v>
      </c>
      <c r="C1970">
        <f t="shared" si="37"/>
        <v>2015</v>
      </c>
    </row>
    <row r="1971" spans="1:3" x14ac:dyDescent="0.35">
      <c r="A1971" s="7">
        <v>42143</v>
      </c>
      <c r="B1971" s="43">
        <v>274</v>
      </c>
      <c r="C1971">
        <f t="shared" si="37"/>
        <v>2015</v>
      </c>
    </row>
    <row r="1972" spans="1:3" x14ac:dyDescent="0.35">
      <c r="A1972" s="7">
        <v>42142</v>
      </c>
      <c r="B1972" s="43">
        <v>275</v>
      </c>
      <c r="C1972">
        <f t="shared" si="37"/>
        <v>2015</v>
      </c>
    </row>
    <row r="1973" spans="1:3" x14ac:dyDescent="0.35">
      <c r="A1973" s="7">
        <v>42139</v>
      </c>
      <c r="B1973" s="43">
        <v>285</v>
      </c>
      <c r="C1973">
        <f t="shared" si="37"/>
        <v>2015</v>
      </c>
    </row>
    <row r="1974" spans="1:3" x14ac:dyDescent="0.35">
      <c r="A1974" s="7">
        <v>42138</v>
      </c>
      <c r="B1974" s="43">
        <v>282</v>
      </c>
      <c r="C1974">
        <f t="shared" si="37"/>
        <v>2015</v>
      </c>
    </row>
    <row r="1975" spans="1:3" x14ac:dyDescent="0.35">
      <c r="A1975" s="7">
        <v>42137</v>
      </c>
      <c r="B1975" s="43">
        <v>279</v>
      </c>
      <c r="C1975">
        <f t="shared" si="37"/>
        <v>2015</v>
      </c>
    </row>
    <row r="1976" spans="1:3" x14ac:dyDescent="0.35">
      <c r="A1976" s="7">
        <v>42136</v>
      </c>
      <c r="B1976" s="43">
        <v>283</v>
      </c>
      <c r="C1976">
        <f t="shared" si="37"/>
        <v>2015</v>
      </c>
    </row>
    <row r="1977" spans="1:3" x14ac:dyDescent="0.35">
      <c r="A1977" s="7">
        <v>42135</v>
      </c>
      <c r="B1977" s="43">
        <v>275</v>
      </c>
      <c r="C1977">
        <f t="shared" si="37"/>
        <v>2015</v>
      </c>
    </row>
    <row r="1978" spans="1:3" x14ac:dyDescent="0.35">
      <c r="A1978" s="7">
        <v>42132</v>
      </c>
      <c r="B1978" s="43">
        <v>274</v>
      </c>
      <c r="C1978">
        <f t="shared" si="37"/>
        <v>2015</v>
      </c>
    </row>
    <row r="1979" spans="1:3" x14ac:dyDescent="0.35">
      <c r="A1979" s="7">
        <v>42131</v>
      </c>
      <c r="B1979" s="43">
        <v>281</v>
      </c>
      <c r="C1979">
        <f t="shared" si="37"/>
        <v>2015</v>
      </c>
    </row>
    <row r="1980" spans="1:3" x14ac:dyDescent="0.35">
      <c r="A1980" s="7">
        <v>42130</v>
      </c>
      <c r="B1980" s="43">
        <v>277</v>
      </c>
      <c r="C1980">
        <f t="shared" si="37"/>
        <v>2015</v>
      </c>
    </row>
    <row r="1981" spans="1:3" x14ac:dyDescent="0.35">
      <c r="A1981" s="7">
        <v>42129</v>
      </c>
      <c r="B1981" s="43">
        <v>284</v>
      </c>
      <c r="C1981">
        <f t="shared" si="37"/>
        <v>2015</v>
      </c>
    </row>
    <row r="1982" spans="1:3" x14ac:dyDescent="0.35">
      <c r="A1982" s="7">
        <v>42128</v>
      </c>
      <c r="B1982" s="43">
        <v>292</v>
      </c>
      <c r="C1982">
        <f t="shared" si="37"/>
        <v>2015</v>
      </c>
    </row>
    <row r="1983" spans="1:3" x14ac:dyDescent="0.35">
      <c r="A1983" s="7">
        <v>42125</v>
      </c>
      <c r="B1983" s="43">
        <v>296</v>
      </c>
      <c r="C1983">
        <f t="shared" si="37"/>
        <v>2015</v>
      </c>
    </row>
    <row r="1984" spans="1:3" x14ac:dyDescent="0.35">
      <c r="A1984" s="7">
        <v>42124</v>
      </c>
      <c r="B1984" s="43">
        <v>295</v>
      </c>
      <c r="C1984">
        <f t="shared" si="37"/>
        <v>2015</v>
      </c>
    </row>
    <row r="1985" spans="1:3" x14ac:dyDescent="0.35">
      <c r="A1985" s="7">
        <v>42123</v>
      </c>
      <c r="B1985" s="43">
        <v>282</v>
      </c>
      <c r="C1985">
        <f t="shared" si="37"/>
        <v>2015</v>
      </c>
    </row>
    <row r="1986" spans="1:3" x14ac:dyDescent="0.35">
      <c r="A1986" s="7">
        <v>42122</v>
      </c>
      <c r="B1986" s="43">
        <v>281</v>
      </c>
      <c r="C1986">
        <f t="shared" si="37"/>
        <v>2015</v>
      </c>
    </row>
    <row r="1987" spans="1:3" x14ac:dyDescent="0.35">
      <c r="A1987" s="7">
        <v>42121</v>
      </c>
      <c r="B1987" s="43">
        <v>283</v>
      </c>
      <c r="C1987">
        <f t="shared" ref="C1987:C2050" si="38">YEAR(A1987)</f>
        <v>2015</v>
      </c>
    </row>
    <row r="1988" spans="1:3" x14ac:dyDescent="0.35">
      <c r="A1988" s="7">
        <v>42118</v>
      </c>
      <c r="B1988" s="43">
        <v>280</v>
      </c>
      <c r="C1988">
        <f t="shared" si="38"/>
        <v>2015</v>
      </c>
    </row>
    <row r="1989" spans="1:3" x14ac:dyDescent="0.35">
      <c r="A1989" s="7">
        <v>42117</v>
      </c>
      <c r="B1989" s="43">
        <v>276</v>
      </c>
      <c r="C1989">
        <f t="shared" si="38"/>
        <v>2015</v>
      </c>
    </row>
    <row r="1990" spans="1:3" x14ac:dyDescent="0.35">
      <c r="A1990" s="7">
        <v>42116</v>
      </c>
      <c r="B1990" s="43">
        <v>278</v>
      </c>
      <c r="C1990">
        <f t="shared" si="38"/>
        <v>2015</v>
      </c>
    </row>
    <row r="1991" spans="1:3" x14ac:dyDescent="0.35">
      <c r="A1991" s="7">
        <v>42115</v>
      </c>
      <c r="B1991" s="43">
        <v>288</v>
      </c>
      <c r="C1991">
        <f t="shared" si="38"/>
        <v>2015</v>
      </c>
    </row>
    <row r="1992" spans="1:3" x14ac:dyDescent="0.35">
      <c r="A1992" s="7">
        <v>42114</v>
      </c>
      <c r="B1992" s="43">
        <v>296</v>
      </c>
      <c r="C1992">
        <f t="shared" si="38"/>
        <v>2015</v>
      </c>
    </row>
    <row r="1993" spans="1:3" x14ac:dyDescent="0.35">
      <c r="A1993" s="7">
        <v>42111</v>
      </c>
      <c r="B1993" s="43">
        <v>310</v>
      </c>
      <c r="C1993">
        <f t="shared" si="38"/>
        <v>2015</v>
      </c>
    </row>
    <row r="1994" spans="1:3" x14ac:dyDescent="0.35">
      <c r="A1994" s="7">
        <v>42110</v>
      </c>
      <c r="B1994" s="43">
        <v>300</v>
      </c>
      <c r="C1994">
        <f t="shared" si="38"/>
        <v>2015</v>
      </c>
    </row>
    <row r="1995" spans="1:3" x14ac:dyDescent="0.35">
      <c r="A1995" s="7">
        <v>42109</v>
      </c>
      <c r="B1995" s="43">
        <v>293</v>
      </c>
      <c r="C1995">
        <f t="shared" si="38"/>
        <v>2015</v>
      </c>
    </row>
    <row r="1996" spans="1:3" x14ac:dyDescent="0.35">
      <c r="A1996" s="7">
        <v>42108</v>
      </c>
      <c r="B1996" s="43">
        <v>289</v>
      </c>
      <c r="C1996">
        <f t="shared" si="38"/>
        <v>2015</v>
      </c>
    </row>
    <row r="1997" spans="1:3" x14ac:dyDescent="0.35">
      <c r="A1997" s="7">
        <v>42107</v>
      </c>
      <c r="B1997" s="43">
        <v>291</v>
      </c>
      <c r="C1997">
        <f t="shared" si="38"/>
        <v>2015</v>
      </c>
    </row>
    <row r="1998" spans="1:3" x14ac:dyDescent="0.35">
      <c r="A1998" s="7">
        <v>42104</v>
      </c>
      <c r="B1998" s="43">
        <v>287</v>
      </c>
      <c r="C1998">
        <f t="shared" si="38"/>
        <v>2015</v>
      </c>
    </row>
    <row r="1999" spans="1:3" x14ac:dyDescent="0.35">
      <c r="A1999" s="7">
        <v>42103</v>
      </c>
      <c r="B1999" s="43">
        <v>283</v>
      </c>
      <c r="C1999">
        <f t="shared" si="38"/>
        <v>2015</v>
      </c>
    </row>
    <row r="2000" spans="1:3" x14ac:dyDescent="0.35">
      <c r="A2000" s="7">
        <v>42102</v>
      </c>
      <c r="B2000" s="43">
        <v>287</v>
      </c>
      <c r="C2000">
        <f t="shared" si="38"/>
        <v>2015</v>
      </c>
    </row>
    <row r="2001" spans="1:3" x14ac:dyDescent="0.35">
      <c r="A2001" s="7">
        <v>42101</v>
      </c>
      <c r="B2001" s="43">
        <v>301</v>
      </c>
      <c r="C2001">
        <f t="shared" si="38"/>
        <v>2015</v>
      </c>
    </row>
    <row r="2002" spans="1:3" x14ac:dyDescent="0.35">
      <c r="A2002" s="7">
        <v>42100</v>
      </c>
      <c r="B2002" s="43">
        <v>302</v>
      </c>
      <c r="C2002">
        <f t="shared" si="38"/>
        <v>2015</v>
      </c>
    </row>
    <row r="2003" spans="1:3" x14ac:dyDescent="0.35">
      <c r="A2003" s="7">
        <v>42097</v>
      </c>
      <c r="B2003" s="43">
        <v>312</v>
      </c>
      <c r="C2003">
        <f t="shared" si="38"/>
        <v>2015</v>
      </c>
    </row>
    <row r="2004" spans="1:3" x14ac:dyDescent="0.35">
      <c r="A2004" s="7">
        <v>42096</v>
      </c>
      <c r="B2004" s="43">
        <v>309</v>
      </c>
      <c r="C2004">
        <f t="shared" si="38"/>
        <v>2015</v>
      </c>
    </row>
    <row r="2005" spans="1:3" x14ac:dyDescent="0.35">
      <c r="A2005" s="7">
        <v>42095</v>
      </c>
      <c r="B2005" s="43">
        <v>317</v>
      </c>
      <c r="C2005">
        <f t="shared" si="38"/>
        <v>2015</v>
      </c>
    </row>
    <row r="2006" spans="1:3" x14ac:dyDescent="0.35">
      <c r="A2006" s="7">
        <v>42094</v>
      </c>
      <c r="B2006" s="43">
        <v>322</v>
      </c>
      <c r="C2006">
        <f t="shared" si="38"/>
        <v>2015</v>
      </c>
    </row>
    <row r="2007" spans="1:3" x14ac:dyDescent="0.35">
      <c r="A2007" s="7">
        <v>42093</v>
      </c>
      <c r="B2007" s="43">
        <v>318</v>
      </c>
      <c r="C2007">
        <f t="shared" si="38"/>
        <v>2015</v>
      </c>
    </row>
    <row r="2008" spans="1:3" x14ac:dyDescent="0.35">
      <c r="A2008" s="7">
        <v>42090</v>
      </c>
      <c r="B2008" s="43">
        <v>324</v>
      </c>
      <c r="C2008">
        <f t="shared" si="38"/>
        <v>2015</v>
      </c>
    </row>
    <row r="2009" spans="1:3" x14ac:dyDescent="0.35">
      <c r="A2009" s="7">
        <v>42089</v>
      </c>
      <c r="B2009" s="43">
        <v>319</v>
      </c>
      <c r="C2009">
        <f t="shared" si="38"/>
        <v>2015</v>
      </c>
    </row>
    <row r="2010" spans="1:3" x14ac:dyDescent="0.35">
      <c r="A2010" s="7">
        <v>42088</v>
      </c>
      <c r="B2010" s="43">
        <v>324</v>
      </c>
      <c r="C2010">
        <f t="shared" si="38"/>
        <v>2015</v>
      </c>
    </row>
    <row r="2011" spans="1:3" x14ac:dyDescent="0.35">
      <c r="A2011" s="7">
        <v>42087</v>
      </c>
      <c r="B2011" s="43">
        <v>328</v>
      </c>
      <c r="C2011">
        <f t="shared" si="38"/>
        <v>2015</v>
      </c>
    </row>
    <row r="2012" spans="1:3" x14ac:dyDescent="0.35">
      <c r="A2012" s="7">
        <v>42086</v>
      </c>
      <c r="B2012" s="43">
        <v>333</v>
      </c>
      <c r="C2012">
        <f t="shared" si="38"/>
        <v>2015</v>
      </c>
    </row>
    <row r="2013" spans="1:3" x14ac:dyDescent="0.35">
      <c r="A2013" s="7">
        <v>42083</v>
      </c>
      <c r="B2013" s="43">
        <v>344</v>
      </c>
      <c r="C2013">
        <f t="shared" si="38"/>
        <v>2015</v>
      </c>
    </row>
    <row r="2014" spans="1:3" x14ac:dyDescent="0.35">
      <c r="A2014" s="7">
        <v>42082</v>
      </c>
      <c r="B2014" s="43">
        <v>351</v>
      </c>
      <c r="C2014">
        <f t="shared" si="38"/>
        <v>2015</v>
      </c>
    </row>
    <row r="2015" spans="1:3" x14ac:dyDescent="0.35">
      <c r="A2015" s="7">
        <v>42081</v>
      </c>
      <c r="B2015" s="43">
        <v>360</v>
      </c>
      <c r="C2015">
        <f t="shared" si="38"/>
        <v>2015</v>
      </c>
    </row>
    <row r="2016" spans="1:3" x14ac:dyDescent="0.35">
      <c r="A2016" s="7">
        <v>42080</v>
      </c>
      <c r="B2016" s="43">
        <v>361</v>
      </c>
      <c r="C2016">
        <f t="shared" si="38"/>
        <v>2015</v>
      </c>
    </row>
    <row r="2017" spans="1:3" x14ac:dyDescent="0.35">
      <c r="A2017" s="7">
        <v>42079</v>
      </c>
      <c r="B2017" s="43">
        <v>344</v>
      </c>
      <c r="C2017">
        <f t="shared" si="38"/>
        <v>2015</v>
      </c>
    </row>
    <row r="2018" spans="1:3" x14ac:dyDescent="0.35">
      <c r="A2018" s="7">
        <v>42076</v>
      </c>
      <c r="B2018" s="43">
        <v>344</v>
      </c>
      <c r="C2018">
        <f t="shared" si="38"/>
        <v>2015</v>
      </c>
    </row>
    <row r="2019" spans="1:3" x14ac:dyDescent="0.35">
      <c r="A2019" s="7">
        <v>42075</v>
      </c>
      <c r="B2019" s="43">
        <v>324</v>
      </c>
      <c r="C2019">
        <f t="shared" si="38"/>
        <v>2015</v>
      </c>
    </row>
    <row r="2020" spans="1:3" x14ac:dyDescent="0.35">
      <c r="A2020" s="7">
        <v>42074</v>
      </c>
      <c r="B2020" s="43">
        <v>333</v>
      </c>
      <c r="C2020">
        <f t="shared" si="38"/>
        <v>2015</v>
      </c>
    </row>
    <row r="2021" spans="1:3" x14ac:dyDescent="0.35">
      <c r="A2021" s="7">
        <v>42073</v>
      </c>
      <c r="B2021" s="43">
        <v>328</v>
      </c>
      <c r="C2021">
        <f t="shared" si="38"/>
        <v>2015</v>
      </c>
    </row>
    <row r="2022" spans="1:3" x14ac:dyDescent="0.35">
      <c r="A2022" s="7">
        <v>42072</v>
      </c>
      <c r="B2022" s="43">
        <v>327</v>
      </c>
      <c r="C2022">
        <f t="shared" si="38"/>
        <v>2015</v>
      </c>
    </row>
    <row r="2023" spans="1:3" x14ac:dyDescent="0.35">
      <c r="A2023" s="7">
        <v>42069</v>
      </c>
      <c r="B2023" s="43">
        <v>308</v>
      </c>
      <c r="C2023">
        <f t="shared" si="38"/>
        <v>2015</v>
      </c>
    </row>
    <row r="2024" spans="1:3" x14ac:dyDescent="0.35">
      <c r="A2024" s="7">
        <v>42068</v>
      </c>
      <c r="B2024" s="43">
        <v>307</v>
      </c>
      <c r="C2024">
        <f t="shared" si="38"/>
        <v>2015</v>
      </c>
    </row>
    <row r="2025" spans="1:3" x14ac:dyDescent="0.35">
      <c r="A2025" s="7">
        <v>42067</v>
      </c>
      <c r="B2025" s="43">
        <v>307</v>
      </c>
      <c r="C2025">
        <f t="shared" si="38"/>
        <v>2015</v>
      </c>
    </row>
    <row r="2026" spans="1:3" x14ac:dyDescent="0.35">
      <c r="A2026" s="7">
        <v>42066</v>
      </c>
      <c r="B2026" s="43">
        <v>303</v>
      </c>
      <c r="C2026">
        <f t="shared" si="38"/>
        <v>2015</v>
      </c>
    </row>
    <row r="2027" spans="1:3" x14ac:dyDescent="0.35">
      <c r="A2027" s="7">
        <v>42065</v>
      </c>
      <c r="B2027" s="43">
        <v>310</v>
      </c>
      <c r="C2027">
        <f t="shared" si="38"/>
        <v>2015</v>
      </c>
    </row>
    <row r="2028" spans="1:3" x14ac:dyDescent="0.35">
      <c r="A2028" s="7">
        <v>42062</v>
      </c>
      <c r="B2028" s="43">
        <v>322</v>
      </c>
      <c r="C2028">
        <f t="shared" si="38"/>
        <v>2015</v>
      </c>
    </row>
    <row r="2029" spans="1:3" x14ac:dyDescent="0.35">
      <c r="A2029" s="7">
        <v>42061</v>
      </c>
      <c r="B2029" s="43">
        <v>329</v>
      </c>
      <c r="C2029">
        <f t="shared" si="38"/>
        <v>2015</v>
      </c>
    </row>
    <row r="2030" spans="1:3" x14ac:dyDescent="0.35">
      <c r="A2030" s="7">
        <v>42060</v>
      </c>
      <c r="B2030" s="43">
        <v>322</v>
      </c>
      <c r="C2030">
        <f t="shared" si="38"/>
        <v>2015</v>
      </c>
    </row>
    <row r="2031" spans="1:3" x14ac:dyDescent="0.35">
      <c r="A2031" s="7">
        <v>42059</v>
      </c>
      <c r="B2031" s="43">
        <v>314</v>
      </c>
      <c r="C2031">
        <f t="shared" si="38"/>
        <v>2015</v>
      </c>
    </row>
    <row r="2032" spans="1:3" x14ac:dyDescent="0.35">
      <c r="A2032" s="7">
        <v>42058</v>
      </c>
      <c r="B2032" s="43">
        <v>314</v>
      </c>
      <c r="C2032">
        <f t="shared" si="38"/>
        <v>2015</v>
      </c>
    </row>
    <row r="2033" spans="1:3" x14ac:dyDescent="0.35">
      <c r="A2033" s="7">
        <v>42055</v>
      </c>
      <c r="B2033" s="43">
        <v>306</v>
      </c>
      <c r="C2033">
        <f t="shared" si="38"/>
        <v>2015</v>
      </c>
    </row>
    <row r="2034" spans="1:3" x14ac:dyDescent="0.35">
      <c r="A2034" s="7">
        <v>42054</v>
      </c>
      <c r="B2034" s="43">
        <v>297</v>
      </c>
      <c r="C2034">
        <f t="shared" si="38"/>
        <v>2015</v>
      </c>
    </row>
    <row r="2035" spans="1:3" x14ac:dyDescent="0.35">
      <c r="A2035" s="7">
        <v>42053</v>
      </c>
      <c r="B2035" s="43">
        <v>304</v>
      </c>
      <c r="C2035">
        <f t="shared" si="38"/>
        <v>2015</v>
      </c>
    </row>
    <row r="2036" spans="1:3" x14ac:dyDescent="0.35">
      <c r="A2036" s="7">
        <v>42052</v>
      </c>
      <c r="B2036" s="43">
        <v>301</v>
      </c>
      <c r="C2036">
        <f t="shared" si="38"/>
        <v>2015</v>
      </c>
    </row>
    <row r="2037" spans="1:3" x14ac:dyDescent="0.35">
      <c r="A2037" s="7">
        <v>42051</v>
      </c>
      <c r="B2037" s="43">
        <v>305</v>
      </c>
      <c r="C2037">
        <f t="shared" si="38"/>
        <v>2015</v>
      </c>
    </row>
    <row r="2038" spans="1:3" x14ac:dyDescent="0.35">
      <c r="A2038" s="7">
        <v>42048</v>
      </c>
      <c r="B2038" s="43">
        <v>305</v>
      </c>
      <c r="C2038">
        <f t="shared" si="38"/>
        <v>2015</v>
      </c>
    </row>
    <row r="2039" spans="1:3" x14ac:dyDescent="0.35">
      <c r="A2039" s="7">
        <v>42047</v>
      </c>
      <c r="B2039" s="43">
        <v>313</v>
      </c>
      <c r="C2039">
        <f t="shared" si="38"/>
        <v>2015</v>
      </c>
    </row>
    <row r="2040" spans="1:3" x14ac:dyDescent="0.35">
      <c r="A2040" s="7">
        <v>42046</v>
      </c>
      <c r="B2040" s="43">
        <v>312</v>
      </c>
      <c r="C2040">
        <f t="shared" si="38"/>
        <v>2015</v>
      </c>
    </row>
    <row r="2041" spans="1:3" x14ac:dyDescent="0.35">
      <c r="A2041" s="7">
        <v>42045</v>
      </c>
      <c r="B2041" s="43">
        <v>300</v>
      </c>
      <c r="C2041">
        <f t="shared" si="38"/>
        <v>2015</v>
      </c>
    </row>
    <row r="2042" spans="1:3" x14ac:dyDescent="0.35">
      <c r="A2042" s="7">
        <v>42044</v>
      </c>
      <c r="B2042" s="43">
        <v>296</v>
      </c>
      <c r="C2042">
        <f t="shared" si="38"/>
        <v>2015</v>
      </c>
    </row>
    <row r="2043" spans="1:3" x14ac:dyDescent="0.35">
      <c r="A2043" s="7">
        <v>42041</v>
      </c>
      <c r="B2043" s="43">
        <v>297</v>
      </c>
      <c r="C2043">
        <f t="shared" si="38"/>
        <v>2015</v>
      </c>
    </row>
    <row r="2044" spans="1:3" x14ac:dyDescent="0.35">
      <c r="A2044" s="7">
        <v>42040</v>
      </c>
      <c r="B2044" s="43">
        <v>300</v>
      </c>
      <c r="C2044">
        <f t="shared" si="38"/>
        <v>2015</v>
      </c>
    </row>
    <row r="2045" spans="1:3" x14ac:dyDescent="0.35">
      <c r="A2045" s="7">
        <v>42039</v>
      </c>
      <c r="B2045" s="43">
        <v>307</v>
      </c>
      <c r="C2045">
        <f t="shared" si="38"/>
        <v>2015</v>
      </c>
    </row>
    <row r="2046" spans="1:3" x14ac:dyDescent="0.35">
      <c r="A2046" s="7">
        <v>42038</v>
      </c>
      <c r="B2046" s="43">
        <v>311</v>
      </c>
      <c r="C2046">
        <f t="shared" si="38"/>
        <v>2015</v>
      </c>
    </row>
    <row r="2047" spans="1:3" x14ac:dyDescent="0.35">
      <c r="A2047" s="7">
        <v>42037</v>
      </c>
      <c r="B2047" s="43">
        <v>324</v>
      </c>
      <c r="C2047">
        <f t="shared" si="38"/>
        <v>2015</v>
      </c>
    </row>
    <row r="2048" spans="1:3" x14ac:dyDescent="0.35">
      <c r="A2048" s="7">
        <v>42034</v>
      </c>
      <c r="B2048" s="43">
        <v>324</v>
      </c>
      <c r="C2048">
        <f t="shared" si="38"/>
        <v>2015</v>
      </c>
    </row>
    <row r="2049" spans="1:3" x14ac:dyDescent="0.35">
      <c r="A2049" s="7">
        <v>42033</v>
      </c>
      <c r="B2049" s="43">
        <v>294</v>
      </c>
      <c r="C2049">
        <f t="shared" si="38"/>
        <v>2015</v>
      </c>
    </row>
    <row r="2050" spans="1:3" x14ac:dyDescent="0.35">
      <c r="A2050" s="7">
        <v>42032</v>
      </c>
      <c r="B2050" s="43">
        <v>297</v>
      </c>
      <c r="C2050">
        <f t="shared" si="38"/>
        <v>2015</v>
      </c>
    </row>
    <row r="2051" spans="1:3" x14ac:dyDescent="0.35">
      <c r="A2051" s="7">
        <v>42031</v>
      </c>
      <c r="B2051" s="43">
        <v>284</v>
      </c>
      <c r="C2051">
        <f t="shared" ref="C2051:C2114" si="39">YEAR(A2051)</f>
        <v>2015</v>
      </c>
    </row>
    <row r="2052" spans="1:3" x14ac:dyDescent="0.35">
      <c r="A2052" s="7">
        <v>42030</v>
      </c>
      <c r="B2052" s="43">
        <v>286</v>
      </c>
      <c r="C2052">
        <f t="shared" si="39"/>
        <v>2015</v>
      </c>
    </row>
    <row r="2053" spans="1:3" x14ac:dyDescent="0.35">
      <c r="A2053" s="7">
        <v>42027</v>
      </c>
      <c r="B2053" s="43">
        <v>283</v>
      </c>
      <c r="C2053">
        <f t="shared" si="39"/>
        <v>2015</v>
      </c>
    </row>
    <row r="2054" spans="1:3" x14ac:dyDescent="0.35">
      <c r="A2054" s="7">
        <v>42026</v>
      </c>
      <c r="B2054" s="43">
        <v>286</v>
      </c>
      <c r="C2054">
        <f t="shared" si="39"/>
        <v>2015</v>
      </c>
    </row>
    <row r="2055" spans="1:3" x14ac:dyDescent="0.35">
      <c r="A2055" s="7">
        <v>42025</v>
      </c>
      <c r="B2055" s="43">
        <v>288</v>
      </c>
      <c r="C2055">
        <f t="shared" si="39"/>
        <v>2015</v>
      </c>
    </row>
    <row r="2056" spans="1:3" x14ac:dyDescent="0.35">
      <c r="A2056" s="7">
        <v>42024</v>
      </c>
      <c r="B2056" s="43">
        <v>290</v>
      </c>
      <c r="C2056">
        <f t="shared" si="39"/>
        <v>2015</v>
      </c>
    </row>
    <row r="2057" spans="1:3" x14ac:dyDescent="0.35">
      <c r="A2057" s="7">
        <v>42023</v>
      </c>
      <c r="B2057" s="43">
        <v>294</v>
      </c>
      <c r="C2057">
        <f t="shared" si="39"/>
        <v>2015</v>
      </c>
    </row>
    <row r="2058" spans="1:3" x14ac:dyDescent="0.35">
      <c r="A2058" s="7">
        <v>42020</v>
      </c>
      <c r="B2058" s="43">
        <v>294</v>
      </c>
      <c r="C2058">
        <f t="shared" si="39"/>
        <v>2015</v>
      </c>
    </row>
    <row r="2059" spans="1:3" x14ac:dyDescent="0.35">
      <c r="A2059" s="7">
        <v>42019</v>
      </c>
      <c r="B2059" s="43">
        <v>294</v>
      </c>
      <c r="C2059">
        <f t="shared" si="39"/>
        <v>2015</v>
      </c>
    </row>
    <row r="2060" spans="1:3" x14ac:dyDescent="0.35">
      <c r="A2060" s="7">
        <v>42018</v>
      </c>
      <c r="B2060" s="43">
        <v>289</v>
      </c>
      <c r="C2060">
        <f t="shared" si="39"/>
        <v>2015</v>
      </c>
    </row>
    <row r="2061" spans="1:3" x14ac:dyDescent="0.35">
      <c r="A2061" s="7">
        <v>42017</v>
      </c>
      <c r="B2061" s="43">
        <v>292</v>
      </c>
      <c r="C2061">
        <f t="shared" si="39"/>
        <v>2015</v>
      </c>
    </row>
    <row r="2062" spans="1:3" x14ac:dyDescent="0.35">
      <c r="A2062" s="7">
        <v>42016</v>
      </c>
      <c r="B2062" s="43">
        <v>293</v>
      </c>
      <c r="C2062">
        <f t="shared" si="39"/>
        <v>2015</v>
      </c>
    </row>
    <row r="2063" spans="1:3" x14ac:dyDescent="0.35">
      <c r="A2063" s="7">
        <v>42013</v>
      </c>
      <c r="B2063" s="43">
        <v>281</v>
      </c>
      <c r="C2063">
        <f t="shared" si="39"/>
        <v>2015</v>
      </c>
    </row>
    <row r="2064" spans="1:3" x14ac:dyDescent="0.35">
      <c r="A2064" s="7">
        <v>42012</v>
      </c>
      <c r="B2064" s="43">
        <v>278</v>
      </c>
      <c r="C2064">
        <f t="shared" si="39"/>
        <v>2015</v>
      </c>
    </row>
    <row r="2065" spans="1:3" x14ac:dyDescent="0.35">
      <c r="A2065" s="7">
        <v>42011</v>
      </c>
      <c r="B2065" s="43">
        <v>284</v>
      </c>
      <c r="C2065">
        <f t="shared" si="39"/>
        <v>2015</v>
      </c>
    </row>
    <row r="2066" spans="1:3" x14ac:dyDescent="0.35">
      <c r="A2066" s="7">
        <v>42010</v>
      </c>
      <c r="B2066" s="43">
        <v>287</v>
      </c>
      <c r="C2066">
        <f t="shared" si="39"/>
        <v>2015</v>
      </c>
    </row>
    <row r="2067" spans="1:3" x14ac:dyDescent="0.35">
      <c r="A2067" s="7">
        <v>42009</v>
      </c>
      <c r="B2067" s="43">
        <v>281</v>
      </c>
      <c r="C2067">
        <f t="shared" si="39"/>
        <v>2015</v>
      </c>
    </row>
    <row r="2068" spans="1:3" x14ac:dyDescent="0.35">
      <c r="A2068" s="7">
        <v>42006</v>
      </c>
      <c r="B2068" s="43">
        <v>264</v>
      </c>
      <c r="C2068">
        <f t="shared" si="39"/>
        <v>2015</v>
      </c>
    </row>
    <row r="2069" spans="1:3" x14ac:dyDescent="0.35">
      <c r="A2069" s="7">
        <v>42004</v>
      </c>
      <c r="B2069" s="43">
        <v>259</v>
      </c>
      <c r="C2069">
        <f t="shared" si="39"/>
        <v>2014</v>
      </c>
    </row>
    <row r="2070" spans="1:3" x14ac:dyDescent="0.35">
      <c r="A2070" s="7">
        <v>42003</v>
      </c>
      <c r="B2070" s="43">
        <v>261</v>
      </c>
      <c r="C2070">
        <f t="shared" si="39"/>
        <v>2014</v>
      </c>
    </row>
    <row r="2071" spans="1:3" x14ac:dyDescent="0.35">
      <c r="A2071" s="7">
        <v>42002</v>
      </c>
      <c r="B2071" s="43">
        <v>257</v>
      </c>
      <c r="C2071">
        <f t="shared" si="39"/>
        <v>2014</v>
      </c>
    </row>
    <row r="2072" spans="1:3" x14ac:dyDescent="0.35">
      <c r="A2072" s="7">
        <v>41999</v>
      </c>
      <c r="B2072" s="43">
        <v>256</v>
      </c>
      <c r="C2072">
        <f t="shared" si="39"/>
        <v>2014</v>
      </c>
    </row>
    <row r="2073" spans="1:3" x14ac:dyDescent="0.35">
      <c r="A2073" s="7">
        <v>41997</v>
      </c>
      <c r="B2073" s="43">
        <v>254</v>
      </c>
      <c r="C2073">
        <f t="shared" si="39"/>
        <v>2014</v>
      </c>
    </row>
    <row r="2074" spans="1:3" x14ac:dyDescent="0.35">
      <c r="A2074" s="7">
        <v>41996</v>
      </c>
      <c r="B2074" s="43">
        <v>250</v>
      </c>
      <c r="C2074">
        <f t="shared" si="39"/>
        <v>2014</v>
      </c>
    </row>
    <row r="2075" spans="1:3" x14ac:dyDescent="0.35">
      <c r="A2075" s="7">
        <v>41995</v>
      </c>
      <c r="B2075" s="43">
        <v>263</v>
      </c>
      <c r="C2075">
        <f t="shared" si="39"/>
        <v>2014</v>
      </c>
    </row>
    <row r="2076" spans="1:3" x14ac:dyDescent="0.35">
      <c r="A2076" s="7">
        <v>41992</v>
      </c>
      <c r="B2076" s="43">
        <v>266</v>
      </c>
      <c r="C2076">
        <f t="shared" si="39"/>
        <v>2014</v>
      </c>
    </row>
    <row r="2077" spans="1:3" x14ac:dyDescent="0.35">
      <c r="A2077" s="7">
        <v>41991</v>
      </c>
      <c r="B2077" s="43">
        <v>283</v>
      </c>
      <c r="C2077">
        <f t="shared" si="39"/>
        <v>2014</v>
      </c>
    </row>
    <row r="2078" spans="1:3" x14ac:dyDescent="0.35">
      <c r="A2078" s="7">
        <v>41990</v>
      </c>
      <c r="B2078" s="43">
        <v>284</v>
      </c>
      <c r="C2078">
        <f t="shared" si="39"/>
        <v>2014</v>
      </c>
    </row>
    <row r="2079" spans="1:3" x14ac:dyDescent="0.35">
      <c r="A2079" s="7">
        <v>41989</v>
      </c>
      <c r="B2079" s="43">
        <v>318</v>
      </c>
      <c r="C2079">
        <f t="shared" si="39"/>
        <v>2014</v>
      </c>
    </row>
    <row r="2080" spans="1:3" x14ac:dyDescent="0.35">
      <c r="A2080" s="7">
        <v>41988</v>
      </c>
      <c r="B2080" s="43">
        <v>312</v>
      </c>
      <c r="C2080">
        <f t="shared" si="39"/>
        <v>2014</v>
      </c>
    </row>
    <row r="2081" spans="1:3" x14ac:dyDescent="0.35">
      <c r="A2081" s="7">
        <v>41985</v>
      </c>
      <c r="B2081" s="43">
        <v>301</v>
      </c>
      <c r="C2081">
        <f t="shared" si="39"/>
        <v>2014</v>
      </c>
    </row>
    <row r="2082" spans="1:3" x14ac:dyDescent="0.35">
      <c r="A2082" s="7">
        <v>41984</v>
      </c>
      <c r="B2082" s="43">
        <v>273</v>
      </c>
      <c r="C2082">
        <f t="shared" si="39"/>
        <v>2014</v>
      </c>
    </row>
    <row r="2083" spans="1:3" x14ac:dyDescent="0.35">
      <c r="A2083" s="7">
        <v>41983</v>
      </c>
      <c r="B2083" s="43">
        <v>280</v>
      </c>
      <c r="C2083">
        <f t="shared" si="39"/>
        <v>2014</v>
      </c>
    </row>
    <row r="2084" spans="1:3" x14ac:dyDescent="0.35">
      <c r="A2084" s="7">
        <v>41982</v>
      </c>
      <c r="B2084" s="43">
        <v>266</v>
      </c>
      <c r="C2084">
        <f t="shared" si="39"/>
        <v>2014</v>
      </c>
    </row>
    <row r="2085" spans="1:3" x14ac:dyDescent="0.35">
      <c r="A2085" s="7">
        <v>41981</v>
      </c>
      <c r="B2085" s="43">
        <v>255</v>
      </c>
      <c r="C2085">
        <f t="shared" si="39"/>
        <v>2014</v>
      </c>
    </row>
    <row r="2086" spans="1:3" x14ac:dyDescent="0.35">
      <c r="A2086" s="7">
        <v>41978</v>
      </c>
      <c r="B2086" s="43">
        <v>243</v>
      </c>
      <c r="C2086">
        <f t="shared" si="39"/>
        <v>2014</v>
      </c>
    </row>
    <row r="2087" spans="1:3" x14ac:dyDescent="0.35">
      <c r="A2087" s="7">
        <v>41977</v>
      </c>
      <c r="B2087" s="43">
        <v>238</v>
      </c>
      <c r="C2087">
        <f t="shared" si="39"/>
        <v>2014</v>
      </c>
    </row>
    <row r="2088" spans="1:3" x14ac:dyDescent="0.35">
      <c r="A2088" s="7">
        <v>41976</v>
      </c>
      <c r="B2088" s="43">
        <v>233</v>
      </c>
      <c r="C2088">
        <f t="shared" si="39"/>
        <v>2014</v>
      </c>
    </row>
    <row r="2089" spans="1:3" x14ac:dyDescent="0.35">
      <c r="A2089" s="7">
        <v>41975</v>
      </c>
      <c r="B2089" s="43">
        <v>238</v>
      </c>
      <c r="C2089">
        <f t="shared" si="39"/>
        <v>2014</v>
      </c>
    </row>
    <row r="2090" spans="1:3" x14ac:dyDescent="0.35">
      <c r="A2090" s="7">
        <v>41974</v>
      </c>
      <c r="B2090" s="43">
        <v>244</v>
      </c>
      <c r="C2090">
        <f t="shared" si="39"/>
        <v>2014</v>
      </c>
    </row>
    <row r="2091" spans="1:3" x14ac:dyDescent="0.35">
      <c r="A2091" s="7">
        <v>41971</v>
      </c>
      <c r="B2091" s="43">
        <v>238</v>
      </c>
      <c r="C2091">
        <f t="shared" si="39"/>
        <v>2014</v>
      </c>
    </row>
    <row r="2092" spans="1:3" x14ac:dyDescent="0.35">
      <c r="A2092" s="7">
        <v>41970</v>
      </c>
      <c r="B2092" s="43">
        <v>238</v>
      </c>
      <c r="C2092">
        <f t="shared" si="39"/>
        <v>2014</v>
      </c>
    </row>
    <row r="2093" spans="1:3" x14ac:dyDescent="0.35">
      <c r="A2093" s="7">
        <v>41969</v>
      </c>
      <c r="B2093" s="43">
        <v>238</v>
      </c>
      <c r="C2093">
        <f t="shared" si="39"/>
        <v>2014</v>
      </c>
    </row>
    <row r="2094" spans="1:3" x14ac:dyDescent="0.35">
      <c r="A2094" s="7">
        <v>41968</v>
      </c>
      <c r="B2094" s="43">
        <v>245</v>
      </c>
      <c r="C2094">
        <f t="shared" si="39"/>
        <v>2014</v>
      </c>
    </row>
    <row r="2095" spans="1:3" x14ac:dyDescent="0.35">
      <c r="A2095" s="7">
        <v>41967</v>
      </c>
      <c r="B2095" s="43">
        <v>241</v>
      </c>
      <c r="C2095">
        <f t="shared" si="39"/>
        <v>2014</v>
      </c>
    </row>
    <row r="2096" spans="1:3" x14ac:dyDescent="0.35">
      <c r="A2096" s="7">
        <v>41964</v>
      </c>
      <c r="B2096" s="43">
        <v>237</v>
      </c>
      <c r="C2096">
        <f t="shared" si="39"/>
        <v>2014</v>
      </c>
    </row>
    <row r="2097" spans="1:3" x14ac:dyDescent="0.35">
      <c r="A2097" s="7">
        <v>41963</v>
      </c>
      <c r="B2097" s="43">
        <v>252</v>
      </c>
      <c r="C2097">
        <f t="shared" si="39"/>
        <v>2014</v>
      </c>
    </row>
    <row r="2098" spans="1:3" x14ac:dyDescent="0.35">
      <c r="A2098" s="7">
        <v>41962</v>
      </c>
      <c r="B2098" s="43">
        <v>255</v>
      </c>
      <c r="C2098">
        <f t="shared" si="39"/>
        <v>2014</v>
      </c>
    </row>
    <row r="2099" spans="1:3" x14ac:dyDescent="0.35">
      <c r="A2099" s="7">
        <v>41961</v>
      </c>
      <c r="B2099" s="43">
        <v>264</v>
      </c>
      <c r="C2099">
        <f t="shared" si="39"/>
        <v>2014</v>
      </c>
    </row>
    <row r="2100" spans="1:3" x14ac:dyDescent="0.35">
      <c r="A2100" s="7">
        <v>41960</v>
      </c>
      <c r="B2100" s="43">
        <v>264</v>
      </c>
      <c r="C2100">
        <f t="shared" si="39"/>
        <v>2014</v>
      </c>
    </row>
    <row r="2101" spans="1:3" x14ac:dyDescent="0.35">
      <c r="A2101" s="7">
        <v>41957</v>
      </c>
      <c r="B2101" s="43">
        <v>263</v>
      </c>
      <c r="C2101">
        <f t="shared" si="39"/>
        <v>2014</v>
      </c>
    </row>
    <row r="2102" spans="1:3" x14ac:dyDescent="0.35">
      <c r="A2102" s="7">
        <v>41956</v>
      </c>
      <c r="B2102" s="43">
        <v>250</v>
      </c>
      <c r="C2102">
        <f t="shared" si="39"/>
        <v>2014</v>
      </c>
    </row>
    <row r="2103" spans="1:3" x14ac:dyDescent="0.35">
      <c r="A2103" s="7">
        <v>41955</v>
      </c>
      <c r="B2103" s="43">
        <v>249</v>
      </c>
      <c r="C2103">
        <f t="shared" si="39"/>
        <v>2014</v>
      </c>
    </row>
    <row r="2104" spans="1:3" x14ac:dyDescent="0.35">
      <c r="A2104" s="7">
        <v>41954</v>
      </c>
      <c r="B2104" s="43">
        <v>249</v>
      </c>
      <c r="C2104">
        <f t="shared" si="39"/>
        <v>2014</v>
      </c>
    </row>
    <row r="2105" spans="1:3" x14ac:dyDescent="0.35">
      <c r="A2105" s="7">
        <v>41953</v>
      </c>
      <c r="B2105" s="43">
        <v>249</v>
      </c>
      <c r="C2105">
        <f t="shared" si="39"/>
        <v>2014</v>
      </c>
    </row>
    <row r="2106" spans="1:3" x14ac:dyDescent="0.35">
      <c r="A2106" s="7">
        <v>41950</v>
      </c>
      <c r="B2106" s="43">
        <v>252</v>
      </c>
      <c r="C2106">
        <f t="shared" si="39"/>
        <v>2014</v>
      </c>
    </row>
    <row r="2107" spans="1:3" x14ac:dyDescent="0.35">
      <c r="A2107" s="7">
        <v>41949</v>
      </c>
      <c r="B2107" s="43">
        <v>243</v>
      </c>
      <c r="C2107">
        <f t="shared" si="39"/>
        <v>2014</v>
      </c>
    </row>
    <row r="2108" spans="1:3" x14ac:dyDescent="0.35">
      <c r="A2108" s="7">
        <v>41948</v>
      </c>
      <c r="B2108" s="43">
        <v>242</v>
      </c>
      <c r="C2108">
        <f t="shared" si="39"/>
        <v>2014</v>
      </c>
    </row>
    <row r="2109" spans="1:3" x14ac:dyDescent="0.35">
      <c r="A2109" s="7">
        <v>41947</v>
      </c>
      <c r="B2109" s="43">
        <v>244</v>
      </c>
      <c r="C2109">
        <f t="shared" si="39"/>
        <v>2014</v>
      </c>
    </row>
    <row r="2110" spans="1:3" x14ac:dyDescent="0.35">
      <c r="A2110" s="7">
        <v>41946</v>
      </c>
      <c r="B2110" s="43">
        <v>237</v>
      </c>
      <c r="C2110">
        <f t="shared" si="39"/>
        <v>2014</v>
      </c>
    </row>
    <row r="2111" spans="1:3" x14ac:dyDescent="0.35">
      <c r="A2111" s="7">
        <v>41943</v>
      </c>
      <c r="B2111" s="43">
        <v>233</v>
      </c>
      <c r="C2111">
        <f t="shared" si="39"/>
        <v>2014</v>
      </c>
    </row>
    <row r="2112" spans="1:3" x14ac:dyDescent="0.35">
      <c r="A2112" s="7">
        <v>41942</v>
      </c>
      <c r="B2112" s="43">
        <v>233</v>
      </c>
      <c r="C2112">
        <f t="shared" si="39"/>
        <v>2014</v>
      </c>
    </row>
    <row r="2113" spans="1:3" x14ac:dyDescent="0.35">
      <c r="A2113" s="7">
        <v>41941</v>
      </c>
      <c r="B2113" s="43">
        <v>236</v>
      </c>
      <c r="C2113">
        <f t="shared" si="39"/>
        <v>2014</v>
      </c>
    </row>
    <row r="2114" spans="1:3" x14ac:dyDescent="0.35">
      <c r="A2114" s="7">
        <v>41940</v>
      </c>
      <c r="B2114" s="43">
        <v>239</v>
      </c>
      <c r="C2114">
        <f t="shared" si="39"/>
        <v>2014</v>
      </c>
    </row>
    <row r="2115" spans="1:3" x14ac:dyDescent="0.35">
      <c r="A2115" s="7">
        <v>41939</v>
      </c>
      <c r="B2115" s="43">
        <v>245</v>
      </c>
      <c r="C2115">
        <f t="shared" ref="C2115:C2178" si="40">YEAR(A2115)</f>
        <v>2014</v>
      </c>
    </row>
    <row r="2116" spans="1:3" x14ac:dyDescent="0.35">
      <c r="A2116" s="7">
        <v>41936</v>
      </c>
      <c r="B2116" s="43">
        <v>243</v>
      </c>
      <c r="C2116">
        <f t="shared" si="40"/>
        <v>2014</v>
      </c>
    </row>
    <row r="2117" spans="1:3" x14ac:dyDescent="0.35">
      <c r="A2117" s="7">
        <v>41935</v>
      </c>
      <c r="B2117" s="43">
        <v>243</v>
      </c>
      <c r="C2117">
        <f t="shared" si="40"/>
        <v>2014</v>
      </c>
    </row>
    <row r="2118" spans="1:3" x14ac:dyDescent="0.35">
      <c r="A2118" s="7">
        <v>41934</v>
      </c>
      <c r="B2118" s="43">
        <v>243</v>
      </c>
      <c r="C2118">
        <f t="shared" si="40"/>
        <v>2014</v>
      </c>
    </row>
    <row r="2119" spans="1:3" x14ac:dyDescent="0.35">
      <c r="A2119" s="7">
        <v>41933</v>
      </c>
      <c r="B2119" s="43">
        <v>244</v>
      </c>
      <c r="C2119">
        <f t="shared" si="40"/>
        <v>2014</v>
      </c>
    </row>
    <row r="2120" spans="1:3" x14ac:dyDescent="0.35">
      <c r="A2120" s="7">
        <v>41932</v>
      </c>
      <c r="B2120" s="43">
        <v>241</v>
      </c>
      <c r="C2120">
        <f t="shared" si="40"/>
        <v>2014</v>
      </c>
    </row>
    <row r="2121" spans="1:3" x14ac:dyDescent="0.35">
      <c r="A2121" s="7">
        <v>41929</v>
      </c>
      <c r="B2121" s="43">
        <v>239</v>
      </c>
      <c r="C2121">
        <f t="shared" si="40"/>
        <v>2014</v>
      </c>
    </row>
    <row r="2122" spans="1:3" x14ac:dyDescent="0.35">
      <c r="A2122" s="7">
        <v>41928</v>
      </c>
      <c r="B2122" s="43">
        <v>245</v>
      </c>
      <c r="C2122">
        <f t="shared" si="40"/>
        <v>2014</v>
      </c>
    </row>
    <row r="2123" spans="1:3" x14ac:dyDescent="0.35">
      <c r="A2123" s="7">
        <v>41927</v>
      </c>
      <c r="B2123" s="43">
        <v>244</v>
      </c>
      <c r="C2123">
        <f t="shared" si="40"/>
        <v>2014</v>
      </c>
    </row>
    <row r="2124" spans="1:3" x14ac:dyDescent="0.35">
      <c r="A2124" s="7">
        <v>41926</v>
      </c>
      <c r="B2124" s="43">
        <v>245</v>
      </c>
      <c r="C2124">
        <f t="shared" si="40"/>
        <v>2014</v>
      </c>
    </row>
    <row r="2125" spans="1:3" x14ac:dyDescent="0.35">
      <c r="A2125" s="7">
        <v>41925</v>
      </c>
      <c r="B2125" s="43">
        <v>236</v>
      </c>
      <c r="C2125">
        <f t="shared" si="40"/>
        <v>2014</v>
      </c>
    </row>
    <row r="2126" spans="1:3" x14ac:dyDescent="0.35">
      <c r="A2126" s="7">
        <v>41922</v>
      </c>
      <c r="B2126" s="43">
        <v>236</v>
      </c>
      <c r="C2126">
        <f t="shared" si="40"/>
        <v>2014</v>
      </c>
    </row>
    <row r="2127" spans="1:3" x14ac:dyDescent="0.35">
      <c r="A2127" s="7">
        <v>41921</v>
      </c>
      <c r="B2127" s="43">
        <v>232</v>
      </c>
      <c r="C2127">
        <f t="shared" si="40"/>
        <v>2014</v>
      </c>
    </row>
    <row r="2128" spans="1:3" x14ac:dyDescent="0.35">
      <c r="A2128" s="7">
        <v>41920</v>
      </c>
      <c r="B2128" s="43">
        <v>239</v>
      </c>
      <c r="C2128">
        <f t="shared" si="40"/>
        <v>2014</v>
      </c>
    </row>
    <row r="2129" spans="1:3" x14ac:dyDescent="0.35">
      <c r="A2129" s="7">
        <v>41919</v>
      </c>
      <c r="B2129" s="43">
        <v>240</v>
      </c>
      <c r="C2129">
        <f t="shared" si="40"/>
        <v>2014</v>
      </c>
    </row>
    <row r="2130" spans="1:3" x14ac:dyDescent="0.35">
      <c r="A2130" s="7">
        <v>41918</v>
      </c>
      <c r="B2130" s="43">
        <v>237</v>
      </c>
      <c r="C2130">
        <f t="shared" si="40"/>
        <v>2014</v>
      </c>
    </row>
    <row r="2131" spans="1:3" x14ac:dyDescent="0.35">
      <c r="A2131" s="7">
        <v>41915</v>
      </c>
      <c r="B2131" s="43">
        <v>239</v>
      </c>
      <c r="C2131">
        <f t="shared" si="40"/>
        <v>2014</v>
      </c>
    </row>
    <row r="2132" spans="1:3" x14ac:dyDescent="0.35">
      <c r="A2132" s="7">
        <v>41914</v>
      </c>
      <c r="B2132" s="43">
        <v>240</v>
      </c>
      <c r="C2132">
        <f t="shared" si="40"/>
        <v>2014</v>
      </c>
    </row>
    <row r="2133" spans="1:3" x14ac:dyDescent="0.35">
      <c r="A2133" s="7">
        <v>41913</v>
      </c>
      <c r="B2133" s="43">
        <v>246</v>
      </c>
      <c r="C2133">
        <f t="shared" si="40"/>
        <v>2014</v>
      </c>
    </row>
    <row r="2134" spans="1:3" x14ac:dyDescent="0.35">
      <c r="A2134" s="7">
        <v>41912</v>
      </c>
      <c r="B2134" s="43">
        <v>239</v>
      </c>
      <c r="C2134">
        <f t="shared" si="40"/>
        <v>2014</v>
      </c>
    </row>
    <row r="2135" spans="1:3" x14ac:dyDescent="0.35">
      <c r="A2135" s="7">
        <v>41911</v>
      </c>
      <c r="B2135" s="43">
        <v>243</v>
      </c>
      <c r="C2135">
        <f t="shared" si="40"/>
        <v>2014</v>
      </c>
    </row>
    <row r="2136" spans="1:3" x14ac:dyDescent="0.35">
      <c r="A2136" s="7">
        <v>41908</v>
      </c>
      <c r="B2136" s="43">
        <v>230</v>
      </c>
      <c r="C2136">
        <f t="shared" si="40"/>
        <v>2014</v>
      </c>
    </row>
    <row r="2137" spans="1:3" x14ac:dyDescent="0.35">
      <c r="A2137" s="7">
        <v>41907</v>
      </c>
      <c r="B2137" s="43">
        <v>228</v>
      </c>
      <c r="C2137">
        <f t="shared" si="40"/>
        <v>2014</v>
      </c>
    </row>
    <row r="2138" spans="1:3" x14ac:dyDescent="0.35">
      <c r="A2138" s="7">
        <v>41906</v>
      </c>
      <c r="B2138" s="43">
        <v>218</v>
      </c>
      <c r="C2138">
        <f t="shared" si="40"/>
        <v>2014</v>
      </c>
    </row>
    <row r="2139" spans="1:3" x14ac:dyDescent="0.35">
      <c r="A2139" s="7">
        <v>41905</v>
      </c>
      <c r="B2139" s="43">
        <v>220</v>
      </c>
      <c r="C2139">
        <f t="shared" si="40"/>
        <v>2014</v>
      </c>
    </row>
    <row r="2140" spans="1:3" x14ac:dyDescent="0.35">
      <c r="A2140" s="7">
        <v>41904</v>
      </c>
      <c r="B2140" s="43">
        <v>219</v>
      </c>
      <c r="C2140">
        <f t="shared" si="40"/>
        <v>2014</v>
      </c>
    </row>
    <row r="2141" spans="1:3" x14ac:dyDescent="0.35">
      <c r="A2141" s="7">
        <v>41901</v>
      </c>
      <c r="B2141" s="43">
        <v>212</v>
      </c>
      <c r="C2141">
        <f t="shared" si="40"/>
        <v>2014</v>
      </c>
    </row>
    <row r="2142" spans="1:3" x14ac:dyDescent="0.35">
      <c r="A2142" s="7">
        <v>41900</v>
      </c>
      <c r="B2142" s="43">
        <v>210</v>
      </c>
      <c r="C2142">
        <f t="shared" si="40"/>
        <v>2014</v>
      </c>
    </row>
    <row r="2143" spans="1:3" x14ac:dyDescent="0.35">
      <c r="A2143" s="7">
        <v>41899</v>
      </c>
      <c r="B2143" s="43">
        <v>209</v>
      </c>
      <c r="C2143">
        <f t="shared" si="40"/>
        <v>2014</v>
      </c>
    </row>
    <row r="2144" spans="1:3" x14ac:dyDescent="0.35">
      <c r="A2144" s="7">
        <v>41898</v>
      </c>
      <c r="B2144" s="43">
        <v>218</v>
      </c>
      <c r="C2144">
        <f t="shared" si="40"/>
        <v>2014</v>
      </c>
    </row>
    <row r="2145" spans="1:3" x14ac:dyDescent="0.35">
      <c r="A2145" s="7">
        <v>41897</v>
      </c>
      <c r="B2145" s="43">
        <v>219</v>
      </c>
      <c r="C2145">
        <f t="shared" si="40"/>
        <v>2014</v>
      </c>
    </row>
    <row r="2146" spans="1:3" x14ac:dyDescent="0.35">
      <c r="A2146" s="7">
        <v>41894</v>
      </c>
      <c r="B2146" s="43">
        <v>214</v>
      </c>
      <c r="C2146">
        <f t="shared" si="40"/>
        <v>2014</v>
      </c>
    </row>
    <row r="2147" spans="1:3" x14ac:dyDescent="0.35">
      <c r="A2147" s="7">
        <v>41893</v>
      </c>
      <c r="B2147" s="43">
        <v>209</v>
      </c>
      <c r="C2147">
        <f t="shared" si="40"/>
        <v>2014</v>
      </c>
    </row>
    <row r="2148" spans="1:3" x14ac:dyDescent="0.35">
      <c r="A2148" s="7">
        <v>41892</v>
      </c>
      <c r="B2148" s="43">
        <v>208</v>
      </c>
      <c r="C2148">
        <f t="shared" si="40"/>
        <v>2014</v>
      </c>
    </row>
    <row r="2149" spans="1:3" x14ac:dyDescent="0.35">
      <c r="A2149" s="7">
        <v>41891</v>
      </c>
      <c r="B2149" s="43">
        <v>210</v>
      </c>
      <c r="C2149">
        <f t="shared" si="40"/>
        <v>2014</v>
      </c>
    </row>
    <row r="2150" spans="1:3" x14ac:dyDescent="0.35">
      <c r="A2150" s="7">
        <v>41890</v>
      </c>
      <c r="B2150" s="43">
        <v>200</v>
      </c>
      <c r="C2150">
        <f t="shared" si="40"/>
        <v>2014</v>
      </c>
    </row>
    <row r="2151" spans="1:3" x14ac:dyDescent="0.35">
      <c r="A2151" s="7">
        <v>41887</v>
      </c>
      <c r="B2151" s="43">
        <v>200</v>
      </c>
      <c r="C2151">
        <f t="shared" si="40"/>
        <v>2014</v>
      </c>
    </row>
    <row r="2152" spans="1:3" x14ac:dyDescent="0.35">
      <c r="A2152" s="7">
        <v>41886</v>
      </c>
      <c r="B2152" s="43">
        <v>203</v>
      </c>
      <c r="C2152">
        <f t="shared" si="40"/>
        <v>2014</v>
      </c>
    </row>
    <row r="2153" spans="1:3" x14ac:dyDescent="0.35">
      <c r="A2153" s="7">
        <v>41885</v>
      </c>
      <c r="B2153" s="43">
        <v>201</v>
      </c>
      <c r="C2153">
        <f t="shared" si="40"/>
        <v>2014</v>
      </c>
    </row>
    <row r="2154" spans="1:3" x14ac:dyDescent="0.35">
      <c r="A2154" s="7">
        <v>41884</v>
      </c>
      <c r="B2154" s="43">
        <v>203</v>
      </c>
      <c r="C2154">
        <f t="shared" si="40"/>
        <v>2014</v>
      </c>
    </row>
    <row r="2155" spans="1:3" x14ac:dyDescent="0.35">
      <c r="A2155" s="7">
        <v>41883</v>
      </c>
      <c r="B2155" s="43">
        <v>205</v>
      </c>
      <c r="C2155">
        <f t="shared" si="40"/>
        <v>2014</v>
      </c>
    </row>
    <row r="2156" spans="1:3" x14ac:dyDescent="0.35">
      <c r="A2156" s="7">
        <v>41880</v>
      </c>
      <c r="B2156" s="43">
        <v>205</v>
      </c>
      <c r="C2156">
        <f t="shared" si="40"/>
        <v>2014</v>
      </c>
    </row>
    <row r="2157" spans="1:3" x14ac:dyDescent="0.35">
      <c r="A2157" s="7">
        <v>41879</v>
      </c>
      <c r="B2157" s="43">
        <v>204</v>
      </c>
      <c r="C2157">
        <f t="shared" si="40"/>
        <v>2014</v>
      </c>
    </row>
    <row r="2158" spans="1:3" x14ac:dyDescent="0.35">
      <c r="A2158" s="7">
        <v>41878</v>
      </c>
      <c r="B2158" s="43">
        <v>205</v>
      </c>
      <c r="C2158">
        <f t="shared" si="40"/>
        <v>2014</v>
      </c>
    </row>
    <row r="2159" spans="1:3" x14ac:dyDescent="0.35">
      <c r="A2159" s="7">
        <v>41877</v>
      </c>
      <c r="B2159" s="43">
        <v>209</v>
      </c>
      <c r="C2159">
        <f t="shared" si="40"/>
        <v>2014</v>
      </c>
    </row>
    <row r="2160" spans="1:3" x14ac:dyDescent="0.35">
      <c r="A2160" s="7">
        <v>41876</v>
      </c>
      <c r="B2160" s="43">
        <v>212</v>
      </c>
      <c r="C2160">
        <f t="shared" si="40"/>
        <v>2014</v>
      </c>
    </row>
    <row r="2161" spans="1:3" x14ac:dyDescent="0.35">
      <c r="A2161" s="7">
        <v>41873</v>
      </c>
      <c r="B2161" s="43">
        <v>212</v>
      </c>
      <c r="C2161">
        <f t="shared" si="40"/>
        <v>2014</v>
      </c>
    </row>
    <row r="2162" spans="1:3" x14ac:dyDescent="0.35">
      <c r="A2162" s="7">
        <v>41872</v>
      </c>
      <c r="B2162" s="43">
        <v>211</v>
      </c>
      <c r="C2162">
        <f t="shared" si="40"/>
        <v>2014</v>
      </c>
    </row>
    <row r="2163" spans="1:3" x14ac:dyDescent="0.35">
      <c r="A2163" s="7">
        <v>41871</v>
      </c>
      <c r="B2163" s="43">
        <v>213</v>
      </c>
      <c r="C2163">
        <f t="shared" si="40"/>
        <v>2014</v>
      </c>
    </row>
    <row r="2164" spans="1:3" x14ac:dyDescent="0.35">
      <c r="A2164" s="7">
        <v>41870</v>
      </c>
      <c r="B2164" s="43">
        <v>215</v>
      </c>
      <c r="C2164">
        <f t="shared" si="40"/>
        <v>2014</v>
      </c>
    </row>
    <row r="2165" spans="1:3" x14ac:dyDescent="0.35">
      <c r="A2165" s="7">
        <v>41869</v>
      </c>
      <c r="B2165" s="43">
        <v>218</v>
      </c>
      <c r="C2165">
        <f t="shared" si="40"/>
        <v>2014</v>
      </c>
    </row>
    <row r="2166" spans="1:3" x14ac:dyDescent="0.35">
      <c r="A2166" s="7">
        <v>41866</v>
      </c>
      <c r="B2166" s="43">
        <v>222</v>
      </c>
      <c r="C2166">
        <f t="shared" si="40"/>
        <v>2014</v>
      </c>
    </row>
    <row r="2167" spans="1:3" x14ac:dyDescent="0.35">
      <c r="A2167" s="7">
        <v>41865</v>
      </c>
      <c r="B2167" s="43">
        <v>221</v>
      </c>
      <c r="C2167">
        <f t="shared" si="40"/>
        <v>2014</v>
      </c>
    </row>
    <row r="2168" spans="1:3" x14ac:dyDescent="0.35">
      <c r="A2168" s="7">
        <v>41864</v>
      </c>
      <c r="B2168" s="43">
        <v>227</v>
      </c>
      <c r="C2168">
        <f t="shared" si="40"/>
        <v>2014</v>
      </c>
    </row>
    <row r="2169" spans="1:3" x14ac:dyDescent="0.35">
      <c r="A2169" s="7">
        <v>41863</v>
      </c>
      <c r="B2169" s="43">
        <v>228</v>
      </c>
      <c r="C2169">
        <f t="shared" si="40"/>
        <v>2014</v>
      </c>
    </row>
    <row r="2170" spans="1:3" x14ac:dyDescent="0.35">
      <c r="A2170" s="7">
        <v>41862</v>
      </c>
      <c r="B2170" s="43">
        <v>231</v>
      </c>
      <c r="C2170">
        <f t="shared" si="40"/>
        <v>2014</v>
      </c>
    </row>
    <row r="2171" spans="1:3" x14ac:dyDescent="0.35">
      <c r="A2171" s="7">
        <v>41859</v>
      </c>
      <c r="B2171" s="43">
        <v>233</v>
      </c>
      <c r="C2171">
        <f t="shared" si="40"/>
        <v>2014</v>
      </c>
    </row>
    <row r="2172" spans="1:3" x14ac:dyDescent="0.35">
      <c r="A2172" s="7">
        <v>41858</v>
      </c>
      <c r="B2172" s="43">
        <v>234</v>
      </c>
      <c r="C2172">
        <f t="shared" si="40"/>
        <v>2014</v>
      </c>
    </row>
    <row r="2173" spans="1:3" x14ac:dyDescent="0.35">
      <c r="A2173" s="7">
        <v>41857</v>
      </c>
      <c r="B2173" s="43">
        <v>230</v>
      </c>
      <c r="C2173">
        <f t="shared" si="40"/>
        <v>2014</v>
      </c>
    </row>
    <row r="2174" spans="1:3" x14ac:dyDescent="0.35">
      <c r="A2174" s="7">
        <v>41856</v>
      </c>
      <c r="B2174" s="43">
        <v>231</v>
      </c>
      <c r="C2174">
        <f t="shared" si="40"/>
        <v>2014</v>
      </c>
    </row>
    <row r="2175" spans="1:3" x14ac:dyDescent="0.35">
      <c r="A2175" s="7">
        <v>41855</v>
      </c>
      <c r="B2175" s="43">
        <v>224</v>
      </c>
      <c r="C2175">
        <f t="shared" si="40"/>
        <v>2014</v>
      </c>
    </row>
    <row r="2176" spans="1:3" x14ac:dyDescent="0.35">
      <c r="A2176" s="7">
        <v>41852</v>
      </c>
      <c r="B2176" s="43">
        <v>225</v>
      </c>
      <c r="C2176">
        <f t="shared" si="40"/>
        <v>2014</v>
      </c>
    </row>
    <row r="2177" spans="1:3" x14ac:dyDescent="0.35">
      <c r="A2177" s="7">
        <v>41851</v>
      </c>
      <c r="B2177" s="43">
        <v>212</v>
      </c>
      <c r="C2177">
        <f t="shared" si="40"/>
        <v>2014</v>
      </c>
    </row>
    <row r="2178" spans="1:3" x14ac:dyDescent="0.35">
      <c r="A2178" s="7">
        <v>41850</v>
      </c>
      <c r="B2178" s="43">
        <v>206</v>
      </c>
      <c r="C2178">
        <f t="shared" si="40"/>
        <v>2014</v>
      </c>
    </row>
    <row r="2179" spans="1:3" x14ac:dyDescent="0.35">
      <c r="A2179" s="7">
        <v>41849</v>
      </c>
      <c r="B2179" s="43">
        <v>215</v>
      </c>
      <c r="C2179">
        <f t="shared" ref="C2179:C2242" si="41">YEAR(A2179)</f>
        <v>2014</v>
      </c>
    </row>
    <row r="2180" spans="1:3" x14ac:dyDescent="0.35">
      <c r="A2180" s="7">
        <v>41848</v>
      </c>
      <c r="B2180" s="43">
        <v>210</v>
      </c>
      <c r="C2180">
        <f t="shared" si="41"/>
        <v>2014</v>
      </c>
    </row>
    <row r="2181" spans="1:3" x14ac:dyDescent="0.35">
      <c r="A2181" s="7">
        <v>41845</v>
      </c>
      <c r="B2181" s="43">
        <v>209</v>
      </c>
      <c r="C2181">
        <f t="shared" si="41"/>
        <v>2014</v>
      </c>
    </row>
    <row r="2182" spans="1:3" x14ac:dyDescent="0.35">
      <c r="A2182" s="7">
        <v>41844</v>
      </c>
      <c r="B2182" s="43">
        <v>203</v>
      </c>
      <c r="C2182">
        <f t="shared" si="41"/>
        <v>2014</v>
      </c>
    </row>
    <row r="2183" spans="1:3" x14ac:dyDescent="0.35">
      <c r="A2183" s="7">
        <v>41843</v>
      </c>
      <c r="B2183" s="43">
        <v>203</v>
      </c>
      <c r="C2183">
        <f t="shared" si="41"/>
        <v>2014</v>
      </c>
    </row>
    <row r="2184" spans="1:3" x14ac:dyDescent="0.35">
      <c r="A2184" s="7">
        <v>41842</v>
      </c>
      <c r="B2184" s="43">
        <v>207</v>
      </c>
      <c r="C2184">
        <f t="shared" si="41"/>
        <v>2014</v>
      </c>
    </row>
    <row r="2185" spans="1:3" x14ac:dyDescent="0.35">
      <c r="A2185" s="7">
        <v>41841</v>
      </c>
      <c r="B2185" s="43">
        <v>208</v>
      </c>
      <c r="C2185">
        <f t="shared" si="41"/>
        <v>2014</v>
      </c>
    </row>
    <row r="2186" spans="1:3" x14ac:dyDescent="0.35">
      <c r="A2186" s="7">
        <v>41838</v>
      </c>
      <c r="B2186" s="43">
        <v>209</v>
      </c>
      <c r="C2186">
        <f t="shared" si="41"/>
        <v>2014</v>
      </c>
    </row>
    <row r="2187" spans="1:3" x14ac:dyDescent="0.35">
      <c r="A2187" s="7">
        <v>41837</v>
      </c>
      <c r="B2187" s="43">
        <v>219</v>
      </c>
      <c r="C2187">
        <f t="shared" si="41"/>
        <v>2014</v>
      </c>
    </row>
    <row r="2188" spans="1:3" x14ac:dyDescent="0.35">
      <c r="A2188" s="7">
        <v>41836</v>
      </c>
      <c r="B2188" s="43">
        <v>214</v>
      </c>
      <c r="C2188">
        <f t="shared" si="41"/>
        <v>2014</v>
      </c>
    </row>
    <row r="2189" spans="1:3" x14ac:dyDescent="0.35">
      <c r="A2189" s="7">
        <v>41835</v>
      </c>
      <c r="B2189" s="43">
        <v>214</v>
      </c>
      <c r="C2189">
        <f t="shared" si="41"/>
        <v>2014</v>
      </c>
    </row>
    <row r="2190" spans="1:3" x14ac:dyDescent="0.35">
      <c r="A2190" s="7">
        <v>41834</v>
      </c>
      <c r="B2190" s="43">
        <v>213</v>
      </c>
      <c r="C2190">
        <f t="shared" si="41"/>
        <v>2014</v>
      </c>
    </row>
    <row r="2191" spans="1:3" x14ac:dyDescent="0.35">
      <c r="A2191" s="7">
        <v>41831</v>
      </c>
      <c r="B2191" s="43">
        <v>215</v>
      </c>
      <c r="C2191">
        <f t="shared" si="41"/>
        <v>2014</v>
      </c>
    </row>
    <row r="2192" spans="1:3" x14ac:dyDescent="0.35">
      <c r="A2192" s="7">
        <v>41830</v>
      </c>
      <c r="B2192" s="43">
        <v>214</v>
      </c>
      <c r="C2192">
        <f t="shared" si="41"/>
        <v>2014</v>
      </c>
    </row>
    <row r="2193" spans="1:3" x14ac:dyDescent="0.35">
      <c r="A2193" s="7">
        <v>41829</v>
      </c>
      <c r="B2193" s="43">
        <v>212</v>
      </c>
      <c r="C2193">
        <f t="shared" si="41"/>
        <v>2014</v>
      </c>
    </row>
    <row r="2194" spans="1:3" x14ac:dyDescent="0.35">
      <c r="A2194" s="7">
        <v>41828</v>
      </c>
      <c r="B2194" s="43">
        <v>208</v>
      </c>
      <c r="C2194">
        <f t="shared" si="41"/>
        <v>2014</v>
      </c>
    </row>
    <row r="2195" spans="1:3" x14ac:dyDescent="0.35">
      <c r="A2195" s="7">
        <v>41827</v>
      </c>
      <c r="B2195" s="43">
        <v>206</v>
      </c>
      <c r="C2195">
        <f t="shared" si="41"/>
        <v>2014</v>
      </c>
    </row>
    <row r="2196" spans="1:3" x14ac:dyDescent="0.35">
      <c r="A2196" s="7">
        <v>41824</v>
      </c>
      <c r="B2196" s="43">
        <v>206</v>
      </c>
      <c r="C2196">
        <f t="shared" si="41"/>
        <v>2014</v>
      </c>
    </row>
    <row r="2197" spans="1:3" x14ac:dyDescent="0.35">
      <c r="A2197" s="7">
        <v>41823</v>
      </c>
      <c r="B2197" s="43">
        <v>206</v>
      </c>
      <c r="C2197">
        <f t="shared" si="41"/>
        <v>2014</v>
      </c>
    </row>
    <row r="2198" spans="1:3" x14ac:dyDescent="0.35">
      <c r="A2198" s="7">
        <v>41822</v>
      </c>
      <c r="B2198" s="43">
        <v>207</v>
      </c>
      <c r="C2198">
        <f t="shared" si="41"/>
        <v>2014</v>
      </c>
    </row>
    <row r="2199" spans="1:3" x14ac:dyDescent="0.35">
      <c r="A2199" s="7">
        <v>41821</v>
      </c>
      <c r="B2199" s="43">
        <v>206</v>
      </c>
      <c r="C2199">
        <f t="shared" si="41"/>
        <v>2014</v>
      </c>
    </row>
    <row r="2200" spans="1:3" x14ac:dyDescent="0.35">
      <c r="A2200" s="7">
        <v>41820</v>
      </c>
      <c r="B2200" s="43">
        <v>208</v>
      </c>
      <c r="C2200">
        <f t="shared" si="41"/>
        <v>2014</v>
      </c>
    </row>
    <row r="2201" spans="1:3" x14ac:dyDescent="0.35">
      <c r="A2201" s="7">
        <v>41817</v>
      </c>
      <c r="B2201" s="43">
        <v>205</v>
      </c>
      <c r="C2201">
        <f t="shared" si="41"/>
        <v>2014</v>
      </c>
    </row>
    <row r="2202" spans="1:3" x14ac:dyDescent="0.35">
      <c r="A2202" s="7">
        <v>41816</v>
      </c>
      <c r="B2202" s="43">
        <v>203</v>
      </c>
      <c r="C2202">
        <f t="shared" si="41"/>
        <v>2014</v>
      </c>
    </row>
    <row r="2203" spans="1:3" x14ac:dyDescent="0.35">
      <c r="A2203" s="7">
        <v>41815</v>
      </c>
      <c r="B2203" s="43">
        <v>203</v>
      </c>
      <c r="C2203">
        <f t="shared" si="41"/>
        <v>2014</v>
      </c>
    </row>
    <row r="2204" spans="1:3" x14ac:dyDescent="0.35">
      <c r="A2204" s="7">
        <v>41814</v>
      </c>
      <c r="B2204" s="43">
        <v>207</v>
      </c>
      <c r="C2204">
        <f t="shared" si="41"/>
        <v>2014</v>
      </c>
    </row>
    <row r="2205" spans="1:3" x14ac:dyDescent="0.35">
      <c r="A2205" s="7">
        <v>41813</v>
      </c>
      <c r="B2205" s="43">
        <v>208</v>
      </c>
      <c r="C2205">
        <f t="shared" si="41"/>
        <v>2014</v>
      </c>
    </row>
    <row r="2206" spans="1:3" x14ac:dyDescent="0.35">
      <c r="A2206" s="7">
        <v>41810</v>
      </c>
      <c r="B2206" s="43">
        <v>209</v>
      </c>
      <c r="C2206">
        <f t="shared" si="41"/>
        <v>2014</v>
      </c>
    </row>
    <row r="2207" spans="1:3" x14ac:dyDescent="0.35">
      <c r="A2207" s="7">
        <v>41809</v>
      </c>
      <c r="B2207" s="43">
        <v>208</v>
      </c>
      <c r="C2207">
        <f t="shared" si="41"/>
        <v>2014</v>
      </c>
    </row>
    <row r="2208" spans="1:3" x14ac:dyDescent="0.35">
      <c r="A2208" s="7">
        <v>41808</v>
      </c>
      <c r="B2208" s="43">
        <v>206</v>
      </c>
      <c r="C2208">
        <f t="shared" si="41"/>
        <v>2014</v>
      </c>
    </row>
    <row r="2209" spans="1:3" x14ac:dyDescent="0.35">
      <c r="A2209" s="7">
        <v>41807</v>
      </c>
      <c r="B2209" s="43">
        <v>207</v>
      </c>
      <c r="C2209">
        <f t="shared" si="41"/>
        <v>2014</v>
      </c>
    </row>
    <row r="2210" spans="1:3" x14ac:dyDescent="0.35">
      <c r="A2210" s="7">
        <v>41806</v>
      </c>
      <c r="B2210" s="43">
        <v>208</v>
      </c>
      <c r="C2210">
        <f t="shared" si="41"/>
        <v>2014</v>
      </c>
    </row>
    <row r="2211" spans="1:3" x14ac:dyDescent="0.35">
      <c r="A2211" s="7">
        <v>41803</v>
      </c>
      <c r="B2211" s="43">
        <v>204</v>
      </c>
      <c r="C2211">
        <f t="shared" si="41"/>
        <v>2014</v>
      </c>
    </row>
    <row r="2212" spans="1:3" x14ac:dyDescent="0.35">
      <c r="A2212" s="7">
        <v>41802</v>
      </c>
      <c r="B2212" s="43">
        <v>211</v>
      </c>
      <c r="C2212">
        <f t="shared" si="41"/>
        <v>2014</v>
      </c>
    </row>
    <row r="2213" spans="1:3" x14ac:dyDescent="0.35">
      <c r="A2213" s="7">
        <v>41801</v>
      </c>
      <c r="B2213" s="43">
        <v>212</v>
      </c>
      <c r="C2213">
        <f t="shared" si="41"/>
        <v>2014</v>
      </c>
    </row>
    <row r="2214" spans="1:3" x14ac:dyDescent="0.35">
      <c r="A2214" s="7">
        <v>41800</v>
      </c>
      <c r="B2214" s="43">
        <v>201</v>
      </c>
      <c r="C2214">
        <f t="shared" si="41"/>
        <v>2014</v>
      </c>
    </row>
    <row r="2215" spans="1:3" x14ac:dyDescent="0.35">
      <c r="A2215" s="7">
        <v>41799</v>
      </c>
      <c r="B2215" s="43">
        <v>197</v>
      </c>
      <c r="C2215">
        <f t="shared" si="41"/>
        <v>2014</v>
      </c>
    </row>
    <row r="2216" spans="1:3" x14ac:dyDescent="0.35">
      <c r="A2216" s="7">
        <v>41796</v>
      </c>
      <c r="B2216" s="43">
        <v>198</v>
      </c>
      <c r="C2216">
        <f t="shared" si="41"/>
        <v>2014</v>
      </c>
    </row>
    <row r="2217" spans="1:3" x14ac:dyDescent="0.35">
      <c r="A2217" s="7">
        <v>41795</v>
      </c>
      <c r="B2217" s="43">
        <v>207</v>
      </c>
      <c r="C2217">
        <f t="shared" si="41"/>
        <v>2014</v>
      </c>
    </row>
    <row r="2218" spans="1:3" x14ac:dyDescent="0.35">
      <c r="A2218" s="7">
        <v>41794</v>
      </c>
      <c r="B2218" s="43">
        <v>210</v>
      </c>
      <c r="C2218">
        <f t="shared" si="41"/>
        <v>2014</v>
      </c>
    </row>
    <row r="2219" spans="1:3" x14ac:dyDescent="0.35">
      <c r="A2219" s="7">
        <v>41793</v>
      </c>
      <c r="B2219" s="43">
        <v>207</v>
      </c>
      <c r="C2219">
        <f t="shared" si="41"/>
        <v>2014</v>
      </c>
    </row>
    <row r="2220" spans="1:3" x14ac:dyDescent="0.35">
      <c r="A2220" s="7">
        <v>41792</v>
      </c>
      <c r="B2220" s="43">
        <v>208</v>
      </c>
      <c r="C2220">
        <f t="shared" si="41"/>
        <v>2014</v>
      </c>
    </row>
    <row r="2221" spans="1:3" x14ac:dyDescent="0.35">
      <c r="A2221" s="7">
        <v>41789</v>
      </c>
      <c r="B2221" s="43">
        <v>208</v>
      </c>
      <c r="C2221">
        <f t="shared" si="41"/>
        <v>2014</v>
      </c>
    </row>
    <row r="2222" spans="1:3" x14ac:dyDescent="0.35">
      <c r="A2222" s="7">
        <v>41788</v>
      </c>
      <c r="B2222" s="43">
        <v>206</v>
      </c>
      <c r="C2222">
        <f t="shared" si="41"/>
        <v>2014</v>
      </c>
    </row>
    <row r="2223" spans="1:3" x14ac:dyDescent="0.35">
      <c r="A2223" s="7">
        <v>41787</v>
      </c>
      <c r="B2223" s="43">
        <v>212</v>
      </c>
      <c r="C2223">
        <f t="shared" si="41"/>
        <v>2014</v>
      </c>
    </row>
    <row r="2224" spans="1:3" x14ac:dyDescent="0.35">
      <c r="A2224" s="7">
        <v>41786</v>
      </c>
      <c r="B2224" s="43">
        <v>216</v>
      </c>
      <c r="C2224">
        <f t="shared" si="41"/>
        <v>2014</v>
      </c>
    </row>
    <row r="2225" spans="1:3" x14ac:dyDescent="0.35">
      <c r="A2225" s="7">
        <v>41785</v>
      </c>
      <c r="B2225" s="43">
        <v>214</v>
      </c>
      <c r="C2225">
        <f t="shared" si="41"/>
        <v>2014</v>
      </c>
    </row>
    <row r="2226" spans="1:3" x14ac:dyDescent="0.35">
      <c r="A2226" s="7">
        <v>41782</v>
      </c>
      <c r="B2226" s="43">
        <v>214</v>
      </c>
      <c r="C2226">
        <f t="shared" si="41"/>
        <v>2014</v>
      </c>
    </row>
    <row r="2227" spans="1:3" x14ac:dyDescent="0.35">
      <c r="A2227" s="7">
        <v>41781</v>
      </c>
      <c r="B2227" s="43">
        <v>215</v>
      </c>
      <c r="C2227">
        <f t="shared" si="41"/>
        <v>2014</v>
      </c>
    </row>
    <row r="2228" spans="1:3" x14ac:dyDescent="0.35">
      <c r="A2228" s="7">
        <v>41780</v>
      </c>
      <c r="B2228" s="43">
        <v>212</v>
      </c>
      <c r="C2228">
        <f t="shared" si="41"/>
        <v>2014</v>
      </c>
    </row>
    <row r="2229" spans="1:3" x14ac:dyDescent="0.35">
      <c r="A2229" s="7">
        <v>41779</v>
      </c>
      <c r="B2229" s="43">
        <v>216</v>
      </c>
      <c r="C2229">
        <f t="shared" si="41"/>
        <v>2014</v>
      </c>
    </row>
    <row r="2230" spans="1:3" x14ac:dyDescent="0.35">
      <c r="A2230" s="7">
        <v>41778</v>
      </c>
      <c r="B2230" s="43">
        <v>210</v>
      </c>
      <c r="C2230">
        <f t="shared" si="41"/>
        <v>2014</v>
      </c>
    </row>
    <row r="2231" spans="1:3" x14ac:dyDescent="0.35">
      <c r="A2231" s="7">
        <v>41775</v>
      </c>
      <c r="B2231" s="43">
        <v>212</v>
      </c>
      <c r="C2231">
        <f t="shared" si="41"/>
        <v>2014</v>
      </c>
    </row>
    <row r="2232" spans="1:3" x14ac:dyDescent="0.35">
      <c r="A2232" s="7">
        <v>41774</v>
      </c>
      <c r="B2232" s="43">
        <v>214</v>
      </c>
      <c r="C2232">
        <f t="shared" si="41"/>
        <v>2014</v>
      </c>
    </row>
    <row r="2233" spans="1:3" x14ac:dyDescent="0.35">
      <c r="A2233" s="7">
        <v>41773</v>
      </c>
      <c r="B2233" s="43">
        <v>207</v>
      </c>
      <c r="C2233">
        <f t="shared" si="41"/>
        <v>2014</v>
      </c>
    </row>
    <row r="2234" spans="1:3" x14ac:dyDescent="0.35">
      <c r="A2234" s="7">
        <v>41772</v>
      </c>
      <c r="B2234" s="43">
        <v>205</v>
      </c>
      <c r="C2234">
        <f t="shared" si="41"/>
        <v>2014</v>
      </c>
    </row>
    <row r="2235" spans="1:3" x14ac:dyDescent="0.35">
      <c r="A2235" s="7">
        <v>41771</v>
      </c>
      <c r="B2235" s="43">
        <v>205</v>
      </c>
      <c r="C2235">
        <f t="shared" si="41"/>
        <v>2014</v>
      </c>
    </row>
    <row r="2236" spans="1:3" x14ac:dyDescent="0.35">
      <c r="A2236" s="7">
        <v>41768</v>
      </c>
      <c r="B2236" s="43">
        <v>205</v>
      </c>
      <c r="C2236">
        <f t="shared" si="41"/>
        <v>2014</v>
      </c>
    </row>
    <row r="2237" spans="1:3" x14ac:dyDescent="0.35">
      <c r="A2237" s="7">
        <v>41767</v>
      </c>
      <c r="B2237" s="43">
        <v>202</v>
      </c>
      <c r="C2237">
        <f t="shared" si="41"/>
        <v>2014</v>
      </c>
    </row>
    <row r="2238" spans="1:3" x14ac:dyDescent="0.35">
      <c r="A2238" s="7">
        <v>41766</v>
      </c>
      <c r="B2238" s="43">
        <v>204</v>
      </c>
      <c r="C2238">
        <f t="shared" si="41"/>
        <v>2014</v>
      </c>
    </row>
    <row r="2239" spans="1:3" x14ac:dyDescent="0.35">
      <c r="A2239" s="7">
        <v>41765</v>
      </c>
      <c r="B2239" s="43">
        <v>204</v>
      </c>
      <c r="C2239">
        <f t="shared" si="41"/>
        <v>2014</v>
      </c>
    </row>
    <row r="2240" spans="1:3" x14ac:dyDescent="0.35">
      <c r="A2240" s="7">
        <v>41764</v>
      </c>
      <c r="B2240" s="43">
        <v>207</v>
      </c>
      <c r="C2240">
        <f t="shared" si="41"/>
        <v>2014</v>
      </c>
    </row>
    <row r="2241" spans="1:3" x14ac:dyDescent="0.35">
      <c r="A2241" s="7">
        <v>41761</v>
      </c>
      <c r="B2241" s="43">
        <v>207</v>
      </c>
      <c r="C2241">
        <f t="shared" si="41"/>
        <v>2014</v>
      </c>
    </row>
    <row r="2242" spans="1:3" x14ac:dyDescent="0.35">
      <c r="A2242" s="7">
        <v>41760</v>
      </c>
      <c r="B2242" s="43">
        <v>209</v>
      </c>
      <c r="C2242">
        <f t="shared" si="41"/>
        <v>2014</v>
      </c>
    </row>
    <row r="2243" spans="1:3" x14ac:dyDescent="0.35">
      <c r="A2243" s="7">
        <v>41759</v>
      </c>
      <c r="B2243" s="43">
        <v>211</v>
      </c>
      <c r="C2243">
        <f t="shared" ref="C2243:C2306" si="42">YEAR(A2243)</f>
        <v>2014</v>
      </c>
    </row>
    <row r="2244" spans="1:3" x14ac:dyDescent="0.35">
      <c r="A2244" s="7">
        <v>41758</v>
      </c>
      <c r="B2244" s="43">
        <v>214</v>
      </c>
      <c r="C2244">
        <f t="shared" si="42"/>
        <v>2014</v>
      </c>
    </row>
    <row r="2245" spans="1:3" x14ac:dyDescent="0.35">
      <c r="A2245" s="7">
        <v>41757</v>
      </c>
      <c r="B2245" s="43">
        <v>219</v>
      </c>
      <c r="C2245">
        <f t="shared" si="42"/>
        <v>2014</v>
      </c>
    </row>
    <row r="2246" spans="1:3" x14ac:dyDescent="0.35">
      <c r="A2246" s="7">
        <v>41754</v>
      </c>
      <c r="B2246" s="43">
        <v>222</v>
      </c>
      <c r="C2246">
        <f t="shared" si="42"/>
        <v>2014</v>
      </c>
    </row>
    <row r="2247" spans="1:3" x14ac:dyDescent="0.35">
      <c r="A2247" s="7">
        <v>41753</v>
      </c>
      <c r="B2247" s="43">
        <v>220</v>
      </c>
      <c r="C2247">
        <f t="shared" si="42"/>
        <v>2014</v>
      </c>
    </row>
    <row r="2248" spans="1:3" x14ac:dyDescent="0.35">
      <c r="A2248" s="7">
        <v>41752</v>
      </c>
      <c r="B2248" s="43">
        <v>219</v>
      </c>
      <c r="C2248">
        <f t="shared" si="42"/>
        <v>2014</v>
      </c>
    </row>
    <row r="2249" spans="1:3" x14ac:dyDescent="0.35">
      <c r="A2249" s="7">
        <v>41751</v>
      </c>
      <c r="B2249" s="43">
        <v>215</v>
      </c>
      <c r="C2249">
        <f t="shared" si="42"/>
        <v>2014</v>
      </c>
    </row>
    <row r="2250" spans="1:3" x14ac:dyDescent="0.35">
      <c r="A2250" s="7">
        <v>41750</v>
      </c>
      <c r="B2250" s="43">
        <v>213</v>
      </c>
      <c r="C2250">
        <f t="shared" si="42"/>
        <v>2014</v>
      </c>
    </row>
    <row r="2251" spans="1:3" x14ac:dyDescent="0.35">
      <c r="A2251" s="7">
        <v>41746</v>
      </c>
      <c r="B2251" s="43">
        <v>212</v>
      </c>
      <c r="C2251">
        <f t="shared" si="42"/>
        <v>2014</v>
      </c>
    </row>
    <row r="2252" spans="1:3" x14ac:dyDescent="0.35">
      <c r="A2252" s="7">
        <v>41745</v>
      </c>
      <c r="B2252" s="43">
        <v>221</v>
      </c>
      <c r="C2252">
        <f t="shared" si="42"/>
        <v>2014</v>
      </c>
    </row>
    <row r="2253" spans="1:3" x14ac:dyDescent="0.35">
      <c r="A2253" s="7">
        <v>41744</v>
      </c>
      <c r="B2253" s="43">
        <v>224</v>
      </c>
      <c r="C2253">
        <f t="shared" si="42"/>
        <v>2014</v>
      </c>
    </row>
    <row r="2254" spans="1:3" x14ac:dyDescent="0.35">
      <c r="A2254" s="7">
        <v>41743</v>
      </c>
      <c r="B2254" s="43">
        <v>223</v>
      </c>
      <c r="C2254">
        <f t="shared" si="42"/>
        <v>2014</v>
      </c>
    </row>
    <row r="2255" spans="1:3" x14ac:dyDescent="0.35">
      <c r="A2255" s="7">
        <v>41740</v>
      </c>
      <c r="B2255" s="43">
        <v>222</v>
      </c>
      <c r="C2255">
        <f t="shared" si="42"/>
        <v>2014</v>
      </c>
    </row>
    <row r="2256" spans="1:3" x14ac:dyDescent="0.35">
      <c r="A2256" s="7">
        <v>41739</v>
      </c>
      <c r="B2256" s="43">
        <v>220</v>
      </c>
      <c r="C2256">
        <f t="shared" si="42"/>
        <v>2014</v>
      </c>
    </row>
    <row r="2257" spans="1:3" x14ac:dyDescent="0.35">
      <c r="A2257" s="7">
        <v>41738</v>
      </c>
      <c r="B2257" s="43">
        <v>222</v>
      </c>
      <c r="C2257">
        <f t="shared" si="42"/>
        <v>2014</v>
      </c>
    </row>
    <row r="2258" spans="1:3" x14ac:dyDescent="0.35">
      <c r="A2258" s="7">
        <v>41737</v>
      </c>
      <c r="B2258" s="43">
        <v>221</v>
      </c>
      <c r="C2258">
        <f t="shared" si="42"/>
        <v>2014</v>
      </c>
    </row>
    <row r="2259" spans="1:3" x14ac:dyDescent="0.35">
      <c r="A2259" s="7">
        <v>41736</v>
      </c>
      <c r="B2259" s="43">
        <v>222</v>
      </c>
      <c r="C2259">
        <f t="shared" si="42"/>
        <v>2014</v>
      </c>
    </row>
    <row r="2260" spans="1:3" x14ac:dyDescent="0.35">
      <c r="A2260" s="7">
        <v>41733</v>
      </c>
      <c r="B2260" s="43">
        <v>221</v>
      </c>
      <c r="C2260">
        <f t="shared" si="42"/>
        <v>2014</v>
      </c>
    </row>
    <row r="2261" spans="1:3" x14ac:dyDescent="0.35">
      <c r="A2261" s="7">
        <v>41732</v>
      </c>
      <c r="B2261" s="43">
        <v>223</v>
      </c>
      <c r="C2261">
        <f t="shared" si="42"/>
        <v>2014</v>
      </c>
    </row>
    <row r="2262" spans="1:3" x14ac:dyDescent="0.35">
      <c r="A2262" s="7">
        <v>41731</v>
      </c>
      <c r="B2262" s="43">
        <v>223</v>
      </c>
      <c r="C2262">
        <f t="shared" si="42"/>
        <v>2014</v>
      </c>
    </row>
    <row r="2263" spans="1:3" x14ac:dyDescent="0.35">
      <c r="A2263" s="7">
        <v>41730</v>
      </c>
      <c r="B2263" s="43">
        <v>222</v>
      </c>
      <c r="C2263">
        <f t="shared" si="42"/>
        <v>2014</v>
      </c>
    </row>
    <row r="2264" spans="1:3" x14ac:dyDescent="0.35">
      <c r="A2264" s="7">
        <v>41729</v>
      </c>
      <c r="B2264" s="43">
        <v>228</v>
      </c>
      <c r="C2264">
        <f t="shared" si="42"/>
        <v>2014</v>
      </c>
    </row>
    <row r="2265" spans="1:3" x14ac:dyDescent="0.35">
      <c r="A2265" s="7">
        <v>41726</v>
      </c>
      <c r="B2265" s="43">
        <v>227</v>
      </c>
      <c r="C2265">
        <f t="shared" si="42"/>
        <v>2014</v>
      </c>
    </row>
    <row r="2266" spans="1:3" x14ac:dyDescent="0.35">
      <c r="A2266" s="7">
        <v>41725</v>
      </c>
      <c r="B2266" s="43">
        <v>224</v>
      </c>
      <c r="C2266">
        <f t="shared" si="42"/>
        <v>2014</v>
      </c>
    </row>
    <row r="2267" spans="1:3" x14ac:dyDescent="0.35">
      <c r="A2267" s="7">
        <v>41724</v>
      </c>
      <c r="B2267" s="43">
        <v>223</v>
      </c>
      <c r="C2267">
        <f t="shared" si="42"/>
        <v>2014</v>
      </c>
    </row>
    <row r="2268" spans="1:3" x14ac:dyDescent="0.35">
      <c r="A2268" s="7">
        <v>41723</v>
      </c>
      <c r="B2268" s="43">
        <v>230</v>
      </c>
      <c r="C2268">
        <f t="shared" si="42"/>
        <v>2014</v>
      </c>
    </row>
    <row r="2269" spans="1:3" x14ac:dyDescent="0.35">
      <c r="A2269" s="7">
        <v>41722</v>
      </c>
      <c r="B2269" s="43">
        <v>237</v>
      </c>
      <c r="C2269">
        <f t="shared" si="42"/>
        <v>2014</v>
      </c>
    </row>
    <row r="2270" spans="1:3" x14ac:dyDescent="0.35">
      <c r="A2270" s="7">
        <v>41719</v>
      </c>
      <c r="B2270" s="43">
        <v>234</v>
      </c>
      <c r="C2270">
        <f t="shared" si="42"/>
        <v>2014</v>
      </c>
    </row>
    <row r="2271" spans="1:3" x14ac:dyDescent="0.35">
      <c r="A2271" s="7">
        <v>41718</v>
      </c>
      <c r="B2271" s="43">
        <v>236</v>
      </c>
      <c r="C2271">
        <f t="shared" si="42"/>
        <v>2014</v>
      </c>
    </row>
    <row r="2272" spans="1:3" x14ac:dyDescent="0.35">
      <c r="A2272" s="7">
        <v>41717</v>
      </c>
      <c r="B2272" s="43">
        <v>232</v>
      </c>
      <c r="C2272">
        <f t="shared" si="42"/>
        <v>2014</v>
      </c>
    </row>
    <row r="2273" spans="1:3" x14ac:dyDescent="0.35">
      <c r="A2273" s="7">
        <v>41716</v>
      </c>
      <c r="B2273" s="43">
        <v>234</v>
      </c>
      <c r="C2273">
        <f t="shared" si="42"/>
        <v>2014</v>
      </c>
    </row>
    <row r="2274" spans="1:3" x14ac:dyDescent="0.35">
      <c r="A2274" s="7">
        <v>41715</v>
      </c>
      <c r="B2274" s="43">
        <v>240</v>
      </c>
      <c r="C2274">
        <f t="shared" si="42"/>
        <v>2014</v>
      </c>
    </row>
    <row r="2275" spans="1:3" x14ac:dyDescent="0.35">
      <c r="A2275" s="7">
        <v>41712</v>
      </c>
      <c r="B2275" s="43">
        <v>245</v>
      </c>
      <c r="C2275">
        <f t="shared" si="42"/>
        <v>2014</v>
      </c>
    </row>
    <row r="2276" spans="1:3" x14ac:dyDescent="0.35">
      <c r="A2276" s="7">
        <v>41711</v>
      </c>
      <c r="B2276" s="43">
        <v>245</v>
      </c>
      <c r="C2276">
        <f t="shared" si="42"/>
        <v>2014</v>
      </c>
    </row>
    <row r="2277" spans="1:3" x14ac:dyDescent="0.35">
      <c r="A2277" s="7">
        <v>41710</v>
      </c>
      <c r="B2277" s="43">
        <v>238</v>
      </c>
      <c r="C2277">
        <f t="shared" si="42"/>
        <v>2014</v>
      </c>
    </row>
    <row r="2278" spans="1:3" x14ac:dyDescent="0.35">
      <c r="A2278" s="7">
        <v>41709</v>
      </c>
      <c r="B2278" s="43">
        <v>237</v>
      </c>
      <c r="C2278">
        <f t="shared" si="42"/>
        <v>2014</v>
      </c>
    </row>
    <row r="2279" spans="1:3" x14ac:dyDescent="0.35">
      <c r="A2279" s="7">
        <v>41708</v>
      </c>
      <c r="B2279" s="43">
        <v>232</v>
      </c>
      <c r="C2279">
        <f t="shared" si="42"/>
        <v>2014</v>
      </c>
    </row>
    <row r="2280" spans="1:3" x14ac:dyDescent="0.35">
      <c r="A2280" s="7">
        <v>41705</v>
      </c>
      <c r="B2280" s="43">
        <v>230</v>
      </c>
      <c r="C2280">
        <f t="shared" si="42"/>
        <v>2014</v>
      </c>
    </row>
    <row r="2281" spans="1:3" x14ac:dyDescent="0.35">
      <c r="A2281" s="7">
        <v>41704</v>
      </c>
      <c r="B2281" s="43">
        <v>226</v>
      </c>
      <c r="C2281">
        <f t="shared" si="42"/>
        <v>2014</v>
      </c>
    </row>
    <row r="2282" spans="1:3" x14ac:dyDescent="0.35">
      <c r="A2282" s="7">
        <v>41703</v>
      </c>
      <c r="B2282" s="43">
        <v>229</v>
      </c>
      <c r="C2282">
        <f t="shared" si="42"/>
        <v>2014</v>
      </c>
    </row>
    <row r="2283" spans="1:3" x14ac:dyDescent="0.35">
      <c r="A2283" s="7">
        <v>41702</v>
      </c>
      <c r="B2283" s="43">
        <v>238</v>
      </c>
      <c r="C2283">
        <f t="shared" si="42"/>
        <v>2014</v>
      </c>
    </row>
    <row r="2284" spans="1:3" x14ac:dyDescent="0.35">
      <c r="A2284" s="7">
        <v>41701</v>
      </c>
      <c r="B2284" s="43">
        <v>251</v>
      </c>
      <c r="C2284">
        <f t="shared" si="42"/>
        <v>2014</v>
      </c>
    </row>
    <row r="2285" spans="1:3" x14ac:dyDescent="0.35">
      <c r="A2285" s="7">
        <v>41698</v>
      </c>
      <c r="B2285" s="43">
        <v>245</v>
      </c>
      <c r="C2285">
        <f t="shared" si="42"/>
        <v>2014</v>
      </c>
    </row>
    <row r="2286" spans="1:3" x14ac:dyDescent="0.35">
      <c r="A2286" s="7">
        <v>41697</v>
      </c>
      <c r="B2286" s="43">
        <v>247</v>
      </c>
      <c r="C2286">
        <f t="shared" si="42"/>
        <v>2014</v>
      </c>
    </row>
    <row r="2287" spans="1:3" x14ac:dyDescent="0.35">
      <c r="A2287" s="7">
        <v>41696</v>
      </c>
      <c r="B2287" s="43">
        <v>249</v>
      </c>
      <c r="C2287">
        <f t="shared" si="42"/>
        <v>2014</v>
      </c>
    </row>
    <row r="2288" spans="1:3" x14ac:dyDescent="0.35">
      <c r="A2288" s="7">
        <v>41695</v>
      </c>
      <c r="B2288" s="43">
        <v>244</v>
      </c>
      <c r="C2288">
        <f t="shared" si="42"/>
        <v>2014</v>
      </c>
    </row>
    <row r="2289" spans="1:3" x14ac:dyDescent="0.35">
      <c r="A2289" s="7">
        <v>41694</v>
      </c>
      <c r="B2289" s="43">
        <v>239</v>
      </c>
      <c r="C2289">
        <f t="shared" si="42"/>
        <v>2014</v>
      </c>
    </row>
    <row r="2290" spans="1:3" x14ac:dyDescent="0.35">
      <c r="A2290" s="7">
        <v>41691</v>
      </c>
      <c r="B2290" s="43">
        <v>246</v>
      </c>
      <c r="C2290">
        <f t="shared" si="42"/>
        <v>2014</v>
      </c>
    </row>
    <row r="2291" spans="1:3" x14ac:dyDescent="0.35">
      <c r="A2291" s="7">
        <v>41690</v>
      </c>
      <c r="B2291" s="43">
        <v>249</v>
      </c>
      <c r="C2291">
        <f t="shared" si="42"/>
        <v>2014</v>
      </c>
    </row>
    <row r="2292" spans="1:3" x14ac:dyDescent="0.35">
      <c r="A2292" s="7">
        <v>41689</v>
      </c>
      <c r="B2292" s="43">
        <v>251</v>
      </c>
      <c r="C2292">
        <f t="shared" si="42"/>
        <v>2014</v>
      </c>
    </row>
    <row r="2293" spans="1:3" x14ac:dyDescent="0.35">
      <c r="A2293" s="7">
        <v>41688</v>
      </c>
      <c r="B2293" s="43">
        <v>259</v>
      </c>
      <c r="C2293">
        <f t="shared" si="42"/>
        <v>2014</v>
      </c>
    </row>
    <row r="2294" spans="1:3" x14ac:dyDescent="0.35">
      <c r="A2294" s="7">
        <v>41687</v>
      </c>
      <c r="B2294" s="43">
        <v>256</v>
      </c>
      <c r="C2294">
        <f t="shared" si="42"/>
        <v>2014</v>
      </c>
    </row>
    <row r="2295" spans="1:3" x14ac:dyDescent="0.35">
      <c r="A2295" s="7">
        <v>41684</v>
      </c>
      <c r="B2295" s="43">
        <v>256</v>
      </c>
      <c r="C2295">
        <f t="shared" si="42"/>
        <v>2014</v>
      </c>
    </row>
    <row r="2296" spans="1:3" x14ac:dyDescent="0.35">
      <c r="A2296" s="7">
        <v>41683</v>
      </c>
      <c r="B2296" s="43">
        <v>257</v>
      </c>
      <c r="C2296">
        <f t="shared" si="42"/>
        <v>2014</v>
      </c>
    </row>
    <row r="2297" spans="1:3" x14ac:dyDescent="0.35">
      <c r="A2297" s="7">
        <v>41682</v>
      </c>
      <c r="B2297" s="43">
        <v>255</v>
      </c>
      <c r="C2297">
        <f t="shared" si="42"/>
        <v>2014</v>
      </c>
    </row>
    <row r="2298" spans="1:3" x14ac:dyDescent="0.35">
      <c r="A2298" s="7">
        <v>41681</v>
      </c>
      <c r="B2298" s="43">
        <v>255</v>
      </c>
      <c r="C2298">
        <f t="shared" si="42"/>
        <v>2014</v>
      </c>
    </row>
    <row r="2299" spans="1:3" x14ac:dyDescent="0.35">
      <c r="A2299" s="7">
        <v>41680</v>
      </c>
      <c r="B2299" s="43">
        <v>256</v>
      </c>
      <c r="C2299">
        <f t="shared" si="42"/>
        <v>2014</v>
      </c>
    </row>
    <row r="2300" spans="1:3" x14ac:dyDescent="0.35">
      <c r="A2300" s="7">
        <v>41677</v>
      </c>
      <c r="B2300" s="43">
        <v>252</v>
      </c>
      <c r="C2300">
        <f t="shared" si="42"/>
        <v>2014</v>
      </c>
    </row>
    <row r="2301" spans="1:3" x14ac:dyDescent="0.35">
      <c r="A2301" s="7">
        <v>41676</v>
      </c>
      <c r="B2301" s="43">
        <v>254</v>
      </c>
      <c r="C2301">
        <f t="shared" si="42"/>
        <v>2014</v>
      </c>
    </row>
    <row r="2302" spans="1:3" x14ac:dyDescent="0.35">
      <c r="A2302" s="7">
        <v>41675</v>
      </c>
      <c r="B2302" s="43">
        <v>260</v>
      </c>
      <c r="C2302">
        <f t="shared" si="42"/>
        <v>2014</v>
      </c>
    </row>
    <row r="2303" spans="1:3" x14ac:dyDescent="0.35">
      <c r="A2303" s="7">
        <v>41674</v>
      </c>
      <c r="B2303" s="43">
        <v>268</v>
      </c>
      <c r="C2303">
        <f t="shared" si="42"/>
        <v>2014</v>
      </c>
    </row>
    <row r="2304" spans="1:3" x14ac:dyDescent="0.35">
      <c r="A2304" s="7">
        <v>41673</v>
      </c>
      <c r="B2304" s="43">
        <v>278</v>
      </c>
      <c r="C2304">
        <f t="shared" si="42"/>
        <v>2014</v>
      </c>
    </row>
    <row r="2305" spans="1:3" x14ac:dyDescent="0.35">
      <c r="A2305" s="7">
        <v>41670</v>
      </c>
      <c r="B2305" s="43">
        <v>272</v>
      </c>
      <c r="C2305">
        <f t="shared" si="42"/>
        <v>2014</v>
      </c>
    </row>
    <row r="2306" spans="1:3" x14ac:dyDescent="0.35">
      <c r="A2306" s="7">
        <v>41669</v>
      </c>
      <c r="B2306" s="43">
        <v>273</v>
      </c>
      <c r="C2306">
        <f t="shared" si="42"/>
        <v>2014</v>
      </c>
    </row>
    <row r="2307" spans="1:3" x14ac:dyDescent="0.35">
      <c r="A2307" s="7">
        <v>41668</v>
      </c>
      <c r="B2307" s="43">
        <v>273</v>
      </c>
      <c r="C2307">
        <f t="shared" ref="C2307:C2370" si="43">YEAR(A2307)</f>
        <v>2014</v>
      </c>
    </row>
    <row r="2308" spans="1:3" x14ac:dyDescent="0.35">
      <c r="A2308" s="7">
        <v>41667</v>
      </c>
      <c r="B2308" s="43">
        <v>264</v>
      </c>
      <c r="C2308">
        <f t="shared" si="43"/>
        <v>2014</v>
      </c>
    </row>
    <row r="2309" spans="1:3" x14ac:dyDescent="0.35">
      <c r="A2309" s="7">
        <v>41666</v>
      </c>
      <c r="B2309" s="43">
        <v>264</v>
      </c>
      <c r="C2309">
        <f t="shared" si="43"/>
        <v>2014</v>
      </c>
    </row>
    <row r="2310" spans="1:3" x14ac:dyDescent="0.35">
      <c r="A2310" s="7">
        <v>41663</v>
      </c>
      <c r="B2310" s="43">
        <v>264</v>
      </c>
      <c r="C2310">
        <f t="shared" si="43"/>
        <v>2014</v>
      </c>
    </row>
    <row r="2311" spans="1:3" x14ac:dyDescent="0.35">
      <c r="A2311" s="7">
        <v>41662</v>
      </c>
      <c r="B2311" s="43">
        <v>261</v>
      </c>
      <c r="C2311">
        <f t="shared" si="43"/>
        <v>2014</v>
      </c>
    </row>
    <row r="2312" spans="1:3" x14ac:dyDescent="0.35">
      <c r="A2312" s="7">
        <v>41661</v>
      </c>
      <c r="B2312" s="43">
        <v>252</v>
      </c>
      <c r="C2312">
        <f t="shared" si="43"/>
        <v>2014</v>
      </c>
    </row>
    <row r="2313" spans="1:3" x14ac:dyDescent="0.35">
      <c r="A2313" s="7">
        <v>41660</v>
      </c>
      <c r="B2313" s="43">
        <v>248</v>
      </c>
      <c r="C2313">
        <f t="shared" si="43"/>
        <v>2014</v>
      </c>
    </row>
    <row r="2314" spans="1:3" x14ac:dyDescent="0.35">
      <c r="A2314" s="7">
        <v>41659</v>
      </c>
      <c r="B2314" s="43">
        <v>248</v>
      </c>
      <c r="C2314">
        <f t="shared" si="43"/>
        <v>2014</v>
      </c>
    </row>
    <row r="2315" spans="1:3" x14ac:dyDescent="0.35">
      <c r="A2315" s="7">
        <v>41656</v>
      </c>
      <c r="B2315" s="43">
        <v>248</v>
      </c>
      <c r="C2315">
        <f t="shared" si="43"/>
        <v>2014</v>
      </c>
    </row>
    <row r="2316" spans="1:3" x14ac:dyDescent="0.35">
      <c r="A2316" s="7">
        <v>41655</v>
      </c>
      <c r="B2316" s="43">
        <v>246</v>
      </c>
      <c r="C2316">
        <f t="shared" si="43"/>
        <v>2014</v>
      </c>
    </row>
    <row r="2317" spans="1:3" x14ac:dyDescent="0.35">
      <c r="A2317" s="7">
        <v>41654</v>
      </c>
      <c r="B2317" s="43">
        <v>243</v>
      </c>
      <c r="C2317">
        <f t="shared" si="43"/>
        <v>2014</v>
      </c>
    </row>
    <row r="2318" spans="1:3" x14ac:dyDescent="0.35">
      <c r="A2318" s="7">
        <v>41653</v>
      </c>
      <c r="B2318" s="43">
        <v>248</v>
      </c>
      <c r="C2318">
        <f t="shared" si="43"/>
        <v>2014</v>
      </c>
    </row>
    <row r="2319" spans="1:3" x14ac:dyDescent="0.35">
      <c r="A2319" s="7">
        <v>41652</v>
      </c>
      <c r="B2319" s="43">
        <v>251</v>
      </c>
      <c r="C2319">
        <f t="shared" si="43"/>
        <v>2014</v>
      </c>
    </row>
    <row r="2320" spans="1:3" x14ac:dyDescent="0.35">
      <c r="A2320" s="7">
        <v>41649</v>
      </c>
      <c r="B2320" s="43">
        <v>249</v>
      </c>
      <c r="C2320">
        <f t="shared" si="43"/>
        <v>2014</v>
      </c>
    </row>
    <row r="2321" spans="1:3" x14ac:dyDescent="0.35">
      <c r="A2321" s="7">
        <v>41648</v>
      </c>
      <c r="B2321" s="43">
        <v>245</v>
      </c>
      <c r="C2321">
        <f t="shared" si="43"/>
        <v>2014</v>
      </c>
    </row>
    <row r="2322" spans="1:3" x14ac:dyDescent="0.35">
      <c r="A2322" s="7">
        <v>41647</v>
      </c>
      <c r="B2322" s="43">
        <v>248</v>
      </c>
      <c r="C2322">
        <f t="shared" si="43"/>
        <v>2014</v>
      </c>
    </row>
    <row r="2323" spans="1:3" x14ac:dyDescent="0.35">
      <c r="A2323" s="7">
        <v>41646</v>
      </c>
      <c r="B2323" s="43">
        <v>245</v>
      </c>
      <c r="C2323">
        <f t="shared" si="43"/>
        <v>2014</v>
      </c>
    </row>
    <row r="2324" spans="1:3" x14ac:dyDescent="0.35">
      <c r="A2324" s="7">
        <v>41645</v>
      </c>
      <c r="B2324" s="43">
        <v>236</v>
      </c>
      <c r="C2324">
        <f t="shared" si="43"/>
        <v>2014</v>
      </c>
    </row>
    <row r="2325" spans="1:3" x14ac:dyDescent="0.35">
      <c r="A2325" s="7">
        <v>41642</v>
      </c>
      <c r="B2325" s="43">
        <v>229</v>
      </c>
      <c r="C2325">
        <f t="shared" si="43"/>
        <v>2014</v>
      </c>
    </row>
    <row r="2326" spans="1:3" x14ac:dyDescent="0.35">
      <c r="A2326" s="7">
        <v>41641</v>
      </c>
      <c r="B2326" s="43">
        <v>230</v>
      </c>
      <c r="C2326">
        <f t="shared" si="43"/>
        <v>2014</v>
      </c>
    </row>
    <row r="2327" spans="1:3" x14ac:dyDescent="0.35">
      <c r="A2327" s="7">
        <v>41639</v>
      </c>
      <c r="B2327" s="43">
        <v>224</v>
      </c>
      <c r="C2327">
        <f t="shared" si="43"/>
        <v>2013</v>
      </c>
    </row>
    <row r="2328" spans="1:3" x14ac:dyDescent="0.35">
      <c r="A2328" s="7">
        <v>41638</v>
      </c>
      <c r="B2328" s="43">
        <v>228</v>
      </c>
      <c r="C2328">
        <f t="shared" si="43"/>
        <v>2013</v>
      </c>
    </row>
    <row r="2329" spans="1:3" x14ac:dyDescent="0.35">
      <c r="A2329" s="7">
        <v>41635</v>
      </c>
      <c r="B2329" s="43">
        <v>226</v>
      </c>
      <c r="C2329">
        <f t="shared" si="43"/>
        <v>2013</v>
      </c>
    </row>
    <row r="2330" spans="1:3" x14ac:dyDescent="0.35">
      <c r="A2330" s="7">
        <v>41634</v>
      </c>
      <c r="B2330" s="43">
        <v>222</v>
      </c>
      <c r="C2330">
        <f t="shared" si="43"/>
        <v>2013</v>
      </c>
    </row>
    <row r="2331" spans="1:3" x14ac:dyDescent="0.35">
      <c r="A2331" s="7">
        <v>41632</v>
      </c>
      <c r="B2331" s="43">
        <v>223</v>
      </c>
      <c r="C2331">
        <f t="shared" si="43"/>
        <v>2013</v>
      </c>
    </row>
    <row r="2332" spans="1:3" x14ac:dyDescent="0.35">
      <c r="A2332" s="7">
        <v>41631</v>
      </c>
      <c r="B2332" s="43">
        <v>229</v>
      </c>
      <c r="C2332">
        <f t="shared" si="43"/>
        <v>2013</v>
      </c>
    </row>
    <row r="2333" spans="1:3" x14ac:dyDescent="0.35">
      <c r="A2333" s="7">
        <v>41628</v>
      </c>
      <c r="B2333" s="43">
        <v>232</v>
      </c>
      <c r="C2333">
        <f t="shared" si="43"/>
        <v>2013</v>
      </c>
    </row>
    <row r="2334" spans="1:3" x14ac:dyDescent="0.35">
      <c r="A2334" s="7">
        <v>41627</v>
      </c>
      <c r="B2334" s="43">
        <v>230</v>
      </c>
      <c r="C2334">
        <f t="shared" si="43"/>
        <v>2013</v>
      </c>
    </row>
    <row r="2335" spans="1:3" x14ac:dyDescent="0.35">
      <c r="A2335" s="7">
        <v>41626</v>
      </c>
      <c r="B2335" s="43">
        <v>235</v>
      </c>
      <c r="C2335">
        <f t="shared" si="43"/>
        <v>2013</v>
      </c>
    </row>
    <row r="2336" spans="1:3" x14ac:dyDescent="0.35">
      <c r="A2336" s="7">
        <v>41625</v>
      </c>
      <c r="B2336" s="43">
        <v>238</v>
      </c>
      <c r="C2336">
        <f t="shared" si="43"/>
        <v>2013</v>
      </c>
    </row>
    <row r="2337" spans="1:3" x14ac:dyDescent="0.35">
      <c r="A2337" s="7">
        <v>41624</v>
      </c>
      <c r="B2337" s="43">
        <v>232</v>
      </c>
      <c r="C2337">
        <f t="shared" si="43"/>
        <v>2013</v>
      </c>
    </row>
    <row r="2338" spans="1:3" x14ac:dyDescent="0.35">
      <c r="A2338" s="7">
        <v>41621</v>
      </c>
      <c r="B2338" s="43">
        <v>234</v>
      </c>
      <c r="C2338">
        <f t="shared" si="43"/>
        <v>2013</v>
      </c>
    </row>
    <row r="2339" spans="1:3" x14ac:dyDescent="0.35">
      <c r="A2339" s="7">
        <v>41620</v>
      </c>
      <c r="B2339" s="43">
        <v>235</v>
      </c>
      <c r="C2339">
        <f t="shared" si="43"/>
        <v>2013</v>
      </c>
    </row>
    <row r="2340" spans="1:3" x14ac:dyDescent="0.35">
      <c r="A2340" s="7">
        <v>41619</v>
      </c>
      <c r="B2340" s="43">
        <v>243</v>
      </c>
      <c r="C2340">
        <f t="shared" si="43"/>
        <v>2013</v>
      </c>
    </row>
    <row r="2341" spans="1:3" x14ac:dyDescent="0.35">
      <c r="A2341" s="7">
        <v>41618</v>
      </c>
      <c r="B2341" s="43">
        <v>247</v>
      </c>
      <c r="C2341">
        <f t="shared" si="43"/>
        <v>2013</v>
      </c>
    </row>
    <row r="2342" spans="1:3" x14ac:dyDescent="0.35">
      <c r="A2342" s="7">
        <v>41617</v>
      </c>
      <c r="B2342" s="43">
        <v>246</v>
      </c>
      <c r="C2342">
        <f t="shared" si="43"/>
        <v>2013</v>
      </c>
    </row>
    <row r="2343" spans="1:3" x14ac:dyDescent="0.35">
      <c r="A2343" s="7">
        <v>41614</v>
      </c>
      <c r="B2343" s="43">
        <v>246</v>
      </c>
      <c r="C2343">
        <f t="shared" si="43"/>
        <v>2013</v>
      </c>
    </row>
    <row r="2344" spans="1:3" x14ac:dyDescent="0.35">
      <c r="A2344" s="7">
        <v>41613</v>
      </c>
      <c r="B2344" s="43">
        <v>255</v>
      </c>
      <c r="C2344">
        <f t="shared" si="43"/>
        <v>2013</v>
      </c>
    </row>
    <row r="2345" spans="1:3" x14ac:dyDescent="0.35">
      <c r="A2345" s="7">
        <v>41612</v>
      </c>
      <c r="B2345" s="43">
        <v>257</v>
      </c>
      <c r="C2345">
        <f t="shared" si="43"/>
        <v>2013</v>
      </c>
    </row>
    <row r="2346" spans="1:3" x14ac:dyDescent="0.35">
      <c r="A2346" s="7">
        <v>41611</v>
      </c>
      <c r="B2346" s="43">
        <v>259</v>
      </c>
      <c r="C2346">
        <f t="shared" si="43"/>
        <v>2013</v>
      </c>
    </row>
    <row r="2347" spans="1:3" x14ac:dyDescent="0.35">
      <c r="A2347" s="7">
        <v>41610</v>
      </c>
      <c r="B2347" s="43">
        <v>255</v>
      </c>
      <c r="C2347">
        <f t="shared" si="43"/>
        <v>2013</v>
      </c>
    </row>
    <row r="2348" spans="1:3" x14ac:dyDescent="0.35">
      <c r="A2348" s="7">
        <v>41607</v>
      </c>
      <c r="B2348" s="43">
        <v>247</v>
      </c>
      <c r="C2348">
        <f t="shared" si="43"/>
        <v>2013</v>
      </c>
    </row>
    <row r="2349" spans="1:3" x14ac:dyDescent="0.35">
      <c r="A2349" s="7">
        <v>41606</v>
      </c>
      <c r="B2349" s="43">
        <v>247</v>
      </c>
      <c r="C2349">
        <f t="shared" si="43"/>
        <v>2013</v>
      </c>
    </row>
    <row r="2350" spans="1:3" x14ac:dyDescent="0.35">
      <c r="A2350" s="7">
        <v>41605</v>
      </c>
      <c r="B2350" s="43">
        <v>247</v>
      </c>
      <c r="C2350">
        <f t="shared" si="43"/>
        <v>2013</v>
      </c>
    </row>
    <row r="2351" spans="1:3" x14ac:dyDescent="0.35">
      <c r="A2351" s="7">
        <v>41604</v>
      </c>
      <c r="B2351" s="43">
        <v>243</v>
      </c>
      <c r="C2351">
        <f t="shared" si="43"/>
        <v>2013</v>
      </c>
    </row>
    <row r="2352" spans="1:3" x14ac:dyDescent="0.35">
      <c r="A2352" s="7">
        <v>41603</v>
      </c>
      <c r="B2352" s="43">
        <v>242</v>
      </c>
      <c r="C2352">
        <f t="shared" si="43"/>
        <v>2013</v>
      </c>
    </row>
    <row r="2353" spans="1:3" x14ac:dyDescent="0.35">
      <c r="A2353" s="7">
        <v>41600</v>
      </c>
      <c r="B2353" s="43">
        <v>237</v>
      </c>
      <c r="C2353">
        <f t="shared" si="43"/>
        <v>2013</v>
      </c>
    </row>
    <row r="2354" spans="1:3" x14ac:dyDescent="0.35">
      <c r="A2354" s="7">
        <v>41599</v>
      </c>
      <c r="B2354" s="43">
        <v>236</v>
      </c>
      <c r="C2354">
        <f t="shared" si="43"/>
        <v>2013</v>
      </c>
    </row>
    <row r="2355" spans="1:3" x14ac:dyDescent="0.35">
      <c r="A2355" s="7">
        <v>41598</v>
      </c>
      <c r="B2355" s="43">
        <v>235</v>
      </c>
      <c r="C2355">
        <f t="shared" si="43"/>
        <v>2013</v>
      </c>
    </row>
    <row r="2356" spans="1:3" x14ac:dyDescent="0.35">
      <c r="A2356" s="7">
        <v>41597</v>
      </c>
      <c r="B2356" s="43">
        <v>236</v>
      </c>
      <c r="C2356">
        <f t="shared" si="43"/>
        <v>2013</v>
      </c>
    </row>
    <row r="2357" spans="1:3" x14ac:dyDescent="0.35">
      <c r="A2357" s="7">
        <v>41596</v>
      </c>
      <c r="B2357" s="43">
        <v>232</v>
      </c>
      <c r="C2357">
        <f t="shared" si="43"/>
        <v>2013</v>
      </c>
    </row>
    <row r="2358" spans="1:3" x14ac:dyDescent="0.35">
      <c r="A2358" s="7">
        <v>41593</v>
      </c>
      <c r="B2358" s="43">
        <v>233</v>
      </c>
      <c r="C2358">
        <f t="shared" si="43"/>
        <v>2013</v>
      </c>
    </row>
    <row r="2359" spans="1:3" x14ac:dyDescent="0.35">
      <c r="A2359" s="7">
        <v>41592</v>
      </c>
      <c r="B2359" s="43">
        <v>235</v>
      </c>
      <c r="C2359">
        <f t="shared" si="43"/>
        <v>2013</v>
      </c>
    </row>
    <row r="2360" spans="1:3" x14ac:dyDescent="0.35">
      <c r="A2360" s="7">
        <v>41591</v>
      </c>
      <c r="B2360" s="43">
        <v>241</v>
      </c>
      <c r="C2360">
        <f t="shared" si="43"/>
        <v>2013</v>
      </c>
    </row>
    <row r="2361" spans="1:3" x14ac:dyDescent="0.35">
      <c r="A2361" s="7">
        <v>41590</v>
      </c>
      <c r="B2361" s="43">
        <v>242</v>
      </c>
      <c r="C2361">
        <f t="shared" si="43"/>
        <v>2013</v>
      </c>
    </row>
    <row r="2362" spans="1:3" x14ac:dyDescent="0.35">
      <c r="A2362" s="7">
        <v>41589</v>
      </c>
      <c r="B2362" s="43">
        <v>237</v>
      </c>
      <c r="C2362">
        <f t="shared" si="43"/>
        <v>2013</v>
      </c>
    </row>
    <row r="2363" spans="1:3" x14ac:dyDescent="0.35">
      <c r="A2363" s="7">
        <v>41586</v>
      </c>
      <c r="B2363" s="43">
        <v>237</v>
      </c>
      <c r="C2363">
        <f t="shared" si="43"/>
        <v>2013</v>
      </c>
    </row>
    <row r="2364" spans="1:3" x14ac:dyDescent="0.35">
      <c r="A2364" s="7">
        <v>41585</v>
      </c>
      <c r="B2364" s="43">
        <v>233</v>
      </c>
      <c r="C2364">
        <f t="shared" si="43"/>
        <v>2013</v>
      </c>
    </row>
    <row r="2365" spans="1:3" x14ac:dyDescent="0.35">
      <c r="A2365" s="7">
        <v>41584</v>
      </c>
      <c r="B2365" s="43">
        <v>226</v>
      </c>
      <c r="C2365">
        <f t="shared" si="43"/>
        <v>2013</v>
      </c>
    </row>
    <row r="2366" spans="1:3" x14ac:dyDescent="0.35">
      <c r="A2366" s="7">
        <v>41583</v>
      </c>
      <c r="B2366" s="43">
        <v>224</v>
      </c>
      <c r="C2366">
        <f t="shared" si="43"/>
        <v>2013</v>
      </c>
    </row>
    <row r="2367" spans="1:3" x14ac:dyDescent="0.35">
      <c r="A2367" s="7">
        <v>41582</v>
      </c>
      <c r="B2367" s="43">
        <v>223</v>
      </c>
      <c r="C2367">
        <f t="shared" si="43"/>
        <v>2013</v>
      </c>
    </row>
    <row r="2368" spans="1:3" x14ac:dyDescent="0.35">
      <c r="A2368" s="7">
        <v>41579</v>
      </c>
      <c r="B2368" s="43">
        <v>224</v>
      </c>
      <c r="C2368">
        <f t="shared" si="43"/>
        <v>2013</v>
      </c>
    </row>
    <row r="2369" spans="1:3" x14ac:dyDescent="0.35">
      <c r="A2369" s="7">
        <v>41578</v>
      </c>
      <c r="B2369" s="43">
        <v>220</v>
      </c>
      <c r="C2369">
        <f t="shared" si="43"/>
        <v>2013</v>
      </c>
    </row>
    <row r="2370" spans="1:3" x14ac:dyDescent="0.35">
      <c r="A2370" s="7">
        <v>41577</v>
      </c>
      <c r="B2370" s="43">
        <v>216</v>
      </c>
      <c r="C2370">
        <f t="shared" si="43"/>
        <v>2013</v>
      </c>
    </row>
    <row r="2371" spans="1:3" x14ac:dyDescent="0.35">
      <c r="A2371" s="7">
        <v>41576</v>
      </c>
      <c r="B2371" s="43">
        <v>219</v>
      </c>
      <c r="C2371">
        <f t="shared" ref="C2371:C2434" si="44">YEAR(A2371)</f>
        <v>2013</v>
      </c>
    </row>
    <row r="2372" spans="1:3" x14ac:dyDescent="0.35">
      <c r="A2372" s="7">
        <v>41575</v>
      </c>
      <c r="B2372" s="43">
        <v>219</v>
      </c>
      <c r="C2372">
        <f t="shared" si="44"/>
        <v>2013</v>
      </c>
    </row>
    <row r="2373" spans="1:3" x14ac:dyDescent="0.35">
      <c r="A2373" s="7">
        <v>41572</v>
      </c>
      <c r="B2373" s="43">
        <v>219</v>
      </c>
      <c r="C2373">
        <f t="shared" si="44"/>
        <v>2013</v>
      </c>
    </row>
    <row r="2374" spans="1:3" x14ac:dyDescent="0.35">
      <c r="A2374" s="7">
        <v>41571</v>
      </c>
      <c r="B2374" s="43">
        <v>215</v>
      </c>
      <c r="C2374">
        <f t="shared" si="44"/>
        <v>2013</v>
      </c>
    </row>
    <row r="2375" spans="1:3" x14ac:dyDescent="0.35">
      <c r="A2375" s="7">
        <v>41570</v>
      </c>
      <c r="B2375" s="43">
        <v>213</v>
      </c>
      <c r="C2375">
        <f t="shared" si="44"/>
        <v>2013</v>
      </c>
    </row>
    <row r="2376" spans="1:3" x14ac:dyDescent="0.35">
      <c r="A2376" s="7">
        <v>41569</v>
      </c>
      <c r="B2376" s="43">
        <v>213</v>
      </c>
      <c r="C2376">
        <f t="shared" si="44"/>
        <v>2013</v>
      </c>
    </row>
    <row r="2377" spans="1:3" x14ac:dyDescent="0.35">
      <c r="A2377" s="7">
        <v>41568</v>
      </c>
      <c r="B2377" s="43">
        <v>211</v>
      </c>
      <c r="C2377">
        <f t="shared" si="44"/>
        <v>2013</v>
      </c>
    </row>
    <row r="2378" spans="1:3" x14ac:dyDescent="0.35">
      <c r="A2378" s="7">
        <v>41565</v>
      </c>
      <c r="B2378" s="43">
        <v>206</v>
      </c>
      <c r="C2378">
        <f t="shared" si="44"/>
        <v>2013</v>
      </c>
    </row>
    <row r="2379" spans="1:3" x14ac:dyDescent="0.35">
      <c r="A2379" s="7">
        <v>41564</v>
      </c>
      <c r="B2379" s="43">
        <v>214</v>
      </c>
      <c r="C2379">
        <f t="shared" si="44"/>
        <v>2013</v>
      </c>
    </row>
    <row r="2380" spans="1:3" x14ac:dyDescent="0.35">
      <c r="A2380" s="7">
        <v>41563</v>
      </c>
      <c r="B2380" s="43">
        <v>211</v>
      </c>
      <c r="C2380">
        <f t="shared" si="44"/>
        <v>2013</v>
      </c>
    </row>
    <row r="2381" spans="1:3" x14ac:dyDescent="0.35">
      <c r="A2381" s="7">
        <v>41562</v>
      </c>
      <c r="B2381" s="43">
        <v>207</v>
      </c>
      <c r="C2381">
        <f t="shared" si="44"/>
        <v>2013</v>
      </c>
    </row>
    <row r="2382" spans="1:3" x14ac:dyDescent="0.35">
      <c r="A2382" s="7">
        <v>41561</v>
      </c>
      <c r="B2382" s="43">
        <v>213</v>
      </c>
      <c r="C2382">
        <f t="shared" si="44"/>
        <v>2013</v>
      </c>
    </row>
    <row r="2383" spans="1:3" x14ac:dyDescent="0.35">
      <c r="A2383" s="7">
        <v>41558</v>
      </c>
      <c r="B2383" s="43">
        <v>213</v>
      </c>
      <c r="C2383">
        <f t="shared" si="44"/>
        <v>2013</v>
      </c>
    </row>
    <row r="2384" spans="1:3" x14ac:dyDescent="0.35">
      <c r="A2384" s="7">
        <v>41557</v>
      </c>
      <c r="B2384" s="43">
        <v>219</v>
      </c>
      <c r="C2384">
        <f t="shared" si="44"/>
        <v>2013</v>
      </c>
    </row>
    <row r="2385" spans="1:3" x14ac:dyDescent="0.35">
      <c r="A2385" s="7">
        <v>41556</v>
      </c>
      <c r="B2385" s="43">
        <v>222</v>
      </c>
      <c r="C2385">
        <f t="shared" si="44"/>
        <v>2013</v>
      </c>
    </row>
    <row r="2386" spans="1:3" x14ac:dyDescent="0.35">
      <c r="A2386" s="7">
        <v>41555</v>
      </c>
      <c r="B2386" s="43">
        <v>225</v>
      </c>
      <c r="C2386">
        <f t="shared" si="44"/>
        <v>2013</v>
      </c>
    </row>
    <row r="2387" spans="1:3" x14ac:dyDescent="0.35">
      <c r="A2387" s="7">
        <v>41554</v>
      </c>
      <c r="B2387" s="43">
        <v>228</v>
      </c>
      <c r="C2387">
        <f t="shared" si="44"/>
        <v>2013</v>
      </c>
    </row>
    <row r="2388" spans="1:3" x14ac:dyDescent="0.35">
      <c r="A2388" s="7">
        <v>41551</v>
      </c>
      <c r="B2388" s="43">
        <v>230</v>
      </c>
      <c r="C2388">
        <f t="shared" si="44"/>
        <v>2013</v>
      </c>
    </row>
    <row r="2389" spans="1:3" x14ac:dyDescent="0.35">
      <c r="A2389" s="7">
        <v>41550</v>
      </c>
      <c r="B2389" s="43">
        <v>234</v>
      </c>
      <c r="C2389">
        <f t="shared" si="44"/>
        <v>2013</v>
      </c>
    </row>
    <row r="2390" spans="1:3" x14ac:dyDescent="0.35">
      <c r="A2390" s="7">
        <v>41549</v>
      </c>
      <c r="B2390" s="43">
        <v>234</v>
      </c>
      <c r="C2390">
        <f t="shared" si="44"/>
        <v>2013</v>
      </c>
    </row>
    <row r="2391" spans="1:3" x14ac:dyDescent="0.35">
      <c r="A2391" s="7">
        <v>41548</v>
      </c>
      <c r="B2391" s="43">
        <v>234</v>
      </c>
      <c r="C2391">
        <f t="shared" si="44"/>
        <v>2013</v>
      </c>
    </row>
    <row r="2392" spans="1:3" x14ac:dyDescent="0.35">
      <c r="A2392" s="7">
        <v>41547</v>
      </c>
      <c r="B2392" s="43">
        <v>236</v>
      </c>
      <c r="C2392">
        <f t="shared" si="44"/>
        <v>2013</v>
      </c>
    </row>
    <row r="2393" spans="1:3" x14ac:dyDescent="0.35">
      <c r="A2393" s="7">
        <v>41544</v>
      </c>
      <c r="B2393" s="43">
        <v>231</v>
      </c>
      <c r="C2393">
        <f t="shared" si="44"/>
        <v>2013</v>
      </c>
    </row>
    <row r="2394" spans="1:3" x14ac:dyDescent="0.35">
      <c r="A2394" s="7">
        <v>41543</v>
      </c>
      <c r="B2394" s="43">
        <v>228</v>
      </c>
      <c r="C2394">
        <f t="shared" si="44"/>
        <v>2013</v>
      </c>
    </row>
    <row r="2395" spans="1:3" x14ac:dyDescent="0.35">
      <c r="A2395" s="7">
        <v>41542</v>
      </c>
      <c r="B2395" s="43">
        <v>221</v>
      </c>
      <c r="C2395">
        <f t="shared" si="44"/>
        <v>2013</v>
      </c>
    </row>
    <row r="2396" spans="1:3" x14ac:dyDescent="0.35">
      <c r="A2396" s="7">
        <v>41541</v>
      </c>
      <c r="B2396" s="43">
        <v>221</v>
      </c>
      <c r="C2396">
        <f t="shared" si="44"/>
        <v>2013</v>
      </c>
    </row>
    <row r="2397" spans="1:3" x14ac:dyDescent="0.35">
      <c r="A2397" s="7">
        <v>41540</v>
      </c>
      <c r="B2397" s="43">
        <v>213</v>
      </c>
      <c r="C2397">
        <f t="shared" si="44"/>
        <v>2013</v>
      </c>
    </row>
    <row r="2398" spans="1:3" x14ac:dyDescent="0.35">
      <c r="A2398" s="7">
        <v>41537</v>
      </c>
      <c r="B2398" s="43">
        <v>213</v>
      </c>
      <c r="C2398">
        <f t="shared" si="44"/>
        <v>2013</v>
      </c>
    </row>
    <row r="2399" spans="1:3" x14ac:dyDescent="0.35">
      <c r="A2399" s="7">
        <v>41536</v>
      </c>
      <c r="B2399" s="43">
        <v>208</v>
      </c>
      <c r="C2399">
        <f t="shared" si="44"/>
        <v>2013</v>
      </c>
    </row>
    <row r="2400" spans="1:3" x14ac:dyDescent="0.35">
      <c r="A2400" s="7">
        <v>41535</v>
      </c>
      <c r="B2400" s="43">
        <v>211</v>
      </c>
      <c r="C2400">
        <f t="shared" si="44"/>
        <v>2013</v>
      </c>
    </row>
    <row r="2401" spans="1:3" x14ac:dyDescent="0.35">
      <c r="A2401" s="7">
        <v>41534</v>
      </c>
      <c r="B2401" s="43">
        <v>217</v>
      </c>
      <c r="C2401">
        <f t="shared" si="44"/>
        <v>2013</v>
      </c>
    </row>
    <row r="2402" spans="1:3" x14ac:dyDescent="0.35">
      <c r="A2402" s="7">
        <v>41533</v>
      </c>
      <c r="B2402" s="43">
        <v>222</v>
      </c>
      <c r="C2402">
        <f t="shared" si="44"/>
        <v>2013</v>
      </c>
    </row>
    <row r="2403" spans="1:3" x14ac:dyDescent="0.35">
      <c r="A2403" s="7">
        <v>41530</v>
      </c>
      <c r="B2403" s="43">
        <v>229</v>
      </c>
      <c r="C2403">
        <f t="shared" si="44"/>
        <v>2013</v>
      </c>
    </row>
    <row r="2404" spans="1:3" x14ac:dyDescent="0.35">
      <c r="A2404" s="7">
        <v>41529</v>
      </c>
      <c r="B2404" s="43">
        <v>231</v>
      </c>
      <c r="C2404">
        <f t="shared" si="44"/>
        <v>2013</v>
      </c>
    </row>
    <row r="2405" spans="1:3" x14ac:dyDescent="0.35">
      <c r="A2405" s="7">
        <v>41528</v>
      </c>
      <c r="B2405" s="43">
        <v>230</v>
      </c>
      <c r="C2405">
        <f t="shared" si="44"/>
        <v>2013</v>
      </c>
    </row>
    <row r="2406" spans="1:3" x14ac:dyDescent="0.35">
      <c r="A2406" s="7">
        <v>41527</v>
      </c>
      <c r="B2406" s="43">
        <v>235</v>
      </c>
      <c r="C2406">
        <f t="shared" si="44"/>
        <v>2013</v>
      </c>
    </row>
    <row r="2407" spans="1:3" x14ac:dyDescent="0.35">
      <c r="A2407" s="7">
        <v>41526</v>
      </c>
      <c r="B2407" s="43">
        <v>230</v>
      </c>
      <c r="C2407">
        <f t="shared" si="44"/>
        <v>2013</v>
      </c>
    </row>
    <row r="2408" spans="1:3" x14ac:dyDescent="0.35">
      <c r="A2408" s="7">
        <v>41523</v>
      </c>
      <c r="B2408" s="43">
        <v>237</v>
      </c>
      <c r="C2408">
        <f t="shared" si="44"/>
        <v>2013</v>
      </c>
    </row>
    <row r="2409" spans="1:3" x14ac:dyDescent="0.35">
      <c r="A2409" s="7">
        <v>41522</v>
      </c>
      <c r="B2409" s="43">
        <v>243</v>
      </c>
      <c r="C2409">
        <f t="shared" si="44"/>
        <v>2013</v>
      </c>
    </row>
    <row r="2410" spans="1:3" x14ac:dyDescent="0.35">
      <c r="A2410" s="7">
        <v>41521</v>
      </c>
      <c r="B2410" s="43">
        <v>250</v>
      </c>
      <c r="C2410">
        <f t="shared" si="44"/>
        <v>2013</v>
      </c>
    </row>
    <row r="2411" spans="1:3" x14ac:dyDescent="0.35">
      <c r="A2411" s="7">
        <v>41520</v>
      </c>
      <c r="B2411" s="43">
        <v>248</v>
      </c>
      <c r="C2411">
        <f t="shared" si="44"/>
        <v>2013</v>
      </c>
    </row>
    <row r="2412" spans="1:3" x14ac:dyDescent="0.35">
      <c r="A2412" s="7">
        <v>41519</v>
      </c>
      <c r="B2412" s="43">
        <v>251</v>
      </c>
      <c r="C2412">
        <f t="shared" si="44"/>
        <v>2013</v>
      </c>
    </row>
    <row r="2413" spans="1:3" x14ac:dyDescent="0.35">
      <c r="A2413" s="7">
        <v>41516</v>
      </c>
      <c r="B2413" s="43">
        <v>251</v>
      </c>
      <c r="C2413">
        <f t="shared" si="44"/>
        <v>2013</v>
      </c>
    </row>
    <row r="2414" spans="1:3" x14ac:dyDescent="0.35">
      <c r="A2414" s="7">
        <v>41515</v>
      </c>
      <c r="B2414" s="43">
        <v>251</v>
      </c>
      <c r="C2414">
        <f t="shared" si="44"/>
        <v>2013</v>
      </c>
    </row>
    <row r="2415" spans="1:3" x14ac:dyDescent="0.35">
      <c r="A2415" s="7">
        <v>41514</v>
      </c>
      <c r="B2415" s="43">
        <v>248</v>
      </c>
      <c r="C2415">
        <f t="shared" si="44"/>
        <v>2013</v>
      </c>
    </row>
    <row r="2416" spans="1:3" x14ac:dyDescent="0.35">
      <c r="A2416" s="7">
        <v>41513</v>
      </c>
      <c r="B2416" s="43">
        <v>249</v>
      </c>
      <c r="C2416">
        <f t="shared" si="44"/>
        <v>2013</v>
      </c>
    </row>
    <row r="2417" spans="1:3" x14ac:dyDescent="0.35">
      <c r="A2417" s="7">
        <v>41512</v>
      </c>
      <c r="B2417" s="43">
        <v>242</v>
      </c>
      <c r="C2417">
        <f t="shared" si="44"/>
        <v>2013</v>
      </c>
    </row>
    <row r="2418" spans="1:3" x14ac:dyDescent="0.35">
      <c r="A2418" s="7">
        <v>41509</v>
      </c>
      <c r="B2418" s="43">
        <v>242</v>
      </c>
      <c r="C2418">
        <f t="shared" si="44"/>
        <v>2013</v>
      </c>
    </row>
    <row r="2419" spans="1:3" x14ac:dyDescent="0.35">
      <c r="A2419" s="7">
        <v>41508</v>
      </c>
      <c r="B2419" s="43">
        <v>238</v>
      </c>
      <c r="C2419">
        <f t="shared" si="44"/>
        <v>2013</v>
      </c>
    </row>
    <row r="2420" spans="1:3" x14ac:dyDescent="0.35">
      <c r="A2420" s="7">
        <v>41507</v>
      </c>
      <c r="B2420" s="43">
        <v>246</v>
      </c>
      <c r="C2420">
        <f t="shared" si="44"/>
        <v>2013</v>
      </c>
    </row>
    <row r="2421" spans="1:3" x14ac:dyDescent="0.35">
      <c r="A2421" s="7">
        <v>41506</v>
      </c>
      <c r="B2421" s="43">
        <v>241</v>
      </c>
      <c r="C2421">
        <f t="shared" si="44"/>
        <v>2013</v>
      </c>
    </row>
    <row r="2422" spans="1:3" x14ac:dyDescent="0.35">
      <c r="A2422" s="7">
        <v>41505</v>
      </c>
      <c r="B2422" s="43">
        <v>240</v>
      </c>
      <c r="C2422">
        <f t="shared" si="44"/>
        <v>2013</v>
      </c>
    </row>
    <row r="2423" spans="1:3" x14ac:dyDescent="0.35">
      <c r="A2423" s="7">
        <v>41502</v>
      </c>
      <c r="B2423" s="43">
        <v>232</v>
      </c>
      <c r="C2423">
        <f t="shared" si="44"/>
        <v>2013</v>
      </c>
    </row>
    <row r="2424" spans="1:3" x14ac:dyDescent="0.35">
      <c r="A2424" s="7">
        <v>41501</v>
      </c>
      <c r="B2424" s="43">
        <v>228</v>
      </c>
      <c r="C2424">
        <f t="shared" si="44"/>
        <v>2013</v>
      </c>
    </row>
    <row r="2425" spans="1:3" x14ac:dyDescent="0.35">
      <c r="A2425" s="7">
        <v>41500</v>
      </c>
      <c r="B2425" s="43">
        <v>226</v>
      </c>
      <c r="C2425">
        <f t="shared" si="44"/>
        <v>2013</v>
      </c>
    </row>
    <row r="2426" spans="1:3" x14ac:dyDescent="0.35">
      <c r="A2426" s="7">
        <v>41499</v>
      </c>
      <c r="B2426" s="43">
        <v>222</v>
      </c>
      <c r="C2426">
        <f t="shared" si="44"/>
        <v>2013</v>
      </c>
    </row>
    <row r="2427" spans="1:3" x14ac:dyDescent="0.35">
      <c r="A2427" s="7">
        <v>41498</v>
      </c>
      <c r="B2427" s="43">
        <v>230</v>
      </c>
      <c r="C2427">
        <f t="shared" si="44"/>
        <v>2013</v>
      </c>
    </row>
    <row r="2428" spans="1:3" x14ac:dyDescent="0.35">
      <c r="A2428" s="7">
        <v>41495</v>
      </c>
      <c r="B2428" s="43">
        <v>236</v>
      </c>
      <c r="C2428">
        <f t="shared" si="44"/>
        <v>2013</v>
      </c>
    </row>
    <row r="2429" spans="1:3" x14ac:dyDescent="0.35">
      <c r="A2429" s="7">
        <v>41494</v>
      </c>
      <c r="B2429" s="43">
        <v>234</v>
      </c>
      <c r="C2429">
        <f t="shared" si="44"/>
        <v>2013</v>
      </c>
    </row>
    <row r="2430" spans="1:3" x14ac:dyDescent="0.35">
      <c r="A2430" s="7">
        <v>41493</v>
      </c>
      <c r="B2430" s="43">
        <v>237</v>
      </c>
      <c r="C2430">
        <f t="shared" si="44"/>
        <v>2013</v>
      </c>
    </row>
    <row r="2431" spans="1:3" x14ac:dyDescent="0.35">
      <c r="A2431" s="7">
        <v>41492</v>
      </c>
      <c r="B2431" s="43">
        <v>232</v>
      </c>
      <c r="C2431">
        <f t="shared" si="44"/>
        <v>2013</v>
      </c>
    </row>
    <row r="2432" spans="1:3" x14ac:dyDescent="0.35">
      <c r="A2432" s="7">
        <v>41491</v>
      </c>
      <c r="B2432" s="43">
        <v>233</v>
      </c>
      <c r="C2432">
        <f t="shared" si="44"/>
        <v>2013</v>
      </c>
    </row>
    <row r="2433" spans="1:3" x14ac:dyDescent="0.35">
      <c r="A2433" s="7">
        <v>41488</v>
      </c>
      <c r="B2433" s="43">
        <v>236</v>
      </c>
      <c r="C2433">
        <f t="shared" si="44"/>
        <v>2013</v>
      </c>
    </row>
    <row r="2434" spans="1:3" x14ac:dyDescent="0.35">
      <c r="A2434" s="7">
        <v>41487</v>
      </c>
      <c r="B2434" s="43">
        <v>233</v>
      </c>
      <c r="C2434">
        <f t="shared" si="44"/>
        <v>2013</v>
      </c>
    </row>
    <row r="2435" spans="1:3" x14ac:dyDescent="0.35">
      <c r="A2435" s="7">
        <v>41486</v>
      </c>
      <c r="B2435" s="43">
        <v>235</v>
      </c>
      <c r="C2435">
        <f t="shared" ref="C2435:C2498" si="45">YEAR(A2435)</f>
        <v>2013</v>
      </c>
    </row>
    <row r="2436" spans="1:3" x14ac:dyDescent="0.35">
      <c r="A2436" s="7">
        <v>41485</v>
      </c>
      <c r="B2436" s="43">
        <v>236</v>
      </c>
      <c r="C2436">
        <f t="shared" si="45"/>
        <v>2013</v>
      </c>
    </row>
    <row r="2437" spans="1:3" x14ac:dyDescent="0.35">
      <c r="A2437" s="7">
        <v>41484</v>
      </c>
      <c r="B2437" s="43">
        <v>233</v>
      </c>
      <c r="C2437">
        <f t="shared" si="45"/>
        <v>2013</v>
      </c>
    </row>
    <row r="2438" spans="1:3" x14ac:dyDescent="0.35">
      <c r="A2438" s="7">
        <v>41481</v>
      </c>
      <c r="B2438" s="43">
        <v>230</v>
      </c>
      <c r="C2438">
        <f t="shared" si="45"/>
        <v>2013</v>
      </c>
    </row>
    <row r="2439" spans="1:3" x14ac:dyDescent="0.35">
      <c r="A2439" s="7">
        <v>41480</v>
      </c>
      <c r="B2439" s="43">
        <v>217</v>
      </c>
      <c r="C2439">
        <f t="shared" si="45"/>
        <v>2013</v>
      </c>
    </row>
    <row r="2440" spans="1:3" x14ac:dyDescent="0.35">
      <c r="A2440" s="7">
        <v>41479</v>
      </c>
      <c r="B2440" s="43">
        <v>211</v>
      </c>
      <c r="C2440">
        <f t="shared" si="45"/>
        <v>2013</v>
      </c>
    </row>
    <row r="2441" spans="1:3" x14ac:dyDescent="0.35">
      <c r="A2441" s="7">
        <v>41478</v>
      </c>
      <c r="B2441" s="43">
        <v>208</v>
      </c>
      <c r="C2441">
        <f t="shared" si="45"/>
        <v>2013</v>
      </c>
    </row>
    <row r="2442" spans="1:3" x14ac:dyDescent="0.35">
      <c r="A2442" s="7">
        <v>41477</v>
      </c>
      <c r="B2442" s="43">
        <v>207</v>
      </c>
      <c r="C2442">
        <f t="shared" si="45"/>
        <v>2013</v>
      </c>
    </row>
    <row r="2443" spans="1:3" x14ac:dyDescent="0.35">
      <c r="A2443" s="7">
        <v>41474</v>
      </c>
      <c r="B2443" s="43">
        <v>207</v>
      </c>
      <c r="C2443">
        <f t="shared" si="45"/>
        <v>2013</v>
      </c>
    </row>
    <row r="2444" spans="1:3" x14ac:dyDescent="0.35">
      <c r="A2444" s="7">
        <v>41473</v>
      </c>
      <c r="B2444" s="43">
        <v>203</v>
      </c>
      <c r="C2444">
        <f t="shared" si="45"/>
        <v>2013</v>
      </c>
    </row>
    <row r="2445" spans="1:3" x14ac:dyDescent="0.35">
      <c r="A2445" s="7">
        <v>41472</v>
      </c>
      <c r="B2445" s="43">
        <v>211</v>
      </c>
      <c r="C2445">
        <f t="shared" si="45"/>
        <v>2013</v>
      </c>
    </row>
    <row r="2446" spans="1:3" x14ac:dyDescent="0.35">
      <c r="A2446" s="7">
        <v>41471</v>
      </c>
      <c r="B2446" s="43">
        <v>221</v>
      </c>
      <c r="C2446">
        <f t="shared" si="45"/>
        <v>2013</v>
      </c>
    </row>
    <row r="2447" spans="1:3" x14ac:dyDescent="0.35">
      <c r="A2447" s="7">
        <v>41470</v>
      </c>
      <c r="B2447" s="43">
        <v>224</v>
      </c>
      <c r="C2447">
        <f t="shared" si="45"/>
        <v>2013</v>
      </c>
    </row>
    <row r="2448" spans="1:3" x14ac:dyDescent="0.35">
      <c r="A2448" s="7">
        <v>41467</v>
      </c>
      <c r="B2448" s="43">
        <v>234</v>
      </c>
      <c r="C2448">
        <f t="shared" si="45"/>
        <v>2013</v>
      </c>
    </row>
    <row r="2449" spans="1:3" x14ac:dyDescent="0.35">
      <c r="A2449" s="7">
        <v>41466</v>
      </c>
      <c r="B2449" s="43">
        <v>239</v>
      </c>
      <c r="C2449">
        <f t="shared" si="45"/>
        <v>2013</v>
      </c>
    </row>
    <row r="2450" spans="1:3" x14ac:dyDescent="0.35">
      <c r="A2450" s="7">
        <v>41465</v>
      </c>
      <c r="B2450" s="43">
        <v>238</v>
      </c>
      <c r="C2450">
        <f t="shared" si="45"/>
        <v>2013</v>
      </c>
    </row>
    <row r="2451" spans="1:3" x14ac:dyDescent="0.35">
      <c r="A2451" s="7">
        <v>41464</v>
      </c>
      <c r="B2451" s="43">
        <v>243</v>
      </c>
      <c r="C2451">
        <f t="shared" si="45"/>
        <v>2013</v>
      </c>
    </row>
    <row r="2452" spans="1:3" x14ac:dyDescent="0.35">
      <c r="A2452" s="7">
        <v>41463</v>
      </c>
      <c r="B2452" s="43">
        <v>241</v>
      </c>
      <c r="C2452">
        <f t="shared" si="45"/>
        <v>2013</v>
      </c>
    </row>
    <row r="2453" spans="1:3" x14ac:dyDescent="0.35">
      <c r="A2453" s="7">
        <v>41460</v>
      </c>
      <c r="B2453" s="43">
        <v>236</v>
      </c>
      <c r="C2453">
        <f t="shared" si="45"/>
        <v>2013</v>
      </c>
    </row>
    <row r="2454" spans="1:3" x14ac:dyDescent="0.35">
      <c r="A2454" s="7">
        <v>41459</v>
      </c>
      <c r="B2454" s="43">
        <v>239</v>
      </c>
      <c r="C2454">
        <f t="shared" si="45"/>
        <v>2013</v>
      </c>
    </row>
    <row r="2455" spans="1:3" x14ac:dyDescent="0.35">
      <c r="A2455" s="7">
        <v>41458</v>
      </c>
      <c r="B2455" s="43">
        <v>239</v>
      </c>
      <c r="C2455">
        <f t="shared" si="45"/>
        <v>2013</v>
      </c>
    </row>
    <row r="2456" spans="1:3" x14ac:dyDescent="0.35">
      <c r="A2456" s="7">
        <v>41457</v>
      </c>
      <c r="B2456" s="43">
        <v>236</v>
      </c>
      <c r="C2456">
        <f t="shared" si="45"/>
        <v>2013</v>
      </c>
    </row>
    <row r="2457" spans="1:3" x14ac:dyDescent="0.35">
      <c r="A2457" s="7">
        <v>41456</v>
      </c>
      <c r="B2457" s="43">
        <v>232</v>
      </c>
      <c r="C2457">
        <f t="shared" si="45"/>
        <v>2013</v>
      </c>
    </row>
    <row r="2458" spans="1:3" x14ac:dyDescent="0.35">
      <c r="A2458" s="7">
        <v>41453</v>
      </c>
      <c r="B2458" s="43">
        <v>237</v>
      </c>
      <c r="C2458">
        <f t="shared" si="45"/>
        <v>2013</v>
      </c>
    </row>
    <row r="2459" spans="1:3" x14ac:dyDescent="0.35">
      <c r="A2459" s="7">
        <v>41452</v>
      </c>
      <c r="B2459" s="43">
        <v>244</v>
      </c>
      <c r="C2459">
        <f t="shared" si="45"/>
        <v>2013</v>
      </c>
    </row>
    <row r="2460" spans="1:3" x14ac:dyDescent="0.35">
      <c r="A2460" s="7">
        <v>41451</v>
      </c>
      <c r="B2460" s="43">
        <v>248</v>
      </c>
      <c r="C2460">
        <f t="shared" si="45"/>
        <v>2013</v>
      </c>
    </row>
    <row r="2461" spans="1:3" x14ac:dyDescent="0.35">
      <c r="A2461" s="7">
        <v>41450</v>
      </c>
      <c r="B2461" s="43">
        <v>252</v>
      </c>
      <c r="C2461">
        <f t="shared" si="45"/>
        <v>2013</v>
      </c>
    </row>
    <row r="2462" spans="1:3" x14ac:dyDescent="0.35">
      <c r="A2462" s="7">
        <v>41449</v>
      </c>
      <c r="B2462" s="43">
        <v>263</v>
      </c>
      <c r="C2462">
        <f t="shared" si="45"/>
        <v>2013</v>
      </c>
    </row>
    <row r="2463" spans="1:3" x14ac:dyDescent="0.35">
      <c r="A2463" s="7">
        <v>41446</v>
      </c>
      <c r="B2463" s="43">
        <v>253</v>
      </c>
      <c r="C2463">
        <f t="shared" si="45"/>
        <v>2013</v>
      </c>
    </row>
    <row r="2464" spans="1:3" x14ac:dyDescent="0.35">
      <c r="A2464" s="7">
        <v>41445</v>
      </c>
      <c r="B2464" s="43">
        <v>249</v>
      </c>
      <c r="C2464">
        <f t="shared" si="45"/>
        <v>2013</v>
      </c>
    </row>
    <row r="2465" spans="1:3" x14ac:dyDescent="0.35">
      <c r="A2465" s="7">
        <v>41444</v>
      </c>
      <c r="B2465" s="43">
        <v>233</v>
      </c>
      <c r="C2465">
        <f t="shared" si="45"/>
        <v>2013</v>
      </c>
    </row>
    <row r="2466" spans="1:3" x14ac:dyDescent="0.35">
      <c r="A2466" s="7">
        <v>41443</v>
      </c>
      <c r="B2466" s="43">
        <v>224</v>
      </c>
      <c r="C2466">
        <f t="shared" si="45"/>
        <v>2013</v>
      </c>
    </row>
    <row r="2467" spans="1:3" x14ac:dyDescent="0.35">
      <c r="A2467" s="7">
        <v>41442</v>
      </c>
      <c r="B2467" s="43">
        <v>216</v>
      </c>
      <c r="C2467">
        <f t="shared" si="45"/>
        <v>2013</v>
      </c>
    </row>
    <row r="2468" spans="1:3" x14ac:dyDescent="0.35">
      <c r="A2468" s="7">
        <v>41439</v>
      </c>
      <c r="B2468" s="43">
        <v>216</v>
      </c>
      <c r="C2468">
        <f t="shared" si="45"/>
        <v>2013</v>
      </c>
    </row>
    <row r="2469" spans="1:3" x14ac:dyDescent="0.35">
      <c r="A2469" s="7">
        <v>41438</v>
      </c>
      <c r="B2469" s="43">
        <v>212</v>
      </c>
      <c r="C2469">
        <f t="shared" si="45"/>
        <v>2013</v>
      </c>
    </row>
    <row r="2470" spans="1:3" x14ac:dyDescent="0.35">
      <c r="A2470" s="7">
        <v>41437</v>
      </c>
      <c r="B2470" s="43">
        <v>226</v>
      </c>
      <c r="C2470">
        <f t="shared" si="45"/>
        <v>2013</v>
      </c>
    </row>
    <row r="2471" spans="1:3" x14ac:dyDescent="0.35">
      <c r="A2471" s="7">
        <v>41436</v>
      </c>
      <c r="B2471" s="43">
        <v>236</v>
      </c>
      <c r="C2471">
        <f t="shared" si="45"/>
        <v>2013</v>
      </c>
    </row>
    <row r="2472" spans="1:3" x14ac:dyDescent="0.35">
      <c r="A2472" s="7">
        <v>41435</v>
      </c>
      <c r="B2472" s="43">
        <v>222</v>
      </c>
      <c r="C2472">
        <f t="shared" si="45"/>
        <v>2013</v>
      </c>
    </row>
    <row r="2473" spans="1:3" x14ac:dyDescent="0.35">
      <c r="A2473" s="7">
        <v>41432</v>
      </c>
      <c r="B2473" s="43">
        <v>213</v>
      </c>
      <c r="C2473">
        <f t="shared" si="45"/>
        <v>2013</v>
      </c>
    </row>
    <row r="2474" spans="1:3" x14ac:dyDescent="0.35">
      <c r="A2474" s="7">
        <v>41431</v>
      </c>
      <c r="B2474" s="43">
        <v>218</v>
      </c>
      <c r="C2474">
        <f t="shared" si="45"/>
        <v>2013</v>
      </c>
    </row>
    <row r="2475" spans="1:3" x14ac:dyDescent="0.35">
      <c r="A2475" s="7">
        <v>41430</v>
      </c>
      <c r="B2475" s="43">
        <v>210</v>
      </c>
      <c r="C2475">
        <f t="shared" si="45"/>
        <v>2013</v>
      </c>
    </row>
    <row r="2476" spans="1:3" x14ac:dyDescent="0.35">
      <c r="A2476" s="7">
        <v>41429</v>
      </c>
      <c r="B2476" s="43">
        <v>206</v>
      </c>
      <c r="C2476">
        <f t="shared" si="45"/>
        <v>2013</v>
      </c>
    </row>
    <row r="2477" spans="1:3" x14ac:dyDescent="0.35">
      <c r="A2477" s="7">
        <v>41428</v>
      </c>
      <c r="B2477" s="43">
        <v>207</v>
      </c>
      <c r="C2477">
        <f t="shared" si="45"/>
        <v>2013</v>
      </c>
    </row>
    <row r="2478" spans="1:3" x14ac:dyDescent="0.35">
      <c r="A2478" s="7">
        <v>41425</v>
      </c>
      <c r="B2478" s="43">
        <v>206</v>
      </c>
      <c r="C2478">
        <f t="shared" si="45"/>
        <v>2013</v>
      </c>
    </row>
    <row r="2479" spans="1:3" x14ac:dyDescent="0.35">
      <c r="A2479" s="7">
        <v>41424</v>
      </c>
      <c r="B2479" s="43">
        <v>198</v>
      </c>
      <c r="C2479">
        <f t="shared" si="45"/>
        <v>2013</v>
      </c>
    </row>
    <row r="2480" spans="1:3" x14ac:dyDescent="0.35">
      <c r="A2480" s="7">
        <v>41423</v>
      </c>
      <c r="B2480" s="43">
        <v>203</v>
      </c>
      <c r="C2480">
        <f t="shared" si="45"/>
        <v>2013</v>
      </c>
    </row>
    <row r="2481" spans="1:3" x14ac:dyDescent="0.35">
      <c r="A2481" s="7">
        <v>41422</v>
      </c>
      <c r="B2481" s="43">
        <v>197</v>
      </c>
      <c r="C2481">
        <f t="shared" si="45"/>
        <v>2013</v>
      </c>
    </row>
    <row r="2482" spans="1:3" x14ac:dyDescent="0.35">
      <c r="A2482" s="7">
        <v>41421</v>
      </c>
      <c r="B2482" s="43">
        <v>191</v>
      </c>
      <c r="C2482">
        <f t="shared" si="45"/>
        <v>2013</v>
      </c>
    </row>
    <row r="2483" spans="1:3" x14ac:dyDescent="0.35">
      <c r="A2483" s="7">
        <v>41418</v>
      </c>
      <c r="B2483" s="43">
        <v>191</v>
      </c>
      <c r="C2483">
        <f t="shared" si="45"/>
        <v>2013</v>
      </c>
    </row>
    <row r="2484" spans="1:3" x14ac:dyDescent="0.35">
      <c r="A2484" s="7">
        <v>41417</v>
      </c>
      <c r="B2484" s="43">
        <v>189</v>
      </c>
      <c r="C2484">
        <f t="shared" si="45"/>
        <v>2013</v>
      </c>
    </row>
    <row r="2485" spans="1:3" x14ac:dyDescent="0.35">
      <c r="A2485" s="7">
        <v>41416</v>
      </c>
      <c r="B2485" s="43">
        <v>178</v>
      </c>
      <c r="C2485">
        <f t="shared" si="45"/>
        <v>2013</v>
      </c>
    </row>
    <row r="2486" spans="1:3" x14ac:dyDescent="0.35">
      <c r="A2486" s="7">
        <v>41415</v>
      </c>
      <c r="B2486" s="43">
        <v>181</v>
      </c>
      <c r="C2486">
        <f t="shared" si="45"/>
        <v>2013</v>
      </c>
    </row>
    <row r="2487" spans="1:3" x14ac:dyDescent="0.35">
      <c r="A2487" s="7">
        <v>41414</v>
      </c>
      <c r="B2487" s="43">
        <v>176</v>
      </c>
      <c r="C2487">
        <f t="shared" si="45"/>
        <v>2013</v>
      </c>
    </row>
    <row r="2488" spans="1:3" x14ac:dyDescent="0.35">
      <c r="A2488" s="7">
        <v>41411</v>
      </c>
      <c r="B2488" s="43">
        <v>175</v>
      </c>
      <c r="C2488">
        <f t="shared" si="45"/>
        <v>2013</v>
      </c>
    </row>
    <row r="2489" spans="1:3" x14ac:dyDescent="0.35">
      <c r="A2489" s="7">
        <v>41410</v>
      </c>
      <c r="B2489" s="43">
        <v>177</v>
      </c>
      <c r="C2489">
        <f t="shared" si="45"/>
        <v>2013</v>
      </c>
    </row>
    <row r="2490" spans="1:3" x14ac:dyDescent="0.35">
      <c r="A2490" s="7">
        <v>41409</v>
      </c>
      <c r="B2490" s="43">
        <v>168</v>
      </c>
      <c r="C2490">
        <f t="shared" si="45"/>
        <v>2013</v>
      </c>
    </row>
    <row r="2491" spans="1:3" x14ac:dyDescent="0.35">
      <c r="A2491" s="7">
        <v>41408</v>
      </c>
      <c r="B2491" s="43">
        <v>162</v>
      </c>
      <c r="C2491">
        <f t="shared" si="45"/>
        <v>2013</v>
      </c>
    </row>
    <row r="2492" spans="1:3" x14ac:dyDescent="0.35">
      <c r="A2492" s="7">
        <v>41407</v>
      </c>
      <c r="B2492" s="43">
        <v>165</v>
      </c>
      <c r="C2492">
        <f t="shared" si="45"/>
        <v>2013</v>
      </c>
    </row>
    <row r="2493" spans="1:3" x14ac:dyDescent="0.35">
      <c r="A2493" s="7">
        <v>41404</v>
      </c>
      <c r="B2493" s="43">
        <v>161</v>
      </c>
      <c r="C2493">
        <f t="shared" si="45"/>
        <v>2013</v>
      </c>
    </row>
    <row r="2494" spans="1:3" x14ac:dyDescent="0.35">
      <c r="A2494" s="7">
        <v>41403</v>
      </c>
      <c r="B2494" s="43">
        <v>161</v>
      </c>
      <c r="C2494">
        <f t="shared" si="45"/>
        <v>2013</v>
      </c>
    </row>
    <row r="2495" spans="1:3" x14ac:dyDescent="0.35">
      <c r="A2495" s="7">
        <v>41402</v>
      </c>
      <c r="B2495" s="43">
        <v>164</v>
      </c>
      <c r="C2495">
        <f t="shared" si="45"/>
        <v>2013</v>
      </c>
    </row>
    <row r="2496" spans="1:3" x14ac:dyDescent="0.35">
      <c r="A2496" s="7">
        <v>41401</v>
      </c>
      <c r="B2496" s="43">
        <v>161</v>
      </c>
      <c r="C2496">
        <f t="shared" si="45"/>
        <v>2013</v>
      </c>
    </row>
    <row r="2497" spans="1:3" x14ac:dyDescent="0.35">
      <c r="A2497" s="7">
        <v>41400</v>
      </c>
      <c r="B2497" s="43">
        <v>162</v>
      </c>
      <c r="C2497">
        <f t="shared" si="45"/>
        <v>2013</v>
      </c>
    </row>
    <row r="2498" spans="1:3" x14ac:dyDescent="0.35">
      <c r="A2498" s="7">
        <v>41397</v>
      </c>
      <c r="B2498" s="43">
        <v>165</v>
      </c>
      <c r="C2498">
        <f t="shared" si="45"/>
        <v>2013</v>
      </c>
    </row>
    <row r="2499" spans="1:3" x14ac:dyDescent="0.35">
      <c r="A2499" s="7">
        <v>41396</v>
      </c>
      <c r="B2499" s="43">
        <v>169</v>
      </c>
      <c r="C2499">
        <f t="shared" ref="C2499:C2562" si="46">YEAR(A2499)</f>
        <v>2013</v>
      </c>
    </row>
    <row r="2500" spans="1:3" x14ac:dyDescent="0.35">
      <c r="A2500" s="7">
        <v>41395</v>
      </c>
      <c r="B2500" s="43">
        <v>170</v>
      </c>
      <c r="C2500">
        <f t="shared" si="46"/>
        <v>2013</v>
      </c>
    </row>
    <row r="2501" spans="1:3" x14ac:dyDescent="0.35">
      <c r="A2501" s="7">
        <v>41394</v>
      </c>
      <c r="B2501" s="43">
        <v>171</v>
      </c>
      <c r="C2501">
        <f t="shared" si="46"/>
        <v>2013</v>
      </c>
    </row>
    <row r="2502" spans="1:3" x14ac:dyDescent="0.35">
      <c r="A2502" s="7">
        <v>41393</v>
      </c>
      <c r="B2502" s="43">
        <v>173</v>
      </c>
      <c r="C2502">
        <f t="shared" si="46"/>
        <v>2013</v>
      </c>
    </row>
    <row r="2503" spans="1:3" x14ac:dyDescent="0.35">
      <c r="A2503" s="7">
        <v>41390</v>
      </c>
      <c r="B2503" s="43">
        <v>175</v>
      </c>
      <c r="C2503">
        <f t="shared" si="46"/>
        <v>2013</v>
      </c>
    </row>
    <row r="2504" spans="1:3" x14ac:dyDescent="0.35">
      <c r="A2504" s="7">
        <v>41389</v>
      </c>
      <c r="B2504" s="43">
        <v>174</v>
      </c>
      <c r="C2504">
        <f t="shared" si="46"/>
        <v>2013</v>
      </c>
    </row>
    <row r="2505" spans="1:3" x14ac:dyDescent="0.35">
      <c r="A2505" s="7">
        <v>41388</v>
      </c>
      <c r="B2505" s="43">
        <v>176</v>
      </c>
      <c r="C2505">
        <f t="shared" si="46"/>
        <v>2013</v>
      </c>
    </row>
    <row r="2506" spans="1:3" x14ac:dyDescent="0.35">
      <c r="A2506" s="7">
        <v>41387</v>
      </c>
      <c r="B2506" s="43">
        <v>174</v>
      </c>
      <c r="C2506">
        <f t="shared" si="46"/>
        <v>2013</v>
      </c>
    </row>
    <row r="2507" spans="1:3" x14ac:dyDescent="0.35">
      <c r="A2507" s="7">
        <v>41386</v>
      </c>
      <c r="B2507" s="43">
        <v>174</v>
      </c>
      <c r="C2507">
        <f t="shared" si="46"/>
        <v>2013</v>
      </c>
    </row>
    <row r="2508" spans="1:3" x14ac:dyDescent="0.35">
      <c r="A2508" s="7">
        <v>41383</v>
      </c>
      <c r="B2508" s="43">
        <v>176</v>
      </c>
      <c r="C2508">
        <f t="shared" si="46"/>
        <v>2013</v>
      </c>
    </row>
    <row r="2509" spans="1:3" x14ac:dyDescent="0.35">
      <c r="A2509" s="7">
        <v>41382</v>
      </c>
      <c r="B2509" s="43">
        <v>178</v>
      </c>
      <c r="C2509">
        <f t="shared" si="46"/>
        <v>2013</v>
      </c>
    </row>
    <row r="2510" spans="1:3" x14ac:dyDescent="0.35">
      <c r="A2510" s="7">
        <v>41381</v>
      </c>
      <c r="B2510" s="43">
        <v>173</v>
      </c>
      <c r="C2510">
        <f t="shared" si="46"/>
        <v>2013</v>
      </c>
    </row>
    <row r="2511" spans="1:3" x14ac:dyDescent="0.35">
      <c r="A2511" s="7">
        <v>41380</v>
      </c>
      <c r="B2511" s="43">
        <v>172</v>
      </c>
      <c r="C2511">
        <f t="shared" si="46"/>
        <v>2013</v>
      </c>
    </row>
    <row r="2512" spans="1:3" x14ac:dyDescent="0.35">
      <c r="A2512" s="7">
        <v>41379</v>
      </c>
      <c r="B2512" s="43">
        <v>174</v>
      </c>
      <c r="C2512">
        <f t="shared" si="46"/>
        <v>2013</v>
      </c>
    </row>
    <row r="2513" spans="1:3" x14ac:dyDescent="0.35">
      <c r="A2513" s="7">
        <v>41376</v>
      </c>
      <c r="B2513" s="43">
        <v>168</v>
      </c>
      <c r="C2513">
        <f t="shared" si="46"/>
        <v>2013</v>
      </c>
    </row>
    <row r="2514" spans="1:3" x14ac:dyDescent="0.35">
      <c r="A2514" s="7">
        <v>41375</v>
      </c>
      <c r="B2514" s="43">
        <v>165</v>
      </c>
      <c r="C2514">
        <f t="shared" si="46"/>
        <v>2013</v>
      </c>
    </row>
    <row r="2515" spans="1:3" x14ac:dyDescent="0.35">
      <c r="A2515" s="7">
        <v>41374</v>
      </c>
      <c r="B2515" s="43">
        <v>169</v>
      </c>
      <c r="C2515">
        <f t="shared" si="46"/>
        <v>2013</v>
      </c>
    </row>
    <row r="2516" spans="1:3" x14ac:dyDescent="0.35">
      <c r="A2516" s="7">
        <v>41373</v>
      </c>
      <c r="B2516" s="43">
        <v>174</v>
      </c>
      <c r="C2516">
        <f t="shared" si="46"/>
        <v>2013</v>
      </c>
    </row>
    <row r="2517" spans="1:3" x14ac:dyDescent="0.35">
      <c r="A2517" s="7">
        <v>41372</v>
      </c>
      <c r="B2517" s="43">
        <v>178</v>
      </c>
      <c r="C2517">
        <f t="shared" si="46"/>
        <v>2013</v>
      </c>
    </row>
    <row r="2518" spans="1:3" x14ac:dyDescent="0.35">
      <c r="A2518" s="7">
        <v>41369</v>
      </c>
      <c r="B2518" s="43">
        <v>181</v>
      </c>
      <c r="C2518">
        <f t="shared" si="46"/>
        <v>2013</v>
      </c>
    </row>
    <row r="2519" spans="1:3" x14ac:dyDescent="0.35">
      <c r="A2519" s="7">
        <v>41368</v>
      </c>
      <c r="B2519" s="43">
        <v>181</v>
      </c>
      <c r="C2519">
        <f t="shared" si="46"/>
        <v>2013</v>
      </c>
    </row>
    <row r="2520" spans="1:3" x14ac:dyDescent="0.35">
      <c r="A2520" s="7">
        <v>41367</v>
      </c>
      <c r="B2520" s="43">
        <v>185</v>
      </c>
      <c r="C2520">
        <f t="shared" si="46"/>
        <v>2013</v>
      </c>
    </row>
    <row r="2521" spans="1:3" x14ac:dyDescent="0.35">
      <c r="A2521" s="7">
        <v>41366</v>
      </c>
      <c r="B2521" s="43">
        <v>188</v>
      </c>
      <c r="C2521">
        <f t="shared" si="46"/>
        <v>2013</v>
      </c>
    </row>
    <row r="2522" spans="1:3" x14ac:dyDescent="0.35">
      <c r="A2522" s="7">
        <v>41365</v>
      </c>
      <c r="B2522" s="43">
        <v>191</v>
      </c>
      <c r="C2522">
        <f t="shared" si="46"/>
        <v>2013</v>
      </c>
    </row>
    <row r="2523" spans="1:3" x14ac:dyDescent="0.35">
      <c r="A2523" s="7">
        <v>41361</v>
      </c>
      <c r="B2523" s="43">
        <v>189</v>
      </c>
      <c r="C2523">
        <f t="shared" si="46"/>
        <v>2013</v>
      </c>
    </row>
    <row r="2524" spans="1:3" x14ac:dyDescent="0.35">
      <c r="A2524" s="7">
        <v>41360</v>
      </c>
      <c r="B2524" s="43">
        <v>191</v>
      </c>
      <c r="C2524">
        <f t="shared" si="46"/>
        <v>2013</v>
      </c>
    </row>
    <row r="2525" spans="1:3" x14ac:dyDescent="0.35">
      <c r="A2525" s="7">
        <v>41359</v>
      </c>
      <c r="B2525" s="43">
        <v>191</v>
      </c>
      <c r="C2525">
        <f t="shared" si="46"/>
        <v>2013</v>
      </c>
    </row>
    <row r="2526" spans="1:3" x14ac:dyDescent="0.35">
      <c r="A2526" s="7">
        <v>41358</v>
      </c>
      <c r="B2526" s="43">
        <v>191</v>
      </c>
      <c r="C2526">
        <f t="shared" si="46"/>
        <v>2013</v>
      </c>
    </row>
    <row r="2527" spans="1:3" x14ac:dyDescent="0.35">
      <c r="A2527" s="7">
        <v>41355</v>
      </c>
      <c r="B2527" s="43">
        <v>194</v>
      </c>
      <c r="C2527">
        <f t="shared" si="46"/>
        <v>2013</v>
      </c>
    </row>
    <row r="2528" spans="1:3" x14ac:dyDescent="0.35">
      <c r="A2528" s="7">
        <v>41354</v>
      </c>
      <c r="B2528" s="43">
        <v>189</v>
      </c>
      <c r="C2528">
        <f t="shared" si="46"/>
        <v>2013</v>
      </c>
    </row>
    <row r="2529" spans="1:3" x14ac:dyDescent="0.35">
      <c r="A2529" s="7">
        <v>41353</v>
      </c>
      <c r="B2529" s="43">
        <v>187</v>
      </c>
      <c r="C2529">
        <f t="shared" si="46"/>
        <v>2013</v>
      </c>
    </row>
    <row r="2530" spans="1:3" x14ac:dyDescent="0.35">
      <c r="A2530" s="7">
        <v>41352</v>
      </c>
      <c r="B2530" s="43">
        <v>188</v>
      </c>
      <c r="C2530">
        <f t="shared" si="46"/>
        <v>2013</v>
      </c>
    </row>
    <row r="2531" spans="1:3" x14ac:dyDescent="0.35">
      <c r="A2531" s="7">
        <v>41351</v>
      </c>
      <c r="B2531" s="43">
        <v>179</v>
      </c>
      <c r="C2531">
        <f t="shared" si="46"/>
        <v>2013</v>
      </c>
    </row>
    <row r="2532" spans="1:3" x14ac:dyDescent="0.35">
      <c r="A2532" s="7">
        <v>41348</v>
      </c>
      <c r="B2532" s="43">
        <v>179</v>
      </c>
      <c r="C2532">
        <f t="shared" si="46"/>
        <v>2013</v>
      </c>
    </row>
    <row r="2533" spans="1:3" x14ac:dyDescent="0.35">
      <c r="A2533" s="7">
        <v>41347</v>
      </c>
      <c r="B2533" s="43">
        <v>174</v>
      </c>
      <c r="C2533">
        <f t="shared" si="46"/>
        <v>2013</v>
      </c>
    </row>
    <row r="2534" spans="1:3" x14ac:dyDescent="0.35">
      <c r="A2534" s="7">
        <v>41346</v>
      </c>
      <c r="B2534" s="43">
        <v>177</v>
      </c>
      <c r="C2534">
        <f t="shared" si="46"/>
        <v>2013</v>
      </c>
    </row>
    <row r="2535" spans="1:3" x14ac:dyDescent="0.35">
      <c r="A2535" s="7">
        <v>41345</v>
      </c>
      <c r="B2535" s="43">
        <v>169</v>
      </c>
      <c r="C2535">
        <f t="shared" si="46"/>
        <v>2013</v>
      </c>
    </row>
    <row r="2536" spans="1:3" x14ac:dyDescent="0.35">
      <c r="A2536" s="7">
        <v>41344</v>
      </c>
      <c r="B2536" s="43">
        <v>170</v>
      </c>
      <c r="C2536">
        <f t="shared" si="46"/>
        <v>2013</v>
      </c>
    </row>
    <row r="2537" spans="1:3" x14ac:dyDescent="0.35">
      <c r="A2537" s="7">
        <v>41341</v>
      </c>
      <c r="B2537" s="43">
        <v>167</v>
      </c>
      <c r="C2537">
        <f t="shared" si="46"/>
        <v>2013</v>
      </c>
    </row>
    <row r="2538" spans="1:3" x14ac:dyDescent="0.35">
      <c r="A2538" s="7">
        <v>41340</v>
      </c>
      <c r="B2538" s="43">
        <v>166</v>
      </c>
      <c r="C2538">
        <f t="shared" si="46"/>
        <v>2013</v>
      </c>
    </row>
    <row r="2539" spans="1:3" x14ac:dyDescent="0.35">
      <c r="A2539" s="7">
        <v>41339</v>
      </c>
      <c r="B2539" s="43">
        <v>167</v>
      </c>
      <c r="C2539">
        <f t="shared" si="46"/>
        <v>2013</v>
      </c>
    </row>
    <row r="2540" spans="1:3" x14ac:dyDescent="0.35">
      <c r="A2540" s="7">
        <v>41338</v>
      </c>
      <c r="B2540" s="43">
        <v>171</v>
      </c>
      <c r="C2540">
        <f t="shared" si="46"/>
        <v>2013</v>
      </c>
    </row>
    <row r="2541" spans="1:3" x14ac:dyDescent="0.35">
      <c r="A2541" s="7">
        <v>41337</v>
      </c>
      <c r="B2541" s="43">
        <v>178</v>
      </c>
      <c r="C2541">
        <f t="shared" si="46"/>
        <v>2013</v>
      </c>
    </row>
    <row r="2542" spans="1:3" x14ac:dyDescent="0.35">
      <c r="A2542" s="7">
        <v>41334</v>
      </c>
      <c r="B2542" s="43">
        <v>182</v>
      </c>
      <c r="C2542">
        <f t="shared" si="46"/>
        <v>2013</v>
      </c>
    </row>
    <row r="2543" spans="1:3" x14ac:dyDescent="0.35">
      <c r="A2543" s="7">
        <v>41333</v>
      </c>
      <c r="B2543" s="43">
        <v>178</v>
      </c>
      <c r="C2543">
        <f t="shared" si="46"/>
        <v>2013</v>
      </c>
    </row>
    <row r="2544" spans="1:3" x14ac:dyDescent="0.35">
      <c r="A2544" s="7">
        <v>41332</v>
      </c>
      <c r="B2544" s="43">
        <v>173</v>
      </c>
      <c r="C2544">
        <f t="shared" si="46"/>
        <v>2013</v>
      </c>
    </row>
    <row r="2545" spans="1:3" x14ac:dyDescent="0.35">
      <c r="A2545" s="7">
        <v>41331</v>
      </c>
      <c r="B2545" s="43">
        <v>176</v>
      </c>
      <c r="C2545">
        <f t="shared" si="46"/>
        <v>2013</v>
      </c>
    </row>
    <row r="2546" spans="1:3" x14ac:dyDescent="0.35">
      <c r="A2546" s="7">
        <v>41330</v>
      </c>
      <c r="B2546" s="43">
        <v>173</v>
      </c>
      <c r="C2546">
        <f t="shared" si="46"/>
        <v>2013</v>
      </c>
    </row>
    <row r="2547" spans="1:3" x14ac:dyDescent="0.35">
      <c r="A2547" s="7">
        <v>41327</v>
      </c>
      <c r="B2547" s="43">
        <v>171</v>
      </c>
      <c r="C2547">
        <f t="shared" si="46"/>
        <v>2013</v>
      </c>
    </row>
    <row r="2548" spans="1:3" x14ac:dyDescent="0.35">
      <c r="A2548" s="7">
        <v>41326</v>
      </c>
      <c r="B2548" s="43">
        <v>171</v>
      </c>
      <c r="C2548">
        <f t="shared" si="46"/>
        <v>2013</v>
      </c>
    </row>
    <row r="2549" spans="1:3" x14ac:dyDescent="0.35">
      <c r="A2549" s="7">
        <v>41325</v>
      </c>
      <c r="B2549" s="43">
        <v>169</v>
      </c>
      <c r="C2549">
        <f t="shared" si="46"/>
        <v>2013</v>
      </c>
    </row>
    <row r="2550" spans="1:3" x14ac:dyDescent="0.35">
      <c r="A2550" s="7">
        <v>41324</v>
      </c>
      <c r="B2550" s="43">
        <v>158</v>
      </c>
      <c r="C2550">
        <f t="shared" si="46"/>
        <v>2013</v>
      </c>
    </row>
    <row r="2551" spans="1:3" x14ac:dyDescent="0.35">
      <c r="A2551" s="7">
        <v>41323</v>
      </c>
      <c r="B2551" s="43">
        <v>158</v>
      </c>
      <c r="C2551">
        <f t="shared" si="46"/>
        <v>2013</v>
      </c>
    </row>
    <row r="2552" spans="1:3" x14ac:dyDescent="0.35">
      <c r="A2552" s="7">
        <v>41320</v>
      </c>
      <c r="B2552" s="43">
        <v>158</v>
      </c>
      <c r="C2552">
        <f t="shared" si="46"/>
        <v>2013</v>
      </c>
    </row>
    <row r="2553" spans="1:3" x14ac:dyDescent="0.35">
      <c r="A2553" s="7">
        <v>41319</v>
      </c>
      <c r="B2553" s="43">
        <v>156</v>
      </c>
      <c r="C2553">
        <f t="shared" si="46"/>
        <v>2013</v>
      </c>
    </row>
    <row r="2554" spans="1:3" x14ac:dyDescent="0.35">
      <c r="A2554" s="7">
        <v>41318</v>
      </c>
      <c r="B2554" s="43">
        <v>154</v>
      </c>
      <c r="C2554">
        <f t="shared" si="46"/>
        <v>2013</v>
      </c>
    </row>
    <row r="2555" spans="1:3" x14ac:dyDescent="0.35">
      <c r="A2555" s="7">
        <v>41317</v>
      </c>
      <c r="B2555" s="43">
        <v>156</v>
      </c>
      <c r="C2555">
        <f t="shared" si="46"/>
        <v>2013</v>
      </c>
    </row>
    <row r="2556" spans="1:3" x14ac:dyDescent="0.35">
      <c r="A2556" s="7">
        <v>41316</v>
      </c>
      <c r="B2556" s="43">
        <v>156</v>
      </c>
      <c r="C2556">
        <f t="shared" si="46"/>
        <v>2013</v>
      </c>
    </row>
    <row r="2557" spans="1:3" x14ac:dyDescent="0.35">
      <c r="A2557" s="7">
        <v>41313</v>
      </c>
      <c r="B2557" s="43">
        <v>155</v>
      </c>
      <c r="C2557">
        <f t="shared" si="46"/>
        <v>2013</v>
      </c>
    </row>
    <row r="2558" spans="1:3" x14ac:dyDescent="0.35">
      <c r="A2558" s="7">
        <v>41312</v>
      </c>
      <c r="B2558" s="43">
        <v>156</v>
      </c>
      <c r="C2558">
        <f t="shared" si="46"/>
        <v>2013</v>
      </c>
    </row>
    <row r="2559" spans="1:3" x14ac:dyDescent="0.35">
      <c r="A2559" s="7">
        <v>41311</v>
      </c>
      <c r="B2559" s="43">
        <v>156</v>
      </c>
      <c r="C2559">
        <f t="shared" si="46"/>
        <v>2013</v>
      </c>
    </row>
    <row r="2560" spans="1:3" x14ac:dyDescent="0.35">
      <c r="A2560" s="7">
        <v>41310</v>
      </c>
      <c r="B2560" s="43">
        <v>153</v>
      </c>
      <c r="C2560">
        <f t="shared" si="46"/>
        <v>2013</v>
      </c>
    </row>
    <row r="2561" spans="1:3" x14ac:dyDescent="0.35">
      <c r="A2561" s="7">
        <v>41309</v>
      </c>
      <c r="B2561" s="43">
        <v>155</v>
      </c>
      <c r="C2561">
        <f t="shared" si="46"/>
        <v>2013</v>
      </c>
    </row>
    <row r="2562" spans="1:3" x14ac:dyDescent="0.35">
      <c r="A2562" s="7">
        <v>41306</v>
      </c>
      <c r="B2562" s="43">
        <v>151</v>
      </c>
      <c r="C2562">
        <f t="shared" si="46"/>
        <v>2013</v>
      </c>
    </row>
    <row r="2563" spans="1:3" x14ac:dyDescent="0.35">
      <c r="A2563" s="7">
        <v>41305</v>
      </c>
      <c r="B2563" s="43">
        <v>155</v>
      </c>
      <c r="C2563">
        <f t="shared" ref="C2563:C2626" si="47">YEAR(A2563)</f>
        <v>2013</v>
      </c>
    </row>
    <row r="2564" spans="1:3" x14ac:dyDescent="0.35">
      <c r="A2564" s="7">
        <v>41304</v>
      </c>
      <c r="B2564" s="43">
        <v>153</v>
      </c>
      <c r="C2564">
        <f t="shared" si="47"/>
        <v>2013</v>
      </c>
    </row>
    <row r="2565" spans="1:3" x14ac:dyDescent="0.35">
      <c r="A2565" s="7">
        <v>41303</v>
      </c>
      <c r="B2565" s="43">
        <v>150</v>
      </c>
      <c r="C2565">
        <f t="shared" si="47"/>
        <v>2013</v>
      </c>
    </row>
    <row r="2566" spans="1:3" x14ac:dyDescent="0.35">
      <c r="A2566" s="7">
        <v>41302</v>
      </c>
      <c r="B2566" s="43">
        <v>148</v>
      </c>
      <c r="C2566">
        <f t="shared" si="47"/>
        <v>2013</v>
      </c>
    </row>
    <row r="2567" spans="1:3" x14ac:dyDescent="0.35">
      <c r="A2567" s="7">
        <v>41299</v>
      </c>
      <c r="B2567" s="43">
        <v>147</v>
      </c>
      <c r="C2567">
        <f t="shared" si="47"/>
        <v>2013</v>
      </c>
    </row>
    <row r="2568" spans="1:3" x14ac:dyDescent="0.35">
      <c r="A2568" s="7">
        <v>41298</v>
      </c>
      <c r="B2568" s="43">
        <v>151</v>
      </c>
      <c r="C2568">
        <f t="shared" si="47"/>
        <v>2013</v>
      </c>
    </row>
    <row r="2569" spans="1:3" x14ac:dyDescent="0.35">
      <c r="A2569" s="7">
        <v>41297</v>
      </c>
      <c r="B2569" s="43">
        <v>149</v>
      </c>
      <c r="C2569">
        <f t="shared" si="47"/>
        <v>2013</v>
      </c>
    </row>
    <row r="2570" spans="1:3" x14ac:dyDescent="0.35">
      <c r="A2570" s="7">
        <v>41296</v>
      </c>
      <c r="B2570" s="43">
        <v>148</v>
      </c>
      <c r="C2570">
        <f t="shared" si="47"/>
        <v>2013</v>
      </c>
    </row>
    <row r="2571" spans="1:3" x14ac:dyDescent="0.35">
      <c r="A2571" s="7">
        <v>41295</v>
      </c>
      <c r="B2571" s="43">
        <v>147</v>
      </c>
      <c r="C2571">
        <f t="shared" si="47"/>
        <v>2013</v>
      </c>
    </row>
    <row r="2572" spans="1:3" x14ac:dyDescent="0.35">
      <c r="A2572" s="7">
        <v>41292</v>
      </c>
      <c r="B2572" s="43">
        <v>147</v>
      </c>
      <c r="C2572">
        <f t="shared" si="47"/>
        <v>2013</v>
      </c>
    </row>
    <row r="2573" spans="1:3" x14ac:dyDescent="0.35">
      <c r="A2573" s="7">
        <v>41291</v>
      </c>
      <c r="B2573" s="43">
        <v>146</v>
      </c>
      <c r="C2573">
        <f t="shared" si="47"/>
        <v>2013</v>
      </c>
    </row>
    <row r="2574" spans="1:3" x14ac:dyDescent="0.35">
      <c r="A2574" s="7">
        <v>41290</v>
      </c>
      <c r="B2574" s="43">
        <v>148</v>
      </c>
      <c r="C2574">
        <f t="shared" si="47"/>
        <v>2013</v>
      </c>
    </row>
    <row r="2575" spans="1:3" x14ac:dyDescent="0.35">
      <c r="A2575" s="7">
        <v>41289</v>
      </c>
      <c r="B2575" s="43">
        <v>147</v>
      </c>
      <c r="C2575">
        <f t="shared" si="47"/>
        <v>2013</v>
      </c>
    </row>
    <row r="2576" spans="1:3" x14ac:dyDescent="0.35">
      <c r="A2576" s="7">
        <v>41288</v>
      </c>
      <c r="B2576" s="43">
        <v>143</v>
      </c>
      <c r="C2576">
        <f t="shared" si="47"/>
        <v>2013</v>
      </c>
    </row>
    <row r="2577" spans="1:3" x14ac:dyDescent="0.35">
      <c r="A2577" s="7">
        <v>41285</v>
      </c>
      <c r="B2577" s="43">
        <v>147</v>
      </c>
      <c r="C2577">
        <f t="shared" si="47"/>
        <v>2013</v>
      </c>
    </row>
    <row r="2578" spans="1:3" x14ac:dyDescent="0.35">
      <c r="A2578" s="7">
        <v>41284</v>
      </c>
      <c r="B2578" s="43">
        <v>146</v>
      </c>
      <c r="C2578">
        <f t="shared" si="47"/>
        <v>2013</v>
      </c>
    </row>
    <row r="2579" spans="1:3" x14ac:dyDescent="0.35">
      <c r="A2579" s="7">
        <v>41283</v>
      </c>
      <c r="B2579" s="43">
        <v>148</v>
      </c>
      <c r="C2579">
        <f t="shared" si="47"/>
        <v>2013</v>
      </c>
    </row>
    <row r="2580" spans="1:3" x14ac:dyDescent="0.35">
      <c r="A2580" s="7">
        <v>41282</v>
      </c>
      <c r="B2580" s="43">
        <v>146</v>
      </c>
      <c r="C2580">
        <f t="shared" si="47"/>
        <v>2013</v>
      </c>
    </row>
    <row r="2581" spans="1:3" x14ac:dyDescent="0.35">
      <c r="A2581" s="7">
        <v>41281</v>
      </c>
      <c r="B2581" s="43">
        <v>142</v>
      </c>
      <c r="C2581">
        <f t="shared" si="47"/>
        <v>2013</v>
      </c>
    </row>
    <row r="2582" spans="1:3" x14ac:dyDescent="0.35">
      <c r="A2582" s="7">
        <v>41278</v>
      </c>
      <c r="B2582" s="43">
        <v>137</v>
      </c>
      <c r="C2582">
        <f t="shared" si="47"/>
        <v>2013</v>
      </c>
    </row>
    <row r="2583" spans="1:3" x14ac:dyDescent="0.35">
      <c r="A2583" s="7">
        <v>41277</v>
      </c>
      <c r="B2583" s="43">
        <v>137</v>
      </c>
      <c r="C2583">
        <f t="shared" si="47"/>
        <v>2013</v>
      </c>
    </row>
    <row r="2584" spans="1:3" x14ac:dyDescent="0.35">
      <c r="A2584" s="7">
        <v>41276</v>
      </c>
      <c r="B2584" s="43">
        <v>136</v>
      </c>
      <c r="C2584">
        <f t="shared" si="47"/>
        <v>2013</v>
      </c>
    </row>
    <row r="2585" spans="1:3" x14ac:dyDescent="0.35">
      <c r="A2585" s="7">
        <v>41274</v>
      </c>
      <c r="B2585" s="43">
        <v>142</v>
      </c>
      <c r="C2585">
        <f t="shared" si="47"/>
        <v>2012</v>
      </c>
    </row>
    <row r="2586" spans="1:3" x14ac:dyDescent="0.35">
      <c r="A2586" s="7">
        <v>41271</v>
      </c>
      <c r="B2586" s="43">
        <v>148</v>
      </c>
      <c r="C2586">
        <f t="shared" si="47"/>
        <v>2012</v>
      </c>
    </row>
    <row r="2587" spans="1:3" x14ac:dyDescent="0.35">
      <c r="A2587" s="7">
        <v>41270</v>
      </c>
      <c r="B2587" s="43">
        <v>146</v>
      </c>
      <c r="C2587">
        <f t="shared" si="47"/>
        <v>2012</v>
      </c>
    </row>
    <row r="2588" spans="1:3" x14ac:dyDescent="0.35">
      <c r="A2588" s="7">
        <v>41269</v>
      </c>
      <c r="B2588" s="43">
        <v>142</v>
      </c>
      <c r="C2588">
        <f t="shared" si="47"/>
        <v>2012</v>
      </c>
    </row>
    <row r="2589" spans="1:3" x14ac:dyDescent="0.35">
      <c r="A2589" s="7">
        <v>41267</v>
      </c>
      <c r="B2589" s="43">
        <v>141</v>
      </c>
      <c r="C2589">
        <f t="shared" si="47"/>
        <v>2012</v>
      </c>
    </row>
    <row r="2590" spans="1:3" x14ac:dyDescent="0.35">
      <c r="A2590" s="7">
        <v>41264</v>
      </c>
      <c r="B2590" s="43">
        <v>143</v>
      </c>
      <c r="C2590">
        <f t="shared" si="47"/>
        <v>2012</v>
      </c>
    </row>
    <row r="2591" spans="1:3" x14ac:dyDescent="0.35">
      <c r="A2591" s="7">
        <v>41263</v>
      </c>
      <c r="B2591" s="43">
        <v>138</v>
      </c>
      <c r="C2591">
        <f t="shared" si="47"/>
        <v>2012</v>
      </c>
    </row>
    <row r="2592" spans="1:3" x14ac:dyDescent="0.35">
      <c r="A2592" s="7">
        <v>41262</v>
      </c>
      <c r="B2592" s="43">
        <v>137</v>
      </c>
      <c r="C2592">
        <f t="shared" si="47"/>
        <v>2012</v>
      </c>
    </row>
    <row r="2593" spans="1:3" x14ac:dyDescent="0.35">
      <c r="A2593" s="7">
        <v>41261</v>
      </c>
      <c r="B2593" s="43">
        <v>138</v>
      </c>
      <c r="C2593">
        <f t="shared" si="47"/>
        <v>2012</v>
      </c>
    </row>
    <row r="2594" spans="1:3" x14ac:dyDescent="0.35">
      <c r="A2594" s="7">
        <v>41260</v>
      </c>
      <c r="B2594" s="43">
        <v>140</v>
      </c>
      <c r="C2594">
        <f t="shared" si="47"/>
        <v>2012</v>
      </c>
    </row>
    <row r="2595" spans="1:3" x14ac:dyDescent="0.35">
      <c r="A2595" s="7">
        <v>41257</v>
      </c>
      <c r="B2595" s="43">
        <v>146</v>
      </c>
      <c r="C2595">
        <f t="shared" si="47"/>
        <v>2012</v>
      </c>
    </row>
    <row r="2596" spans="1:3" x14ac:dyDescent="0.35">
      <c r="A2596" s="7">
        <v>41256</v>
      </c>
      <c r="B2596" s="43">
        <v>147</v>
      </c>
      <c r="C2596">
        <f t="shared" si="47"/>
        <v>2012</v>
      </c>
    </row>
    <row r="2597" spans="1:3" x14ac:dyDescent="0.35">
      <c r="A2597" s="7">
        <v>41255</v>
      </c>
      <c r="B2597" s="43">
        <v>148</v>
      </c>
      <c r="C2597">
        <f t="shared" si="47"/>
        <v>2012</v>
      </c>
    </row>
    <row r="2598" spans="1:3" x14ac:dyDescent="0.35">
      <c r="A2598" s="7">
        <v>41254</v>
      </c>
      <c r="B2598" s="43">
        <v>153</v>
      </c>
      <c r="C2598">
        <f t="shared" si="47"/>
        <v>2012</v>
      </c>
    </row>
    <row r="2599" spans="1:3" x14ac:dyDescent="0.35">
      <c r="A2599" s="7">
        <v>41253</v>
      </c>
      <c r="B2599" s="43">
        <v>155</v>
      </c>
      <c r="C2599">
        <f t="shared" si="47"/>
        <v>2012</v>
      </c>
    </row>
    <row r="2600" spans="1:3" x14ac:dyDescent="0.35">
      <c r="A2600" s="7">
        <v>41250</v>
      </c>
      <c r="B2600" s="43">
        <v>154</v>
      </c>
      <c r="C2600">
        <f t="shared" si="47"/>
        <v>2012</v>
      </c>
    </row>
    <row r="2601" spans="1:3" x14ac:dyDescent="0.35">
      <c r="A2601" s="7">
        <v>41249</v>
      </c>
      <c r="B2601" s="43">
        <v>158</v>
      </c>
      <c r="C2601">
        <f t="shared" si="47"/>
        <v>2012</v>
      </c>
    </row>
    <row r="2602" spans="1:3" x14ac:dyDescent="0.35">
      <c r="A2602" s="7">
        <v>41248</v>
      </c>
      <c r="B2602" s="43">
        <v>156</v>
      </c>
      <c r="C2602">
        <f t="shared" si="47"/>
        <v>2012</v>
      </c>
    </row>
    <row r="2603" spans="1:3" x14ac:dyDescent="0.35">
      <c r="A2603" s="7">
        <v>41247</v>
      </c>
      <c r="B2603" s="43">
        <v>156</v>
      </c>
      <c r="C2603">
        <f t="shared" si="47"/>
        <v>2012</v>
      </c>
    </row>
    <row r="2604" spans="1:3" x14ac:dyDescent="0.35">
      <c r="A2604" s="7">
        <v>41246</v>
      </c>
      <c r="B2604" s="43">
        <v>155</v>
      </c>
      <c r="C2604">
        <f t="shared" si="47"/>
        <v>2012</v>
      </c>
    </row>
    <row r="2605" spans="1:3" x14ac:dyDescent="0.35">
      <c r="A2605" s="7">
        <v>41243</v>
      </c>
      <c r="B2605" s="43">
        <v>153</v>
      </c>
      <c r="C2605">
        <f t="shared" si="47"/>
        <v>2012</v>
      </c>
    </row>
    <row r="2606" spans="1:3" x14ac:dyDescent="0.35">
      <c r="A2606" s="7">
        <v>41242</v>
      </c>
      <c r="B2606" s="43">
        <v>152</v>
      </c>
      <c r="C2606">
        <f t="shared" si="47"/>
        <v>2012</v>
      </c>
    </row>
    <row r="2607" spans="1:3" x14ac:dyDescent="0.35">
      <c r="A2607" s="7">
        <v>41241</v>
      </c>
      <c r="B2607" s="43">
        <v>155</v>
      </c>
      <c r="C2607">
        <f t="shared" si="47"/>
        <v>2012</v>
      </c>
    </row>
    <row r="2608" spans="1:3" x14ac:dyDescent="0.35">
      <c r="A2608" s="7">
        <v>41240</v>
      </c>
      <c r="B2608" s="43">
        <v>154</v>
      </c>
      <c r="C2608">
        <f t="shared" si="47"/>
        <v>2012</v>
      </c>
    </row>
    <row r="2609" spans="1:3" x14ac:dyDescent="0.35">
      <c r="A2609" s="7">
        <v>41239</v>
      </c>
      <c r="B2609" s="43">
        <v>155</v>
      </c>
      <c r="C2609">
        <f t="shared" si="47"/>
        <v>2012</v>
      </c>
    </row>
    <row r="2610" spans="1:3" x14ac:dyDescent="0.35">
      <c r="A2610" s="7">
        <v>41236</v>
      </c>
      <c r="B2610" s="43">
        <v>154</v>
      </c>
      <c r="C2610">
        <f t="shared" si="47"/>
        <v>2012</v>
      </c>
    </row>
    <row r="2611" spans="1:3" x14ac:dyDescent="0.35">
      <c r="A2611" s="7">
        <v>41235</v>
      </c>
      <c r="B2611" s="43">
        <v>154</v>
      </c>
      <c r="C2611">
        <f t="shared" si="47"/>
        <v>2012</v>
      </c>
    </row>
    <row r="2612" spans="1:3" x14ac:dyDescent="0.35">
      <c r="A2612" s="7">
        <v>41234</v>
      </c>
      <c r="B2612" s="43">
        <v>154</v>
      </c>
      <c r="C2612">
        <f t="shared" si="47"/>
        <v>2012</v>
      </c>
    </row>
    <row r="2613" spans="1:3" x14ac:dyDescent="0.35">
      <c r="A2613" s="7">
        <v>41233</v>
      </c>
      <c r="B2613" s="43">
        <v>158</v>
      </c>
      <c r="C2613">
        <f t="shared" si="47"/>
        <v>2012</v>
      </c>
    </row>
    <row r="2614" spans="1:3" x14ac:dyDescent="0.35">
      <c r="A2614" s="7">
        <v>41232</v>
      </c>
      <c r="B2614" s="43">
        <v>162</v>
      </c>
      <c r="C2614">
        <f t="shared" si="47"/>
        <v>2012</v>
      </c>
    </row>
    <row r="2615" spans="1:3" x14ac:dyDescent="0.35">
      <c r="A2615" s="7">
        <v>41229</v>
      </c>
      <c r="B2615" s="43">
        <v>165</v>
      </c>
      <c r="C2615">
        <f t="shared" si="47"/>
        <v>2012</v>
      </c>
    </row>
    <row r="2616" spans="1:3" x14ac:dyDescent="0.35">
      <c r="A2616" s="7">
        <v>41228</v>
      </c>
      <c r="B2616" s="43">
        <v>166</v>
      </c>
      <c r="C2616">
        <f t="shared" si="47"/>
        <v>2012</v>
      </c>
    </row>
    <row r="2617" spans="1:3" x14ac:dyDescent="0.35">
      <c r="A2617" s="7">
        <v>41227</v>
      </c>
      <c r="B2617" s="43">
        <v>164</v>
      </c>
      <c r="C2617">
        <f t="shared" si="47"/>
        <v>2012</v>
      </c>
    </row>
    <row r="2618" spans="1:3" x14ac:dyDescent="0.35">
      <c r="A2618" s="7">
        <v>41226</v>
      </c>
      <c r="B2618" s="43">
        <v>160</v>
      </c>
      <c r="C2618">
        <f t="shared" si="47"/>
        <v>2012</v>
      </c>
    </row>
    <row r="2619" spans="1:3" x14ac:dyDescent="0.35">
      <c r="A2619" s="7">
        <v>41225</v>
      </c>
      <c r="B2619" s="43">
        <v>154</v>
      </c>
      <c r="C2619">
        <f t="shared" si="47"/>
        <v>2012</v>
      </c>
    </row>
    <row r="2620" spans="1:3" x14ac:dyDescent="0.35">
      <c r="A2620" s="7">
        <v>41222</v>
      </c>
      <c r="B2620" s="43">
        <v>154</v>
      </c>
      <c r="C2620">
        <f t="shared" si="47"/>
        <v>2012</v>
      </c>
    </row>
    <row r="2621" spans="1:3" x14ac:dyDescent="0.35">
      <c r="A2621" s="7">
        <v>41221</v>
      </c>
      <c r="B2621" s="43">
        <v>152</v>
      </c>
      <c r="C2621">
        <f t="shared" si="47"/>
        <v>2012</v>
      </c>
    </row>
    <row r="2622" spans="1:3" x14ac:dyDescent="0.35">
      <c r="A2622" s="7">
        <v>41220</v>
      </c>
      <c r="B2622" s="43">
        <v>147</v>
      </c>
      <c r="C2622">
        <f t="shared" si="47"/>
        <v>2012</v>
      </c>
    </row>
    <row r="2623" spans="1:3" x14ac:dyDescent="0.35">
      <c r="A2623" s="7">
        <v>41219</v>
      </c>
      <c r="B2623" s="43">
        <v>143</v>
      </c>
      <c r="C2623">
        <f t="shared" si="47"/>
        <v>2012</v>
      </c>
    </row>
    <row r="2624" spans="1:3" x14ac:dyDescent="0.35">
      <c r="A2624" s="7">
        <v>41218</v>
      </c>
      <c r="B2624" s="43">
        <v>147</v>
      </c>
      <c r="C2624">
        <f t="shared" si="47"/>
        <v>2012</v>
      </c>
    </row>
    <row r="2625" spans="1:3" x14ac:dyDescent="0.35">
      <c r="A2625" s="7">
        <v>41215</v>
      </c>
      <c r="B2625" s="43">
        <v>153</v>
      </c>
      <c r="C2625">
        <f t="shared" si="47"/>
        <v>2012</v>
      </c>
    </row>
    <row r="2626" spans="1:3" x14ac:dyDescent="0.35">
      <c r="A2626" s="7">
        <v>41214</v>
      </c>
      <c r="B2626" s="43">
        <v>152</v>
      </c>
      <c r="C2626">
        <f t="shared" si="47"/>
        <v>2012</v>
      </c>
    </row>
    <row r="2627" spans="1:3" x14ac:dyDescent="0.35">
      <c r="A2627" s="7">
        <v>41213</v>
      </c>
      <c r="B2627" s="43">
        <v>158</v>
      </c>
      <c r="C2627">
        <f t="shared" ref="C2627:C2690" si="48">YEAR(A2627)</f>
        <v>2012</v>
      </c>
    </row>
    <row r="2628" spans="1:3" x14ac:dyDescent="0.35">
      <c r="A2628" s="7">
        <v>41212</v>
      </c>
      <c r="B2628" s="43">
        <v>157</v>
      </c>
      <c r="C2628">
        <f t="shared" si="48"/>
        <v>2012</v>
      </c>
    </row>
    <row r="2629" spans="1:3" x14ac:dyDescent="0.35">
      <c r="A2629" s="7">
        <v>41211</v>
      </c>
      <c r="B2629" s="43">
        <v>157</v>
      </c>
      <c r="C2629">
        <f t="shared" si="48"/>
        <v>2012</v>
      </c>
    </row>
    <row r="2630" spans="1:3" x14ac:dyDescent="0.35">
      <c r="A2630" s="7">
        <v>41208</v>
      </c>
      <c r="B2630" s="43">
        <v>154</v>
      </c>
      <c r="C2630">
        <f t="shared" si="48"/>
        <v>2012</v>
      </c>
    </row>
    <row r="2631" spans="1:3" x14ac:dyDescent="0.35">
      <c r="A2631" s="7">
        <v>41207</v>
      </c>
      <c r="B2631" s="43">
        <v>144</v>
      </c>
      <c r="C2631">
        <f t="shared" si="48"/>
        <v>2012</v>
      </c>
    </row>
    <row r="2632" spans="1:3" x14ac:dyDescent="0.35">
      <c r="A2632" s="7">
        <v>41206</v>
      </c>
      <c r="B2632" s="43">
        <v>145</v>
      </c>
      <c r="C2632">
        <f t="shared" si="48"/>
        <v>2012</v>
      </c>
    </row>
    <row r="2633" spans="1:3" x14ac:dyDescent="0.35">
      <c r="A2633" s="7">
        <v>41205</v>
      </c>
      <c r="B2633" s="43">
        <v>146</v>
      </c>
      <c r="C2633">
        <f t="shared" si="48"/>
        <v>2012</v>
      </c>
    </row>
    <row r="2634" spans="1:3" x14ac:dyDescent="0.35">
      <c r="A2634" s="7">
        <v>41204</v>
      </c>
      <c r="B2634" s="43">
        <v>145</v>
      </c>
      <c r="C2634">
        <f t="shared" si="48"/>
        <v>2012</v>
      </c>
    </row>
    <row r="2635" spans="1:3" x14ac:dyDescent="0.35">
      <c r="A2635" s="7">
        <v>41201</v>
      </c>
      <c r="B2635" s="43">
        <v>145</v>
      </c>
      <c r="C2635">
        <f t="shared" si="48"/>
        <v>2012</v>
      </c>
    </row>
    <row r="2636" spans="1:3" x14ac:dyDescent="0.35">
      <c r="A2636" s="7">
        <v>41200</v>
      </c>
      <c r="B2636" s="43">
        <v>137</v>
      </c>
      <c r="C2636">
        <f t="shared" si="48"/>
        <v>2012</v>
      </c>
    </row>
    <row r="2637" spans="1:3" x14ac:dyDescent="0.35">
      <c r="A2637" s="7">
        <v>41199</v>
      </c>
      <c r="B2637" s="43">
        <v>140</v>
      </c>
      <c r="C2637">
        <f t="shared" si="48"/>
        <v>2012</v>
      </c>
    </row>
    <row r="2638" spans="1:3" x14ac:dyDescent="0.35">
      <c r="A2638" s="7">
        <v>41198</v>
      </c>
      <c r="B2638" s="43">
        <v>146</v>
      </c>
      <c r="C2638">
        <f t="shared" si="48"/>
        <v>2012</v>
      </c>
    </row>
    <row r="2639" spans="1:3" x14ac:dyDescent="0.35">
      <c r="A2639" s="7">
        <v>41197</v>
      </c>
      <c r="B2639" s="43">
        <v>151</v>
      </c>
      <c r="C2639">
        <f t="shared" si="48"/>
        <v>2012</v>
      </c>
    </row>
    <row r="2640" spans="1:3" x14ac:dyDescent="0.35">
      <c r="A2640" s="7">
        <v>41194</v>
      </c>
      <c r="B2640" s="43">
        <v>152</v>
      </c>
      <c r="C2640">
        <f t="shared" si="48"/>
        <v>2012</v>
      </c>
    </row>
    <row r="2641" spans="1:3" x14ac:dyDescent="0.35">
      <c r="A2641" s="7">
        <v>41193</v>
      </c>
      <c r="B2641" s="43">
        <v>155</v>
      </c>
      <c r="C2641">
        <f t="shared" si="48"/>
        <v>2012</v>
      </c>
    </row>
    <row r="2642" spans="1:3" x14ac:dyDescent="0.35">
      <c r="A2642" s="7">
        <v>41192</v>
      </c>
      <c r="B2642" s="43">
        <v>153</v>
      </c>
      <c r="C2642">
        <f t="shared" si="48"/>
        <v>2012</v>
      </c>
    </row>
    <row r="2643" spans="1:3" x14ac:dyDescent="0.35">
      <c r="A2643" s="7">
        <v>41191</v>
      </c>
      <c r="B2643" s="43">
        <v>149</v>
      </c>
      <c r="C2643">
        <f t="shared" si="48"/>
        <v>2012</v>
      </c>
    </row>
    <row r="2644" spans="1:3" x14ac:dyDescent="0.35">
      <c r="A2644" s="7">
        <v>41190</v>
      </c>
      <c r="B2644" s="43">
        <v>146</v>
      </c>
      <c r="C2644">
        <f t="shared" si="48"/>
        <v>2012</v>
      </c>
    </row>
    <row r="2645" spans="1:3" x14ac:dyDescent="0.35">
      <c r="A2645" s="7">
        <v>41187</v>
      </c>
      <c r="B2645" s="43">
        <v>146</v>
      </c>
      <c r="C2645">
        <f t="shared" si="48"/>
        <v>2012</v>
      </c>
    </row>
    <row r="2646" spans="1:3" x14ac:dyDescent="0.35">
      <c r="A2646" s="7">
        <v>41186</v>
      </c>
      <c r="B2646" s="43">
        <v>153</v>
      </c>
      <c r="C2646">
        <f t="shared" si="48"/>
        <v>2012</v>
      </c>
    </row>
    <row r="2647" spans="1:3" x14ac:dyDescent="0.35">
      <c r="A2647" s="7">
        <v>41185</v>
      </c>
      <c r="B2647" s="43">
        <v>157</v>
      </c>
      <c r="C2647">
        <f t="shared" si="48"/>
        <v>2012</v>
      </c>
    </row>
    <row r="2648" spans="1:3" x14ac:dyDescent="0.35">
      <c r="A2648" s="7">
        <v>41184</v>
      </c>
      <c r="B2648" s="43">
        <v>159</v>
      </c>
      <c r="C2648">
        <f t="shared" si="48"/>
        <v>2012</v>
      </c>
    </row>
    <row r="2649" spans="1:3" x14ac:dyDescent="0.35">
      <c r="A2649" s="7">
        <v>41183</v>
      </c>
      <c r="B2649" s="43">
        <v>162</v>
      </c>
      <c r="C2649">
        <f t="shared" si="48"/>
        <v>2012</v>
      </c>
    </row>
    <row r="2650" spans="1:3" x14ac:dyDescent="0.35">
      <c r="A2650" s="7">
        <v>41180</v>
      </c>
      <c r="B2650" s="43">
        <v>166</v>
      </c>
      <c r="C2650">
        <f t="shared" si="48"/>
        <v>2012</v>
      </c>
    </row>
    <row r="2651" spans="1:3" x14ac:dyDescent="0.35">
      <c r="A2651" s="7">
        <v>41179</v>
      </c>
      <c r="B2651" s="43">
        <v>166</v>
      </c>
      <c r="C2651">
        <f t="shared" si="48"/>
        <v>2012</v>
      </c>
    </row>
    <row r="2652" spans="1:3" x14ac:dyDescent="0.35">
      <c r="A2652" s="7">
        <v>41178</v>
      </c>
      <c r="B2652" s="43">
        <v>168</v>
      </c>
      <c r="C2652">
        <f t="shared" si="48"/>
        <v>2012</v>
      </c>
    </row>
    <row r="2653" spans="1:3" x14ac:dyDescent="0.35">
      <c r="A2653" s="7">
        <v>41177</v>
      </c>
      <c r="B2653" s="43">
        <v>164</v>
      </c>
      <c r="C2653">
        <f t="shared" si="48"/>
        <v>2012</v>
      </c>
    </row>
    <row r="2654" spans="1:3" x14ac:dyDescent="0.35">
      <c r="A2654" s="7">
        <v>41176</v>
      </c>
      <c r="B2654" s="43">
        <v>157</v>
      </c>
      <c r="C2654">
        <f t="shared" si="48"/>
        <v>2012</v>
      </c>
    </row>
    <row r="2655" spans="1:3" x14ac:dyDescent="0.35">
      <c r="A2655" s="7">
        <v>41173</v>
      </c>
      <c r="B2655" s="43">
        <v>154</v>
      </c>
      <c r="C2655">
        <f t="shared" si="48"/>
        <v>2012</v>
      </c>
    </row>
    <row r="2656" spans="1:3" x14ac:dyDescent="0.35">
      <c r="A2656" s="7">
        <v>41172</v>
      </c>
      <c r="B2656" s="43">
        <v>156</v>
      </c>
      <c r="C2656">
        <f t="shared" si="48"/>
        <v>2012</v>
      </c>
    </row>
    <row r="2657" spans="1:3" x14ac:dyDescent="0.35">
      <c r="A2657" s="7">
        <v>41171</v>
      </c>
      <c r="B2657" s="43">
        <v>156</v>
      </c>
      <c r="C2657">
        <f t="shared" si="48"/>
        <v>2012</v>
      </c>
    </row>
    <row r="2658" spans="1:3" x14ac:dyDescent="0.35">
      <c r="A2658" s="7">
        <v>41170</v>
      </c>
      <c r="B2658" s="43">
        <v>155</v>
      </c>
      <c r="C2658">
        <f t="shared" si="48"/>
        <v>2012</v>
      </c>
    </row>
    <row r="2659" spans="1:3" x14ac:dyDescent="0.35">
      <c r="A2659" s="7">
        <v>41169</v>
      </c>
      <c r="B2659" s="43">
        <v>153</v>
      </c>
      <c r="C2659">
        <f t="shared" si="48"/>
        <v>2012</v>
      </c>
    </row>
    <row r="2660" spans="1:3" x14ac:dyDescent="0.35">
      <c r="A2660" s="7">
        <v>41166</v>
      </c>
      <c r="B2660" s="43">
        <v>149</v>
      </c>
      <c r="C2660">
        <f t="shared" si="48"/>
        <v>2012</v>
      </c>
    </row>
    <row r="2661" spans="1:3" x14ac:dyDescent="0.35">
      <c r="A2661" s="7">
        <v>41165</v>
      </c>
      <c r="B2661" s="43">
        <v>157</v>
      </c>
      <c r="C2661">
        <f t="shared" si="48"/>
        <v>2012</v>
      </c>
    </row>
    <row r="2662" spans="1:3" x14ac:dyDescent="0.35">
      <c r="A2662" s="7">
        <v>41164</v>
      </c>
      <c r="B2662" s="43">
        <v>157</v>
      </c>
      <c r="C2662">
        <f t="shared" si="48"/>
        <v>2012</v>
      </c>
    </row>
    <row r="2663" spans="1:3" x14ac:dyDescent="0.35">
      <c r="A2663" s="7">
        <v>41163</v>
      </c>
      <c r="B2663" s="43">
        <v>163</v>
      </c>
      <c r="C2663">
        <f t="shared" si="48"/>
        <v>2012</v>
      </c>
    </row>
    <row r="2664" spans="1:3" x14ac:dyDescent="0.35">
      <c r="A2664" s="7">
        <v>41162</v>
      </c>
      <c r="B2664" s="43">
        <v>165</v>
      </c>
      <c r="C2664">
        <f t="shared" si="48"/>
        <v>2012</v>
      </c>
    </row>
    <row r="2665" spans="1:3" x14ac:dyDescent="0.35">
      <c r="A2665" s="7">
        <v>41159</v>
      </c>
      <c r="B2665" s="43">
        <v>166</v>
      </c>
      <c r="C2665">
        <f t="shared" si="48"/>
        <v>2012</v>
      </c>
    </row>
    <row r="2666" spans="1:3" x14ac:dyDescent="0.35">
      <c r="A2666" s="7">
        <v>41158</v>
      </c>
      <c r="B2666" s="43">
        <v>165</v>
      </c>
      <c r="C2666">
        <f t="shared" si="48"/>
        <v>2012</v>
      </c>
    </row>
    <row r="2667" spans="1:3" x14ac:dyDescent="0.35">
      <c r="A2667" s="7">
        <v>41157</v>
      </c>
      <c r="B2667" s="43">
        <v>176</v>
      </c>
      <c r="C2667">
        <f t="shared" si="48"/>
        <v>2012</v>
      </c>
    </row>
    <row r="2668" spans="1:3" x14ac:dyDescent="0.35">
      <c r="A2668" s="7">
        <v>41156</v>
      </c>
      <c r="B2668" s="43">
        <v>176</v>
      </c>
      <c r="C2668">
        <f t="shared" si="48"/>
        <v>2012</v>
      </c>
    </row>
    <row r="2669" spans="1:3" x14ac:dyDescent="0.35">
      <c r="A2669" s="7">
        <v>41155</v>
      </c>
      <c r="B2669" s="43">
        <v>181</v>
      </c>
      <c r="C2669">
        <f t="shared" si="48"/>
        <v>2012</v>
      </c>
    </row>
    <row r="2670" spans="1:3" x14ac:dyDescent="0.35">
      <c r="A2670" s="7">
        <v>41152</v>
      </c>
      <c r="B2670" s="43">
        <v>181</v>
      </c>
      <c r="C2670">
        <f t="shared" si="48"/>
        <v>2012</v>
      </c>
    </row>
    <row r="2671" spans="1:3" x14ac:dyDescent="0.35">
      <c r="A2671" s="7">
        <v>41151</v>
      </c>
      <c r="B2671" s="43">
        <v>175</v>
      </c>
      <c r="C2671">
        <f t="shared" si="48"/>
        <v>2012</v>
      </c>
    </row>
    <row r="2672" spans="1:3" x14ac:dyDescent="0.35">
      <c r="A2672" s="7">
        <v>41150</v>
      </c>
      <c r="B2672" s="43">
        <v>173</v>
      </c>
      <c r="C2672">
        <f t="shared" si="48"/>
        <v>2012</v>
      </c>
    </row>
    <row r="2673" spans="1:3" x14ac:dyDescent="0.35">
      <c r="A2673" s="7">
        <v>41149</v>
      </c>
      <c r="B2673" s="43">
        <v>173</v>
      </c>
      <c r="C2673">
        <f t="shared" si="48"/>
        <v>2012</v>
      </c>
    </row>
    <row r="2674" spans="1:3" x14ac:dyDescent="0.35">
      <c r="A2674" s="7">
        <v>41148</v>
      </c>
      <c r="B2674" s="43">
        <v>177</v>
      </c>
      <c r="C2674">
        <f t="shared" si="48"/>
        <v>2012</v>
      </c>
    </row>
    <row r="2675" spans="1:3" x14ac:dyDescent="0.35">
      <c r="A2675" s="7">
        <v>41145</v>
      </c>
      <c r="B2675" s="43">
        <v>174</v>
      </c>
      <c r="C2675">
        <f t="shared" si="48"/>
        <v>2012</v>
      </c>
    </row>
    <row r="2676" spans="1:3" x14ac:dyDescent="0.35">
      <c r="A2676" s="7">
        <v>41144</v>
      </c>
      <c r="B2676" s="43">
        <v>172</v>
      </c>
      <c r="C2676">
        <f t="shared" si="48"/>
        <v>2012</v>
      </c>
    </row>
    <row r="2677" spans="1:3" x14ac:dyDescent="0.35">
      <c r="A2677" s="7">
        <v>41143</v>
      </c>
      <c r="B2677" s="43">
        <v>169</v>
      </c>
      <c r="C2677">
        <f t="shared" si="48"/>
        <v>2012</v>
      </c>
    </row>
    <row r="2678" spans="1:3" x14ac:dyDescent="0.35">
      <c r="A2678" s="7">
        <v>41142</v>
      </c>
      <c r="B2678" s="43">
        <v>167</v>
      </c>
      <c r="C2678">
        <f t="shared" si="48"/>
        <v>2012</v>
      </c>
    </row>
    <row r="2679" spans="1:3" x14ac:dyDescent="0.35">
      <c r="A2679" s="7">
        <v>41141</v>
      </c>
      <c r="B2679" s="43">
        <v>168</v>
      </c>
      <c r="C2679">
        <f t="shared" si="48"/>
        <v>2012</v>
      </c>
    </row>
    <row r="2680" spans="1:3" x14ac:dyDescent="0.35">
      <c r="A2680" s="7">
        <v>41138</v>
      </c>
      <c r="B2680" s="43">
        <v>167</v>
      </c>
      <c r="C2680">
        <f t="shared" si="48"/>
        <v>2012</v>
      </c>
    </row>
    <row r="2681" spans="1:3" x14ac:dyDescent="0.35">
      <c r="A2681" s="7">
        <v>41137</v>
      </c>
      <c r="B2681" s="43">
        <v>166</v>
      </c>
      <c r="C2681">
        <f t="shared" si="48"/>
        <v>2012</v>
      </c>
    </row>
    <row r="2682" spans="1:3" x14ac:dyDescent="0.35">
      <c r="A2682" s="7">
        <v>41136</v>
      </c>
      <c r="B2682" s="43">
        <v>163</v>
      </c>
      <c r="C2682">
        <f t="shared" si="48"/>
        <v>2012</v>
      </c>
    </row>
    <row r="2683" spans="1:3" x14ac:dyDescent="0.35">
      <c r="A2683" s="7">
        <v>41135</v>
      </c>
      <c r="B2683" s="43">
        <v>166</v>
      </c>
      <c r="C2683">
        <f t="shared" si="48"/>
        <v>2012</v>
      </c>
    </row>
    <row r="2684" spans="1:3" x14ac:dyDescent="0.35">
      <c r="A2684" s="7">
        <v>41134</v>
      </c>
      <c r="B2684" s="43">
        <v>169</v>
      </c>
      <c r="C2684">
        <f t="shared" si="48"/>
        <v>2012</v>
      </c>
    </row>
    <row r="2685" spans="1:3" x14ac:dyDescent="0.35">
      <c r="A2685" s="7">
        <v>41131</v>
      </c>
      <c r="B2685" s="43">
        <v>169</v>
      </c>
      <c r="C2685">
        <f t="shared" si="48"/>
        <v>2012</v>
      </c>
    </row>
    <row r="2686" spans="1:3" x14ac:dyDescent="0.35">
      <c r="A2686" s="7">
        <v>41130</v>
      </c>
      <c r="B2686" s="43">
        <v>165</v>
      </c>
      <c r="C2686">
        <f t="shared" si="48"/>
        <v>2012</v>
      </c>
    </row>
    <row r="2687" spans="1:3" x14ac:dyDescent="0.35">
      <c r="A2687" s="7">
        <v>41129</v>
      </c>
      <c r="B2687" s="43">
        <v>164</v>
      </c>
      <c r="C2687">
        <f t="shared" si="48"/>
        <v>2012</v>
      </c>
    </row>
    <row r="2688" spans="1:3" x14ac:dyDescent="0.35">
      <c r="A2688" s="7">
        <v>41128</v>
      </c>
      <c r="B2688" s="43">
        <v>169</v>
      </c>
      <c r="C2688">
        <f t="shared" si="48"/>
        <v>2012</v>
      </c>
    </row>
    <row r="2689" spans="1:3" x14ac:dyDescent="0.35">
      <c r="A2689" s="7">
        <v>41127</v>
      </c>
      <c r="B2689" s="43">
        <v>173</v>
      </c>
      <c r="C2689">
        <f t="shared" si="48"/>
        <v>2012</v>
      </c>
    </row>
    <row r="2690" spans="1:3" x14ac:dyDescent="0.35">
      <c r="A2690" s="7">
        <v>41124</v>
      </c>
      <c r="B2690" s="43">
        <v>174</v>
      </c>
      <c r="C2690">
        <f t="shared" si="48"/>
        <v>2012</v>
      </c>
    </row>
    <row r="2691" spans="1:3" x14ac:dyDescent="0.35">
      <c r="A2691" s="7">
        <v>41123</v>
      </c>
      <c r="B2691" s="43">
        <v>182</v>
      </c>
      <c r="C2691">
        <f t="shared" ref="C2691:C2754" si="49">YEAR(A2691)</f>
        <v>2012</v>
      </c>
    </row>
    <row r="2692" spans="1:3" x14ac:dyDescent="0.35">
      <c r="A2692" s="7">
        <v>41122</v>
      </c>
      <c r="B2692" s="43">
        <v>175</v>
      </c>
      <c r="C2692">
        <f t="shared" si="49"/>
        <v>2012</v>
      </c>
    </row>
    <row r="2693" spans="1:3" x14ac:dyDescent="0.35">
      <c r="A2693" s="7">
        <v>41121</v>
      </c>
      <c r="B2693" s="43">
        <v>183</v>
      </c>
      <c r="C2693">
        <f t="shared" si="49"/>
        <v>2012</v>
      </c>
    </row>
    <row r="2694" spans="1:3" x14ac:dyDescent="0.35">
      <c r="A2694" s="7">
        <v>41120</v>
      </c>
      <c r="B2694" s="43">
        <v>182</v>
      </c>
      <c r="C2694">
        <f t="shared" si="49"/>
        <v>2012</v>
      </c>
    </row>
    <row r="2695" spans="1:3" x14ac:dyDescent="0.35">
      <c r="A2695" s="7">
        <v>41117</v>
      </c>
      <c r="B2695" s="43">
        <v>190</v>
      </c>
      <c r="C2695">
        <f t="shared" si="49"/>
        <v>2012</v>
      </c>
    </row>
    <row r="2696" spans="1:3" x14ac:dyDescent="0.35">
      <c r="A2696" s="7">
        <v>41116</v>
      </c>
      <c r="B2696" s="43">
        <v>207</v>
      </c>
      <c r="C2696">
        <f t="shared" si="49"/>
        <v>2012</v>
      </c>
    </row>
    <row r="2697" spans="1:3" x14ac:dyDescent="0.35">
      <c r="A2697" s="7">
        <v>41115</v>
      </c>
      <c r="B2697" s="43">
        <v>210</v>
      </c>
      <c r="C2697">
        <f t="shared" si="49"/>
        <v>2012</v>
      </c>
    </row>
    <row r="2698" spans="1:3" x14ac:dyDescent="0.35">
      <c r="A2698" s="7">
        <v>41114</v>
      </c>
      <c r="B2698" s="43">
        <v>211</v>
      </c>
      <c r="C2698">
        <f t="shared" si="49"/>
        <v>2012</v>
      </c>
    </row>
    <row r="2699" spans="1:3" x14ac:dyDescent="0.35">
      <c r="A2699" s="7">
        <v>41113</v>
      </c>
      <c r="B2699" s="43">
        <v>205</v>
      </c>
      <c r="C2699">
        <f t="shared" si="49"/>
        <v>2012</v>
      </c>
    </row>
    <row r="2700" spans="1:3" x14ac:dyDescent="0.35">
      <c r="A2700" s="7">
        <v>41110</v>
      </c>
      <c r="B2700" s="43">
        <v>198</v>
      </c>
      <c r="C2700">
        <f t="shared" si="49"/>
        <v>2012</v>
      </c>
    </row>
    <row r="2701" spans="1:3" x14ac:dyDescent="0.35">
      <c r="A2701" s="7">
        <v>41109</v>
      </c>
      <c r="B2701" s="43">
        <v>197</v>
      </c>
      <c r="C2701">
        <f t="shared" si="49"/>
        <v>2012</v>
      </c>
    </row>
    <row r="2702" spans="1:3" x14ac:dyDescent="0.35">
      <c r="A2702" s="7">
        <v>41108</v>
      </c>
      <c r="B2702" s="43">
        <v>199</v>
      </c>
      <c r="C2702">
        <f t="shared" si="49"/>
        <v>2012</v>
      </c>
    </row>
    <row r="2703" spans="1:3" x14ac:dyDescent="0.35">
      <c r="A2703" s="7">
        <v>41107</v>
      </c>
      <c r="B2703" s="43">
        <v>195</v>
      </c>
      <c r="C2703">
        <f t="shared" si="49"/>
        <v>2012</v>
      </c>
    </row>
    <row r="2704" spans="1:3" x14ac:dyDescent="0.35">
      <c r="A2704" s="7">
        <v>41106</v>
      </c>
      <c r="B2704" s="43">
        <v>200</v>
      </c>
      <c r="C2704">
        <f t="shared" si="49"/>
        <v>2012</v>
      </c>
    </row>
    <row r="2705" spans="1:3" x14ac:dyDescent="0.35">
      <c r="A2705" s="7">
        <v>41103</v>
      </c>
      <c r="B2705" s="43">
        <v>203</v>
      </c>
      <c r="C2705">
        <f t="shared" si="49"/>
        <v>2012</v>
      </c>
    </row>
    <row r="2706" spans="1:3" x14ac:dyDescent="0.35">
      <c r="A2706" s="7">
        <v>41102</v>
      </c>
      <c r="B2706" s="43">
        <v>206</v>
      </c>
      <c r="C2706">
        <f t="shared" si="49"/>
        <v>2012</v>
      </c>
    </row>
    <row r="2707" spans="1:3" x14ac:dyDescent="0.35">
      <c r="A2707" s="7">
        <v>41101</v>
      </c>
      <c r="B2707" s="43">
        <v>208</v>
      </c>
      <c r="C2707">
        <f t="shared" si="49"/>
        <v>2012</v>
      </c>
    </row>
    <row r="2708" spans="1:3" x14ac:dyDescent="0.35">
      <c r="A2708" s="7">
        <v>41100</v>
      </c>
      <c r="B2708" s="43">
        <v>211</v>
      </c>
      <c r="C2708">
        <f t="shared" si="49"/>
        <v>2012</v>
      </c>
    </row>
    <row r="2709" spans="1:3" x14ac:dyDescent="0.35">
      <c r="A2709" s="7">
        <v>41099</v>
      </c>
      <c r="B2709" s="43">
        <v>208</v>
      </c>
      <c r="C2709">
        <f t="shared" si="49"/>
        <v>2012</v>
      </c>
    </row>
    <row r="2710" spans="1:3" x14ac:dyDescent="0.35">
      <c r="A2710" s="7">
        <v>41096</v>
      </c>
      <c r="B2710" s="43">
        <v>208</v>
      </c>
      <c r="C2710">
        <f t="shared" si="49"/>
        <v>2012</v>
      </c>
    </row>
    <row r="2711" spans="1:3" x14ac:dyDescent="0.35">
      <c r="A2711" s="7">
        <v>41095</v>
      </c>
      <c r="B2711" s="43">
        <v>205</v>
      </c>
      <c r="C2711">
        <f t="shared" si="49"/>
        <v>2012</v>
      </c>
    </row>
    <row r="2712" spans="1:3" x14ac:dyDescent="0.35">
      <c r="A2712" s="7">
        <v>41094</v>
      </c>
      <c r="B2712" s="43">
        <v>205</v>
      </c>
      <c r="C2712">
        <f t="shared" si="49"/>
        <v>2012</v>
      </c>
    </row>
    <row r="2713" spans="1:3" x14ac:dyDescent="0.35">
      <c r="A2713" s="7">
        <v>41093</v>
      </c>
      <c r="B2713" s="43">
        <v>205</v>
      </c>
      <c r="C2713">
        <f t="shared" si="49"/>
        <v>2012</v>
      </c>
    </row>
    <row r="2714" spans="1:3" x14ac:dyDescent="0.35">
      <c r="A2714" s="7">
        <v>41092</v>
      </c>
      <c r="B2714" s="43">
        <v>213</v>
      </c>
      <c r="C2714">
        <f t="shared" si="49"/>
        <v>2012</v>
      </c>
    </row>
    <row r="2715" spans="1:3" x14ac:dyDescent="0.35">
      <c r="A2715" s="7">
        <v>41089</v>
      </c>
      <c r="B2715" s="43">
        <v>208</v>
      </c>
      <c r="C2715">
        <f t="shared" si="49"/>
        <v>2012</v>
      </c>
    </row>
    <row r="2716" spans="1:3" x14ac:dyDescent="0.35">
      <c r="A2716" s="7">
        <v>41088</v>
      </c>
      <c r="B2716" s="43">
        <v>219</v>
      </c>
      <c r="C2716">
        <f t="shared" si="49"/>
        <v>2012</v>
      </c>
    </row>
    <row r="2717" spans="1:3" x14ac:dyDescent="0.35">
      <c r="A2717" s="7">
        <v>41087</v>
      </c>
      <c r="B2717" s="43">
        <v>213</v>
      </c>
      <c r="C2717">
        <f t="shared" si="49"/>
        <v>2012</v>
      </c>
    </row>
    <row r="2718" spans="1:3" x14ac:dyDescent="0.35">
      <c r="A2718" s="7">
        <v>41086</v>
      </c>
      <c r="B2718" s="43">
        <v>213</v>
      </c>
      <c r="C2718">
        <f t="shared" si="49"/>
        <v>2012</v>
      </c>
    </row>
    <row r="2719" spans="1:3" x14ac:dyDescent="0.35">
      <c r="A2719" s="7">
        <v>41085</v>
      </c>
      <c r="B2719" s="43">
        <v>214</v>
      </c>
      <c r="C2719">
        <f t="shared" si="49"/>
        <v>2012</v>
      </c>
    </row>
    <row r="2720" spans="1:3" x14ac:dyDescent="0.35">
      <c r="A2720" s="7">
        <v>41082</v>
      </c>
      <c r="B2720" s="43">
        <v>208</v>
      </c>
      <c r="C2720">
        <f t="shared" si="49"/>
        <v>2012</v>
      </c>
    </row>
    <row r="2721" spans="1:3" x14ac:dyDescent="0.35">
      <c r="A2721" s="7">
        <v>41081</v>
      </c>
      <c r="B2721" s="43">
        <v>212</v>
      </c>
      <c r="C2721">
        <f t="shared" si="49"/>
        <v>2012</v>
      </c>
    </row>
    <row r="2722" spans="1:3" x14ac:dyDescent="0.35">
      <c r="A2722" s="7">
        <v>41080</v>
      </c>
      <c r="B2722" s="43">
        <v>211</v>
      </c>
      <c r="C2722">
        <f t="shared" si="49"/>
        <v>2012</v>
      </c>
    </row>
    <row r="2723" spans="1:3" x14ac:dyDescent="0.35">
      <c r="A2723" s="7">
        <v>41079</v>
      </c>
      <c r="B2723" s="43">
        <v>211</v>
      </c>
      <c r="C2723">
        <f t="shared" si="49"/>
        <v>2012</v>
      </c>
    </row>
    <row r="2724" spans="1:3" x14ac:dyDescent="0.35">
      <c r="A2724" s="7">
        <v>41078</v>
      </c>
      <c r="B2724" s="43">
        <v>211</v>
      </c>
      <c r="C2724">
        <f t="shared" si="49"/>
        <v>2012</v>
      </c>
    </row>
    <row r="2725" spans="1:3" x14ac:dyDescent="0.35">
      <c r="A2725" s="7">
        <v>41075</v>
      </c>
      <c r="B2725" s="43">
        <v>203</v>
      </c>
      <c r="C2725">
        <f t="shared" si="49"/>
        <v>2012</v>
      </c>
    </row>
    <row r="2726" spans="1:3" x14ac:dyDescent="0.35">
      <c r="A2726" s="7">
        <v>41074</v>
      </c>
      <c r="B2726" s="43">
        <v>213</v>
      </c>
      <c r="C2726">
        <f t="shared" si="49"/>
        <v>2012</v>
      </c>
    </row>
    <row r="2727" spans="1:3" x14ac:dyDescent="0.35">
      <c r="A2727" s="7">
        <v>41073</v>
      </c>
      <c r="B2727" s="43">
        <v>214</v>
      </c>
      <c r="C2727">
        <f t="shared" si="49"/>
        <v>2012</v>
      </c>
    </row>
    <row r="2728" spans="1:3" x14ac:dyDescent="0.35">
      <c r="A2728" s="7">
        <v>41072</v>
      </c>
      <c r="B2728" s="43">
        <v>216</v>
      </c>
      <c r="C2728">
        <f t="shared" si="49"/>
        <v>2012</v>
      </c>
    </row>
    <row r="2729" spans="1:3" x14ac:dyDescent="0.35">
      <c r="A2729" s="7">
        <v>41071</v>
      </c>
      <c r="B2729" s="43">
        <v>226</v>
      </c>
      <c r="C2729">
        <f t="shared" si="49"/>
        <v>2012</v>
      </c>
    </row>
    <row r="2730" spans="1:3" x14ac:dyDescent="0.35">
      <c r="A2730" s="7">
        <v>41068</v>
      </c>
      <c r="B2730" s="43">
        <v>222</v>
      </c>
      <c r="C2730">
        <f t="shared" si="49"/>
        <v>2012</v>
      </c>
    </row>
    <row r="2731" spans="1:3" x14ac:dyDescent="0.35">
      <c r="A2731" s="7">
        <v>41067</v>
      </c>
      <c r="B2731" s="43">
        <v>222</v>
      </c>
      <c r="C2731">
        <f t="shared" si="49"/>
        <v>2012</v>
      </c>
    </row>
    <row r="2732" spans="1:3" x14ac:dyDescent="0.35">
      <c r="A2732" s="7">
        <v>41066</v>
      </c>
      <c r="B2732" s="43">
        <v>221</v>
      </c>
      <c r="C2732">
        <f t="shared" si="49"/>
        <v>2012</v>
      </c>
    </row>
    <row r="2733" spans="1:3" x14ac:dyDescent="0.35">
      <c r="A2733" s="7">
        <v>41065</v>
      </c>
      <c r="B2733" s="43">
        <v>234</v>
      </c>
      <c r="C2733">
        <f t="shared" si="49"/>
        <v>2012</v>
      </c>
    </row>
    <row r="2734" spans="1:3" x14ac:dyDescent="0.35">
      <c r="A2734" s="7">
        <v>41064</v>
      </c>
      <c r="B2734" s="43">
        <v>244</v>
      </c>
      <c r="C2734">
        <f t="shared" si="49"/>
        <v>2012</v>
      </c>
    </row>
    <row r="2735" spans="1:3" x14ac:dyDescent="0.35">
      <c r="A2735" s="7">
        <v>41061</v>
      </c>
      <c r="B2735" s="43">
        <v>251</v>
      </c>
      <c r="C2735">
        <f t="shared" si="49"/>
        <v>2012</v>
      </c>
    </row>
    <row r="2736" spans="1:3" x14ac:dyDescent="0.35">
      <c r="A2736" s="7">
        <v>41060</v>
      </c>
      <c r="B2736" s="43">
        <v>244</v>
      </c>
      <c r="C2736">
        <f t="shared" si="49"/>
        <v>2012</v>
      </c>
    </row>
    <row r="2737" spans="1:3" x14ac:dyDescent="0.35">
      <c r="A2737" s="7">
        <v>41059</v>
      </c>
      <c r="B2737" s="43">
        <v>237</v>
      </c>
      <c r="C2737">
        <f t="shared" si="49"/>
        <v>2012</v>
      </c>
    </row>
    <row r="2738" spans="1:3" x14ac:dyDescent="0.35">
      <c r="A2738" s="7">
        <v>41058</v>
      </c>
      <c r="B2738" s="43">
        <v>229</v>
      </c>
      <c r="C2738">
        <f t="shared" si="49"/>
        <v>2012</v>
      </c>
    </row>
    <row r="2739" spans="1:3" x14ac:dyDescent="0.35">
      <c r="A2739" s="7">
        <v>41057</v>
      </c>
      <c r="B2739" s="43">
        <v>229</v>
      </c>
      <c r="C2739">
        <f t="shared" si="49"/>
        <v>2012</v>
      </c>
    </row>
    <row r="2740" spans="1:3" x14ac:dyDescent="0.35">
      <c r="A2740" s="7">
        <v>41054</v>
      </c>
      <c r="B2740" s="43">
        <v>229</v>
      </c>
      <c r="C2740">
        <f t="shared" si="49"/>
        <v>2012</v>
      </c>
    </row>
    <row r="2741" spans="1:3" x14ac:dyDescent="0.35">
      <c r="A2741" s="7">
        <v>41053</v>
      </c>
      <c r="B2741" s="43">
        <v>229</v>
      </c>
      <c r="C2741">
        <f t="shared" si="49"/>
        <v>2012</v>
      </c>
    </row>
    <row r="2742" spans="1:3" x14ac:dyDescent="0.35">
      <c r="A2742" s="7">
        <v>41052</v>
      </c>
      <c r="B2742" s="43">
        <v>234</v>
      </c>
      <c r="C2742">
        <f t="shared" si="49"/>
        <v>2012</v>
      </c>
    </row>
    <row r="2743" spans="1:3" x14ac:dyDescent="0.35">
      <c r="A2743" s="7">
        <v>41051</v>
      </c>
      <c r="B2743" s="43">
        <v>223</v>
      </c>
      <c r="C2743">
        <f t="shared" si="49"/>
        <v>2012</v>
      </c>
    </row>
    <row r="2744" spans="1:3" x14ac:dyDescent="0.35">
      <c r="A2744" s="7">
        <v>41050</v>
      </c>
      <c r="B2744" s="43">
        <v>226</v>
      </c>
      <c r="C2744">
        <f t="shared" si="49"/>
        <v>2012</v>
      </c>
    </row>
    <row r="2745" spans="1:3" x14ac:dyDescent="0.35">
      <c r="A2745" s="7">
        <v>41047</v>
      </c>
      <c r="B2745" s="43">
        <v>228</v>
      </c>
      <c r="C2745">
        <f t="shared" si="49"/>
        <v>2012</v>
      </c>
    </row>
    <row r="2746" spans="1:3" x14ac:dyDescent="0.35">
      <c r="A2746" s="7">
        <v>41046</v>
      </c>
      <c r="B2746" s="43">
        <v>227</v>
      </c>
      <c r="C2746">
        <f t="shared" si="49"/>
        <v>2012</v>
      </c>
    </row>
    <row r="2747" spans="1:3" x14ac:dyDescent="0.35">
      <c r="A2747" s="7">
        <v>41045</v>
      </c>
      <c r="B2747" s="43">
        <v>216</v>
      </c>
      <c r="C2747">
        <f t="shared" si="49"/>
        <v>2012</v>
      </c>
    </row>
    <row r="2748" spans="1:3" x14ac:dyDescent="0.35">
      <c r="A2748" s="7">
        <v>41044</v>
      </c>
      <c r="B2748" s="43">
        <v>212</v>
      </c>
      <c r="C2748">
        <f t="shared" si="49"/>
        <v>2012</v>
      </c>
    </row>
    <row r="2749" spans="1:3" x14ac:dyDescent="0.35">
      <c r="A2749" s="7">
        <v>41043</v>
      </c>
      <c r="B2749" s="43">
        <v>208</v>
      </c>
      <c r="C2749">
        <f t="shared" si="49"/>
        <v>2012</v>
      </c>
    </row>
    <row r="2750" spans="1:3" x14ac:dyDescent="0.35">
      <c r="A2750" s="7">
        <v>41040</v>
      </c>
      <c r="B2750" s="43">
        <v>201</v>
      </c>
      <c r="C2750">
        <f t="shared" si="49"/>
        <v>2012</v>
      </c>
    </row>
    <row r="2751" spans="1:3" x14ac:dyDescent="0.35">
      <c r="A2751" s="7">
        <v>41039</v>
      </c>
      <c r="B2751" s="43">
        <v>195</v>
      </c>
      <c r="C2751">
        <f t="shared" si="49"/>
        <v>2012</v>
      </c>
    </row>
    <row r="2752" spans="1:3" x14ac:dyDescent="0.35">
      <c r="A2752" s="7">
        <v>41038</v>
      </c>
      <c r="B2752" s="43">
        <v>196</v>
      </c>
      <c r="C2752">
        <f t="shared" si="49"/>
        <v>2012</v>
      </c>
    </row>
    <row r="2753" spans="1:3" x14ac:dyDescent="0.35">
      <c r="A2753" s="7">
        <v>41037</v>
      </c>
      <c r="B2753" s="43">
        <v>193</v>
      </c>
      <c r="C2753">
        <f t="shared" si="49"/>
        <v>2012</v>
      </c>
    </row>
    <row r="2754" spans="1:3" x14ac:dyDescent="0.35">
      <c r="A2754" s="7">
        <v>41036</v>
      </c>
      <c r="B2754" s="43">
        <v>188</v>
      </c>
      <c r="C2754">
        <f t="shared" si="49"/>
        <v>2012</v>
      </c>
    </row>
    <row r="2755" spans="1:3" x14ac:dyDescent="0.35">
      <c r="A2755" s="7">
        <v>41033</v>
      </c>
      <c r="B2755" s="43">
        <v>187</v>
      </c>
      <c r="C2755">
        <f t="shared" ref="C2755:C2818" si="50">YEAR(A2755)</f>
        <v>2012</v>
      </c>
    </row>
    <row r="2756" spans="1:3" x14ac:dyDescent="0.35">
      <c r="A2756" s="7">
        <v>41032</v>
      </c>
      <c r="B2756" s="43">
        <v>182</v>
      </c>
      <c r="C2756">
        <f t="shared" si="50"/>
        <v>2012</v>
      </c>
    </row>
    <row r="2757" spans="1:3" x14ac:dyDescent="0.35">
      <c r="A2757" s="7">
        <v>41031</v>
      </c>
      <c r="B2757" s="43">
        <v>183</v>
      </c>
      <c r="C2757">
        <f t="shared" si="50"/>
        <v>2012</v>
      </c>
    </row>
    <row r="2758" spans="1:3" x14ac:dyDescent="0.35">
      <c r="A2758" s="7">
        <v>41030</v>
      </c>
      <c r="B2758" s="43">
        <v>184</v>
      </c>
      <c r="C2758">
        <f t="shared" si="50"/>
        <v>2012</v>
      </c>
    </row>
    <row r="2759" spans="1:3" x14ac:dyDescent="0.35">
      <c r="A2759" s="7">
        <v>41029</v>
      </c>
      <c r="B2759" s="43">
        <v>188</v>
      </c>
      <c r="C2759">
        <f t="shared" si="50"/>
        <v>2012</v>
      </c>
    </row>
    <row r="2760" spans="1:3" x14ac:dyDescent="0.35">
      <c r="A2760" s="7">
        <v>41026</v>
      </c>
      <c r="B2760" s="43">
        <v>188</v>
      </c>
      <c r="C2760">
        <f t="shared" si="50"/>
        <v>2012</v>
      </c>
    </row>
    <row r="2761" spans="1:3" x14ac:dyDescent="0.35">
      <c r="A2761" s="7">
        <v>41025</v>
      </c>
      <c r="B2761" s="43">
        <v>186</v>
      </c>
      <c r="C2761">
        <f t="shared" si="50"/>
        <v>2012</v>
      </c>
    </row>
    <row r="2762" spans="1:3" x14ac:dyDescent="0.35">
      <c r="A2762" s="7">
        <v>41024</v>
      </c>
      <c r="B2762" s="43">
        <v>185</v>
      </c>
      <c r="C2762">
        <f t="shared" si="50"/>
        <v>2012</v>
      </c>
    </row>
    <row r="2763" spans="1:3" x14ac:dyDescent="0.35">
      <c r="A2763" s="7">
        <v>41023</v>
      </c>
      <c r="B2763" s="43">
        <v>185</v>
      </c>
      <c r="C2763">
        <f t="shared" si="50"/>
        <v>2012</v>
      </c>
    </row>
    <row r="2764" spans="1:3" x14ac:dyDescent="0.35">
      <c r="A2764" s="7">
        <v>41022</v>
      </c>
      <c r="B2764" s="43">
        <v>188</v>
      </c>
      <c r="C2764">
        <f t="shared" si="50"/>
        <v>2012</v>
      </c>
    </row>
    <row r="2765" spans="1:3" x14ac:dyDescent="0.35">
      <c r="A2765" s="7">
        <v>41019</v>
      </c>
      <c r="B2765" s="43">
        <v>183</v>
      </c>
      <c r="C2765">
        <f t="shared" si="50"/>
        <v>2012</v>
      </c>
    </row>
    <row r="2766" spans="1:3" x14ac:dyDescent="0.35">
      <c r="A2766" s="7">
        <v>41018</v>
      </c>
      <c r="B2766" s="43">
        <v>181</v>
      </c>
      <c r="C2766">
        <f t="shared" si="50"/>
        <v>2012</v>
      </c>
    </row>
    <row r="2767" spans="1:3" x14ac:dyDescent="0.35">
      <c r="A2767" s="7">
        <v>41017</v>
      </c>
      <c r="B2767" s="43">
        <v>184</v>
      </c>
      <c r="C2767">
        <f t="shared" si="50"/>
        <v>2012</v>
      </c>
    </row>
    <row r="2768" spans="1:3" x14ac:dyDescent="0.35">
      <c r="A2768" s="7">
        <v>41016</v>
      </c>
      <c r="B2768" s="43">
        <v>183</v>
      </c>
      <c r="C2768">
        <f t="shared" si="50"/>
        <v>2012</v>
      </c>
    </row>
    <row r="2769" spans="1:3" x14ac:dyDescent="0.35">
      <c r="A2769" s="7">
        <v>41015</v>
      </c>
      <c r="B2769" s="43">
        <v>190</v>
      </c>
      <c r="C2769">
        <f t="shared" si="50"/>
        <v>2012</v>
      </c>
    </row>
    <row r="2770" spans="1:3" x14ac:dyDescent="0.35">
      <c r="A2770" s="7">
        <v>41012</v>
      </c>
      <c r="B2770" s="43">
        <v>188</v>
      </c>
      <c r="C2770">
        <f t="shared" si="50"/>
        <v>2012</v>
      </c>
    </row>
    <row r="2771" spans="1:3" x14ac:dyDescent="0.35">
      <c r="A2771" s="7">
        <v>41011</v>
      </c>
      <c r="B2771" s="43">
        <v>181</v>
      </c>
      <c r="C2771">
        <f t="shared" si="50"/>
        <v>2012</v>
      </c>
    </row>
    <row r="2772" spans="1:3" x14ac:dyDescent="0.35">
      <c r="A2772" s="7">
        <v>41010</v>
      </c>
      <c r="B2772" s="43">
        <v>188</v>
      </c>
      <c r="C2772">
        <f t="shared" si="50"/>
        <v>2012</v>
      </c>
    </row>
    <row r="2773" spans="1:3" x14ac:dyDescent="0.35">
      <c r="A2773" s="7">
        <v>41009</v>
      </c>
      <c r="B2773" s="43">
        <v>194</v>
      </c>
      <c r="C2773">
        <f t="shared" si="50"/>
        <v>2012</v>
      </c>
    </row>
    <row r="2774" spans="1:3" x14ac:dyDescent="0.35">
      <c r="A2774" s="7">
        <v>41008</v>
      </c>
      <c r="B2774" s="43">
        <v>196</v>
      </c>
      <c r="C2774">
        <f t="shared" si="50"/>
        <v>2012</v>
      </c>
    </row>
    <row r="2775" spans="1:3" x14ac:dyDescent="0.35">
      <c r="A2775" s="7">
        <v>41004</v>
      </c>
      <c r="B2775" s="43">
        <v>185</v>
      </c>
      <c r="C2775">
        <f t="shared" si="50"/>
        <v>2012</v>
      </c>
    </row>
    <row r="2776" spans="1:3" x14ac:dyDescent="0.35">
      <c r="A2776" s="7">
        <v>41003</v>
      </c>
      <c r="B2776" s="43">
        <v>178</v>
      </c>
      <c r="C2776">
        <f t="shared" si="50"/>
        <v>2012</v>
      </c>
    </row>
    <row r="2777" spans="1:3" x14ac:dyDescent="0.35">
      <c r="A2777" s="7">
        <v>41002</v>
      </c>
      <c r="B2777" s="43">
        <v>167</v>
      </c>
      <c r="C2777">
        <f t="shared" si="50"/>
        <v>2012</v>
      </c>
    </row>
    <row r="2778" spans="1:3" x14ac:dyDescent="0.35">
      <c r="A2778" s="7">
        <v>41001</v>
      </c>
      <c r="B2778" s="43">
        <v>178</v>
      </c>
      <c r="C2778">
        <f t="shared" si="50"/>
        <v>2012</v>
      </c>
    </row>
    <row r="2779" spans="1:3" x14ac:dyDescent="0.35">
      <c r="A2779" s="7">
        <v>40998</v>
      </c>
      <c r="B2779" s="43">
        <v>177</v>
      </c>
      <c r="C2779">
        <f t="shared" si="50"/>
        <v>2012</v>
      </c>
    </row>
    <row r="2780" spans="1:3" x14ac:dyDescent="0.35">
      <c r="A2780" s="7">
        <v>40997</v>
      </c>
      <c r="B2780" s="43">
        <v>183</v>
      </c>
      <c r="C2780">
        <f t="shared" si="50"/>
        <v>2012</v>
      </c>
    </row>
    <row r="2781" spans="1:3" x14ac:dyDescent="0.35">
      <c r="A2781" s="7">
        <v>40996</v>
      </c>
      <c r="B2781" s="43">
        <v>179</v>
      </c>
      <c r="C2781">
        <f t="shared" si="50"/>
        <v>2012</v>
      </c>
    </row>
    <row r="2782" spans="1:3" x14ac:dyDescent="0.35">
      <c r="A2782" s="7">
        <v>40995</v>
      </c>
      <c r="B2782" s="43">
        <v>177</v>
      </c>
      <c r="C2782">
        <f t="shared" si="50"/>
        <v>2012</v>
      </c>
    </row>
    <row r="2783" spans="1:3" x14ac:dyDescent="0.35">
      <c r="A2783" s="7">
        <v>40994</v>
      </c>
      <c r="B2783" s="43">
        <v>173</v>
      </c>
      <c r="C2783">
        <f t="shared" si="50"/>
        <v>2012</v>
      </c>
    </row>
    <row r="2784" spans="1:3" x14ac:dyDescent="0.35">
      <c r="A2784" s="7">
        <v>40991</v>
      </c>
      <c r="B2784" s="43">
        <v>174</v>
      </c>
      <c r="C2784">
        <f t="shared" si="50"/>
        <v>2012</v>
      </c>
    </row>
    <row r="2785" spans="1:3" x14ac:dyDescent="0.35">
      <c r="A2785" s="7">
        <v>40990</v>
      </c>
      <c r="B2785" s="43">
        <v>171</v>
      </c>
      <c r="C2785">
        <f t="shared" si="50"/>
        <v>2012</v>
      </c>
    </row>
    <row r="2786" spans="1:3" x14ac:dyDescent="0.35">
      <c r="A2786" s="7">
        <v>40989</v>
      </c>
      <c r="B2786" s="43">
        <v>167</v>
      </c>
      <c r="C2786">
        <f t="shared" si="50"/>
        <v>2012</v>
      </c>
    </row>
    <row r="2787" spans="1:3" x14ac:dyDescent="0.35">
      <c r="A2787" s="7">
        <v>40988</v>
      </c>
      <c r="B2787" s="43">
        <v>165</v>
      </c>
      <c r="C2787">
        <f t="shared" si="50"/>
        <v>2012</v>
      </c>
    </row>
    <row r="2788" spans="1:3" x14ac:dyDescent="0.35">
      <c r="A2788" s="7">
        <v>40987</v>
      </c>
      <c r="B2788" s="43">
        <v>166</v>
      </c>
      <c r="C2788">
        <f t="shared" si="50"/>
        <v>2012</v>
      </c>
    </row>
    <row r="2789" spans="1:3" x14ac:dyDescent="0.35">
      <c r="A2789" s="7">
        <v>40984</v>
      </c>
      <c r="B2789" s="43">
        <v>171</v>
      </c>
      <c r="C2789">
        <f t="shared" si="50"/>
        <v>2012</v>
      </c>
    </row>
    <row r="2790" spans="1:3" x14ac:dyDescent="0.35">
      <c r="A2790" s="7">
        <v>40983</v>
      </c>
      <c r="B2790" s="43">
        <v>169</v>
      </c>
      <c r="C2790">
        <f t="shared" si="50"/>
        <v>2012</v>
      </c>
    </row>
    <row r="2791" spans="1:3" x14ac:dyDescent="0.35">
      <c r="A2791" s="7">
        <v>40982</v>
      </c>
      <c r="B2791" s="43">
        <v>166</v>
      </c>
      <c r="C2791">
        <f t="shared" si="50"/>
        <v>2012</v>
      </c>
    </row>
    <row r="2792" spans="1:3" x14ac:dyDescent="0.35">
      <c r="A2792" s="7">
        <v>40981</v>
      </c>
      <c r="B2792" s="43">
        <v>172</v>
      </c>
      <c r="C2792">
        <f t="shared" si="50"/>
        <v>2012</v>
      </c>
    </row>
    <row r="2793" spans="1:3" x14ac:dyDescent="0.35">
      <c r="A2793" s="7">
        <v>40980</v>
      </c>
      <c r="B2793" s="43">
        <v>176</v>
      </c>
      <c r="C2793">
        <f t="shared" si="50"/>
        <v>2012</v>
      </c>
    </row>
    <row r="2794" spans="1:3" x14ac:dyDescent="0.35">
      <c r="A2794" s="7">
        <v>40977</v>
      </c>
      <c r="B2794" s="43">
        <v>182</v>
      </c>
      <c r="C2794">
        <f t="shared" si="50"/>
        <v>2012</v>
      </c>
    </row>
    <row r="2795" spans="1:3" x14ac:dyDescent="0.35">
      <c r="A2795" s="7">
        <v>40976</v>
      </c>
      <c r="B2795" s="43">
        <v>186</v>
      </c>
      <c r="C2795">
        <f t="shared" si="50"/>
        <v>2012</v>
      </c>
    </row>
    <row r="2796" spans="1:3" x14ac:dyDescent="0.35">
      <c r="A2796" s="7">
        <v>40975</v>
      </c>
      <c r="B2796" s="43">
        <v>195</v>
      </c>
      <c r="C2796">
        <f t="shared" si="50"/>
        <v>2012</v>
      </c>
    </row>
    <row r="2797" spans="1:3" x14ac:dyDescent="0.35">
      <c r="A2797" s="7">
        <v>40974</v>
      </c>
      <c r="B2797" s="43">
        <v>200</v>
      </c>
      <c r="C2797">
        <f t="shared" si="50"/>
        <v>2012</v>
      </c>
    </row>
    <row r="2798" spans="1:3" x14ac:dyDescent="0.35">
      <c r="A2798" s="7">
        <v>40973</v>
      </c>
      <c r="B2798" s="43">
        <v>191</v>
      </c>
      <c r="C2798">
        <f t="shared" si="50"/>
        <v>2012</v>
      </c>
    </row>
    <row r="2799" spans="1:3" x14ac:dyDescent="0.35">
      <c r="A2799" s="7">
        <v>40970</v>
      </c>
      <c r="B2799" s="43">
        <v>190</v>
      </c>
      <c r="C2799">
        <f t="shared" si="50"/>
        <v>2012</v>
      </c>
    </row>
    <row r="2800" spans="1:3" x14ac:dyDescent="0.35">
      <c r="A2800" s="7">
        <v>40969</v>
      </c>
      <c r="B2800" s="43">
        <v>193</v>
      </c>
      <c r="C2800">
        <f t="shared" si="50"/>
        <v>2012</v>
      </c>
    </row>
    <row r="2801" spans="1:3" x14ac:dyDescent="0.35">
      <c r="A2801" s="7">
        <v>40968</v>
      </c>
      <c r="B2801" s="43">
        <v>196</v>
      </c>
      <c r="C2801">
        <f t="shared" si="50"/>
        <v>2012</v>
      </c>
    </row>
    <row r="2802" spans="1:3" x14ac:dyDescent="0.35">
      <c r="A2802" s="7">
        <v>40967</v>
      </c>
      <c r="B2802" s="43">
        <v>202</v>
      </c>
      <c r="C2802">
        <f t="shared" si="50"/>
        <v>2012</v>
      </c>
    </row>
    <row r="2803" spans="1:3" x14ac:dyDescent="0.35">
      <c r="A2803" s="7">
        <v>40966</v>
      </c>
      <c r="B2803" s="43">
        <v>206</v>
      </c>
      <c r="C2803">
        <f t="shared" si="50"/>
        <v>2012</v>
      </c>
    </row>
    <row r="2804" spans="1:3" x14ac:dyDescent="0.35">
      <c r="A2804" s="7">
        <v>40963</v>
      </c>
      <c r="B2804" s="43">
        <v>201</v>
      </c>
      <c r="C2804">
        <f t="shared" si="50"/>
        <v>2012</v>
      </c>
    </row>
    <row r="2805" spans="1:3" x14ac:dyDescent="0.35">
      <c r="A2805" s="7">
        <v>40962</v>
      </c>
      <c r="B2805" s="43">
        <v>201</v>
      </c>
      <c r="C2805">
        <f t="shared" si="50"/>
        <v>2012</v>
      </c>
    </row>
    <row r="2806" spans="1:3" x14ac:dyDescent="0.35">
      <c r="A2806" s="7">
        <v>40961</v>
      </c>
      <c r="B2806" s="43">
        <v>197</v>
      </c>
      <c r="C2806">
        <f t="shared" si="50"/>
        <v>2012</v>
      </c>
    </row>
    <row r="2807" spans="1:3" x14ac:dyDescent="0.35">
      <c r="A2807" s="7">
        <v>40960</v>
      </c>
      <c r="B2807" s="43">
        <v>194</v>
      </c>
      <c r="C2807">
        <f t="shared" si="50"/>
        <v>2012</v>
      </c>
    </row>
    <row r="2808" spans="1:3" x14ac:dyDescent="0.35">
      <c r="A2808" s="7">
        <v>40959</v>
      </c>
      <c r="B2808" s="43">
        <v>198</v>
      </c>
      <c r="C2808">
        <f t="shared" si="50"/>
        <v>2012</v>
      </c>
    </row>
    <row r="2809" spans="1:3" x14ac:dyDescent="0.35">
      <c r="A2809" s="7">
        <v>40956</v>
      </c>
      <c r="B2809" s="43">
        <v>198</v>
      </c>
      <c r="C2809">
        <f t="shared" si="50"/>
        <v>2012</v>
      </c>
    </row>
    <row r="2810" spans="1:3" x14ac:dyDescent="0.35">
      <c r="A2810" s="7">
        <v>40955</v>
      </c>
      <c r="B2810" s="43">
        <v>202</v>
      </c>
      <c r="C2810">
        <f t="shared" si="50"/>
        <v>2012</v>
      </c>
    </row>
    <row r="2811" spans="1:3" x14ac:dyDescent="0.35">
      <c r="A2811" s="7">
        <v>40954</v>
      </c>
      <c r="B2811" s="43">
        <v>205</v>
      </c>
      <c r="C2811">
        <f t="shared" si="50"/>
        <v>2012</v>
      </c>
    </row>
    <row r="2812" spans="1:3" x14ac:dyDescent="0.35">
      <c r="A2812" s="7">
        <v>40953</v>
      </c>
      <c r="B2812" s="43">
        <v>203</v>
      </c>
      <c r="C2812">
        <f t="shared" si="50"/>
        <v>2012</v>
      </c>
    </row>
    <row r="2813" spans="1:3" x14ac:dyDescent="0.35">
      <c r="A2813" s="7">
        <v>40952</v>
      </c>
      <c r="B2813" s="43">
        <v>196</v>
      </c>
      <c r="C2813">
        <f t="shared" si="50"/>
        <v>2012</v>
      </c>
    </row>
    <row r="2814" spans="1:3" x14ac:dyDescent="0.35">
      <c r="A2814" s="7">
        <v>40949</v>
      </c>
      <c r="B2814" s="43">
        <v>201</v>
      </c>
      <c r="C2814">
        <f t="shared" si="50"/>
        <v>2012</v>
      </c>
    </row>
    <row r="2815" spans="1:3" x14ac:dyDescent="0.35">
      <c r="A2815" s="7">
        <v>40948</v>
      </c>
      <c r="B2815" s="43">
        <v>196</v>
      </c>
      <c r="C2815">
        <f t="shared" si="50"/>
        <v>2012</v>
      </c>
    </row>
    <row r="2816" spans="1:3" x14ac:dyDescent="0.35">
      <c r="A2816" s="7">
        <v>40947</v>
      </c>
      <c r="B2816" s="43">
        <v>203</v>
      </c>
      <c r="C2816">
        <f t="shared" si="50"/>
        <v>2012</v>
      </c>
    </row>
    <row r="2817" spans="1:3" x14ac:dyDescent="0.35">
      <c r="A2817" s="7">
        <v>40946</v>
      </c>
      <c r="B2817" s="43">
        <v>203</v>
      </c>
      <c r="C2817">
        <f t="shared" si="50"/>
        <v>2012</v>
      </c>
    </row>
    <row r="2818" spans="1:3" x14ac:dyDescent="0.35">
      <c r="A2818" s="7">
        <v>40945</v>
      </c>
      <c r="B2818" s="43">
        <v>210</v>
      </c>
      <c r="C2818">
        <f t="shared" si="50"/>
        <v>2012</v>
      </c>
    </row>
    <row r="2819" spans="1:3" x14ac:dyDescent="0.35">
      <c r="A2819" s="7">
        <v>40942</v>
      </c>
      <c r="B2819" s="43">
        <v>207</v>
      </c>
      <c r="C2819">
        <f t="shared" ref="C2819:C2882" si="51">YEAR(A2819)</f>
        <v>2012</v>
      </c>
    </row>
    <row r="2820" spans="1:3" x14ac:dyDescent="0.35">
      <c r="A2820" s="7">
        <v>40941</v>
      </c>
      <c r="B2820" s="43">
        <v>218</v>
      </c>
      <c r="C2820">
        <f t="shared" si="51"/>
        <v>2012</v>
      </c>
    </row>
    <row r="2821" spans="1:3" x14ac:dyDescent="0.35">
      <c r="A2821" s="7">
        <v>40940</v>
      </c>
      <c r="B2821" s="43">
        <v>216</v>
      </c>
      <c r="C2821">
        <f t="shared" si="51"/>
        <v>2012</v>
      </c>
    </row>
    <row r="2822" spans="1:3" x14ac:dyDescent="0.35">
      <c r="A2822" s="7">
        <v>40939</v>
      </c>
      <c r="B2822" s="43">
        <v>224</v>
      </c>
      <c r="C2822">
        <f t="shared" si="51"/>
        <v>2012</v>
      </c>
    </row>
    <row r="2823" spans="1:3" x14ac:dyDescent="0.35">
      <c r="A2823" s="7">
        <v>40938</v>
      </c>
      <c r="B2823" s="43">
        <v>224</v>
      </c>
      <c r="C2823">
        <f t="shared" si="51"/>
        <v>2012</v>
      </c>
    </row>
    <row r="2824" spans="1:3" x14ac:dyDescent="0.35">
      <c r="A2824" s="7">
        <v>40935</v>
      </c>
      <c r="B2824" s="43">
        <v>218</v>
      </c>
      <c r="C2824">
        <f t="shared" si="51"/>
        <v>2012</v>
      </c>
    </row>
    <row r="2825" spans="1:3" x14ac:dyDescent="0.35">
      <c r="A2825" s="7">
        <v>40934</v>
      </c>
      <c r="B2825" s="43">
        <v>218</v>
      </c>
      <c r="C2825">
        <f t="shared" si="51"/>
        <v>2012</v>
      </c>
    </row>
    <row r="2826" spans="1:3" x14ac:dyDescent="0.35">
      <c r="A2826" s="7">
        <v>40933</v>
      </c>
      <c r="B2826" s="43">
        <v>210</v>
      </c>
      <c r="C2826">
        <f t="shared" si="51"/>
        <v>2012</v>
      </c>
    </row>
    <row r="2827" spans="1:3" x14ac:dyDescent="0.35">
      <c r="A2827" s="7">
        <v>40932</v>
      </c>
      <c r="B2827" s="43">
        <v>212</v>
      </c>
      <c r="C2827">
        <f t="shared" si="51"/>
        <v>2012</v>
      </c>
    </row>
    <row r="2828" spans="1:3" x14ac:dyDescent="0.35">
      <c r="A2828" s="7">
        <v>40931</v>
      </c>
      <c r="B2828" s="43">
        <v>209</v>
      </c>
      <c r="C2828">
        <f t="shared" si="51"/>
        <v>2012</v>
      </c>
    </row>
    <row r="2829" spans="1:3" x14ac:dyDescent="0.35">
      <c r="A2829" s="7">
        <v>40928</v>
      </c>
      <c r="B2829" s="43">
        <v>213</v>
      </c>
      <c r="C2829">
        <f t="shared" si="51"/>
        <v>2012</v>
      </c>
    </row>
    <row r="2830" spans="1:3" x14ac:dyDescent="0.35">
      <c r="A2830" s="7">
        <v>40927</v>
      </c>
      <c r="B2830" s="43">
        <v>218</v>
      </c>
      <c r="C2830">
        <f t="shared" si="51"/>
        <v>2012</v>
      </c>
    </row>
    <row r="2831" spans="1:3" x14ac:dyDescent="0.35">
      <c r="A2831" s="7">
        <v>40926</v>
      </c>
      <c r="B2831" s="43">
        <v>230</v>
      </c>
      <c r="C2831">
        <f t="shared" si="51"/>
        <v>2012</v>
      </c>
    </row>
    <row r="2832" spans="1:3" x14ac:dyDescent="0.35">
      <c r="A2832" s="7">
        <v>40925</v>
      </c>
      <c r="B2832" s="43">
        <v>234</v>
      </c>
      <c r="C2832">
        <f t="shared" si="51"/>
        <v>2012</v>
      </c>
    </row>
    <row r="2833" spans="1:3" x14ac:dyDescent="0.35">
      <c r="A2833" s="7">
        <v>40924</v>
      </c>
      <c r="B2833" s="43">
        <v>237</v>
      </c>
      <c r="C2833">
        <f t="shared" si="51"/>
        <v>2012</v>
      </c>
    </row>
    <row r="2834" spans="1:3" x14ac:dyDescent="0.35">
      <c r="A2834" s="7">
        <v>40921</v>
      </c>
      <c r="B2834" s="43">
        <v>237</v>
      </c>
      <c r="C2834">
        <f t="shared" si="51"/>
        <v>2012</v>
      </c>
    </row>
    <row r="2835" spans="1:3" x14ac:dyDescent="0.35">
      <c r="A2835" s="7">
        <v>40920</v>
      </c>
      <c r="B2835" s="43">
        <v>229</v>
      </c>
      <c r="C2835">
        <f t="shared" si="51"/>
        <v>2012</v>
      </c>
    </row>
    <row r="2836" spans="1:3" x14ac:dyDescent="0.35">
      <c r="A2836" s="7">
        <v>40919</v>
      </c>
      <c r="B2836" s="43">
        <v>233</v>
      </c>
      <c r="C2836">
        <f t="shared" si="51"/>
        <v>2012</v>
      </c>
    </row>
    <row r="2837" spans="1:3" x14ac:dyDescent="0.35">
      <c r="A2837" s="7">
        <v>40918</v>
      </c>
      <c r="B2837" s="43">
        <v>224</v>
      </c>
      <c r="C2837">
        <f t="shared" si="51"/>
        <v>2012</v>
      </c>
    </row>
    <row r="2838" spans="1:3" x14ac:dyDescent="0.35">
      <c r="A2838" s="7">
        <v>40917</v>
      </c>
      <c r="B2838" s="43">
        <v>220</v>
      </c>
      <c r="C2838">
        <f t="shared" si="51"/>
        <v>2012</v>
      </c>
    </row>
    <row r="2839" spans="1:3" x14ac:dyDescent="0.35">
      <c r="A2839" s="7">
        <v>40914</v>
      </c>
      <c r="B2839" s="43">
        <v>219</v>
      </c>
      <c r="C2839">
        <f t="shared" si="51"/>
        <v>2012</v>
      </c>
    </row>
    <row r="2840" spans="1:3" x14ac:dyDescent="0.35">
      <c r="A2840" s="7">
        <v>40913</v>
      </c>
      <c r="B2840" s="43">
        <v>214</v>
      </c>
      <c r="C2840">
        <f t="shared" si="51"/>
        <v>2012</v>
      </c>
    </row>
    <row r="2841" spans="1:3" x14ac:dyDescent="0.35">
      <c r="A2841" s="7">
        <v>40912</v>
      </c>
      <c r="B2841" s="43">
        <v>216</v>
      </c>
      <c r="C2841">
        <f t="shared" si="51"/>
        <v>2012</v>
      </c>
    </row>
    <row r="2842" spans="1:3" x14ac:dyDescent="0.35">
      <c r="A2842" s="7">
        <v>40911</v>
      </c>
      <c r="B2842" s="43">
        <v>217</v>
      </c>
      <c r="C2842">
        <f t="shared" si="51"/>
        <v>2012</v>
      </c>
    </row>
    <row r="2843" spans="1:3" x14ac:dyDescent="0.35">
      <c r="A2843" s="7">
        <v>40910</v>
      </c>
      <c r="B2843" s="43">
        <v>223</v>
      </c>
      <c r="C2843">
        <f t="shared" si="51"/>
        <v>2012</v>
      </c>
    </row>
    <row r="2844" spans="1:3" x14ac:dyDescent="0.35">
      <c r="A2844" s="7">
        <v>40907</v>
      </c>
      <c r="B2844" s="43">
        <v>223</v>
      </c>
      <c r="C2844">
        <f t="shared" si="51"/>
        <v>2011</v>
      </c>
    </row>
    <row r="2845" spans="1:3" x14ac:dyDescent="0.35">
      <c r="A2845" s="7">
        <v>40906</v>
      </c>
      <c r="B2845" s="43">
        <v>223</v>
      </c>
      <c r="C2845">
        <f t="shared" si="51"/>
        <v>2011</v>
      </c>
    </row>
    <row r="2846" spans="1:3" x14ac:dyDescent="0.35">
      <c r="A2846" s="7">
        <v>40905</v>
      </c>
      <c r="B2846" s="43">
        <v>220</v>
      </c>
      <c r="C2846">
        <f t="shared" si="51"/>
        <v>2011</v>
      </c>
    </row>
    <row r="2847" spans="1:3" x14ac:dyDescent="0.35">
      <c r="A2847" s="7">
        <v>40904</v>
      </c>
      <c r="B2847" s="43">
        <v>211</v>
      </c>
      <c r="C2847">
        <f t="shared" si="51"/>
        <v>2011</v>
      </c>
    </row>
    <row r="2848" spans="1:3" x14ac:dyDescent="0.35">
      <c r="A2848" s="7">
        <v>40903</v>
      </c>
      <c r="B2848" s="43">
        <v>210</v>
      </c>
      <c r="C2848">
        <f t="shared" si="51"/>
        <v>2011</v>
      </c>
    </row>
    <row r="2849" spans="1:3" x14ac:dyDescent="0.35">
      <c r="A2849" s="7">
        <v>40900</v>
      </c>
      <c r="B2849" s="43">
        <v>210</v>
      </c>
      <c r="C2849">
        <f t="shared" si="51"/>
        <v>2011</v>
      </c>
    </row>
    <row r="2850" spans="1:3" x14ac:dyDescent="0.35">
      <c r="A2850" s="7">
        <v>40899</v>
      </c>
      <c r="B2850" s="43">
        <v>219</v>
      </c>
      <c r="C2850">
        <f t="shared" si="51"/>
        <v>2011</v>
      </c>
    </row>
    <row r="2851" spans="1:3" x14ac:dyDescent="0.35">
      <c r="A2851" s="7">
        <v>40898</v>
      </c>
      <c r="B2851" s="43">
        <v>217</v>
      </c>
      <c r="C2851">
        <f t="shared" si="51"/>
        <v>2011</v>
      </c>
    </row>
    <row r="2852" spans="1:3" x14ac:dyDescent="0.35">
      <c r="A2852" s="7">
        <v>40897</v>
      </c>
      <c r="B2852" s="43">
        <v>223</v>
      </c>
      <c r="C2852">
        <f t="shared" si="51"/>
        <v>2011</v>
      </c>
    </row>
    <row r="2853" spans="1:3" x14ac:dyDescent="0.35">
      <c r="A2853" s="7">
        <v>40896</v>
      </c>
      <c r="B2853" s="43">
        <v>235</v>
      </c>
      <c r="C2853">
        <f t="shared" si="51"/>
        <v>2011</v>
      </c>
    </row>
    <row r="2854" spans="1:3" x14ac:dyDescent="0.35">
      <c r="A2854" s="7">
        <v>40893</v>
      </c>
      <c r="B2854" s="43">
        <v>231</v>
      </c>
      <c r="C2854">
        <f t="shared" si="51"/>
        <v>2011</v>
      </c>
    </row>
    <row r="2855" spans="1:3" x14ac:dyDescent="0.35">
      <c r="A2855" s="7">
        <v>40892</v>
      </c>
      <c r="B2855" s="43">
        <v>221</v>
      </c>
      <c r="C2855">
        <f t="shared" si="51"/>
        <v>2011</v>
      </c>
    </row>
    <row r="2856" spans="1:3" x14ac:dyDescent="0.35">
      <c r="A2856" s="7">
        <v>40891</v>
      </c>
      <c r="B2856" s="43">
        <v>222</v>
      </c>
      <c r="C2856">
        <f t="shared" si="51"/>
        <v>2011</v>
      </c>
    </row>
    <row r="2857" spans="1:3" x14ac:dyDescent="0.35">
      <c r="A2857" s="7">
        <v>40890</v>
      </c>
      <c r="B2857" s="43">
        <v>213</v>
      </c>
      <c r="C2857">
        <f t="shared" si="51"/>
        <v>2011</v>
      </c>
    </row>
    <row r="2858" spans="1:3" x14ac:dyDescent="0.35">
      <c r="A2858" s="7">
        <v>40889</v>
      </c>
      <c r="B2858" s="43">
        <v>211</v>
      </c>
      <c r="C2858">
        <f t="shared" si="51"/>
        <v>2011</v>
      </c>
    </row>
    <row r="2859" spans="1:3" x14ac:dyDescent="0.35">
      <c r="A2859" s="7">
        <v>40886</v>
      </c>
      <c r="B2859" s="43">
        <v>208</v>
      </c>
      <c r="C2859">
        <f t="shared" si="51"/>
        <v>2011</v>
      </c>
    </row>
    <row r="2860" spans="1:3" x14ac:dyDescent="0.35">
      <c r="A2860" s="7">
        <v>40885</v>
      </c>
      <c r="B2860" s="43">
        <v>221</v>
      </c>
      <c r="C2860">
        <f t="shared" si="51"/>
        <v>2011</v>
      </c>
    </row>
    <row r="2861" spans="1:3" x14ac:dyDescent="0.35">
      <c r="A2861" s="7">
        <v>40884</v>
      </c>
      <c r="B2861" s="43">
        <v>221</v>
      </c>
      <c r="C2861">
        <f t="shared" si="51"/>
        <v>2011</v>
      </c>
    </row>
    <row r="2862" spans="1:3" x14ac:dyDescent="0.35">
      <c r="A2862" s="7">
        <v>40883</v>
      </c>
      <c r="B2862" s="43">
        <v>214</v>
      </c>
      <c r="C2862">
        <f t="shared" si="51"/>
        <v>2011</v>
      </c>
    </row>
    <row r="2863" spans="1:3" x14ac:dyDescent="0.35">
      <c r="A2863" s="7">
        <v>40882</v>
      </c>
      <c r="B2863" s="43">
        <v>220</v>
      </c>
      <c r="C2863">
        <f t="shared" si="51"/>
        <v>2011</v>
      </c>
    </row>
    <row r="2864" spans="1:3" x14ac:dyDescent="0.35">
      <c r="A2864" s="7">
        <v>40879</v>
      </c>
      <c r="B2864" s="43">
        <v>224</v>
      </c>
      <c r="C2864">
        <f t="shared" si="51"/>
        <v>2011</v>
      </c>
    </row>
    <row r="2865" spans="1:3" x14ac:dyDescent="0.35">
      <c r="A2865" s="7">
        <v>40878</v>
      </c>
      <c r="B2865" s="43">
        <v>219</v>
      </c>
      <c r="C2865">
        <f t="shared" si="51"/>
        <v>2011</v>
      </c>
    </row>
    <row r="2866" spans="1:3" x14ac:dyDescent="0.35">
      <c r="A2866" s="7">
        <v>40877</v>
      </c>
      <c r="B2866" s="43">
        <v>228</v>
      </c>
      <c r="C2866">
        <f t="shared" si="51"/>
        <v>2011</v>
      </c>
    </row>
    <row r="2867" spans="1:3" x14ac:dyDescent="0.35">
      <c r="A2867" s="7">
        <v>40876</v>
      </c>
      <c r="B2867" s="43">
        <v>237</v>
      </c>
      <c r="C2867">
        <f t="shared" si="51"/>
        <v>2011</v>
      </c>
    </row>
    <row r="2868" spans="1:3" x14ac:dyDescent="0.35">
      <c r="A2868" s="7">
        <v>40875</v>
      </c>
      <c r="B2868" s="43">
        <v>241</v>
      </c>
      <c r="C2868">
        <f t="shared" si="51"/>
        <v>2011</v>
      </c>
    </row>
    <row r="2869" spans="1:3" x14ac:dyDescent="0.35">
      <c r="A2869" s="7">
        <v>40872</v>
      </c>
      <c r="B2869" s="43">
        <v>241</v>
      </c>
      <c r="C2869">
        <f t="shared" si="51"/>
        <v>2011</v>
      </c>
    </row>
    <row r="2870" spans="1:3" x14ac:dyDescent="0.35">
      <c r="A2870" s="7">
        <v>40871</v>
      </c>
      <c r="B2870" s="43">
        <v>248</v>
      </c>
      <c r="C2870">
        <f t="shared" si="51"/>
        <v>2011</v>
      </c>
    </row>
    <row r="2871" spans="1:3" x14ac:dyDescent="0.35">
      <c r="A2871" s="7">
        <v>40870</v>
      </c>
      <c r="B2871" s="43">
        <v>248</v>
      </c>
      <c r="C2871">
        <f t="shared" si="51"/>
        <v>2011</v>
      </c>
    </row>
    <row r="2872" spans="1:3" x14ac:dyDescent="0.35">
      <c r="A2872" s="7">
        <v>40869</v>
      </c>
      <c r="B2872" s="43">
        <v>239</v>
      </c>
      <c r="C2872">
        <f t="shared" si="51"/>
        <v>2011</v>
      </c>
    </row>
    <row r="2873" spans="1:3" x14ac:dyDescent="0.35">
      <c r="A2873" s="7">
        <v>40868</v>
      </c>
      <c r="B2873" s="43">
        <v>241</v>
      </c>
      <c r="C2873">
        <f t="shared" si="51"/>
        <v>2011</v>
      </c>
    </row>
    <row r="2874" spans="1:3" x14ac:dyDescent="0.35">
      <c r="A2874" s="7">
        <v>40865</v>
      </c>
      <c r="B2874" s="43">
        <v>232</v>
      </c>
      <c r="C2874">
        <f t="shared" si="51"/>
        <v>2011</v>
      </c>
    </row>
    <row r="2875" spans="1:3" x14ac:dyDescent="0.35">
      <c r="A2875" s="7">
        <v>40864</v>
      </c>
      <c r="B2875" s="43">
        <v>236</v>
      </c>
      <c r="C2875">
        <f t="shared" si="51"/>
        <v>2011</v>
      </c>
    </row>
    <row r="2876" spans="1:3" x14ac:dyDescent="0.35">
      <c r="A2876" s="7">
        <v>40863</v>
      </c>
      <c r="B2876" s="43">
        <v>225</v>
      </c>
      <c r="C2876">
        <f t="shared" si="51"/>
        <v>2011</v>
      </c>
    </row>
    <row r="2877" spans="1:3" x14ac:dyDescent="0.35">
      <c r="A2877" s="7">
        <v>40862</v>
      </c>
      <c r="B2877" s="43">
        <v>219</v>
      </c>
      <c r="C2877">
        <f t="shared" si="51"/>
        <v>2011</v>
      </c>
    </row>
    <row r="2878" spans="1:3" x14ac:dyDescent="0.35">
      <c r="A2878" s="7">
        <v>40861</v>
      </c>
      <c r="B2878" s="43">
        <v>220</v>
      </c>
      <c r="C2878">
        <f t="shared" si="51"/>
        <v>2011</v>
      </c>
    </row>
    <row r="2879" spans="1:3" x14ac:dyDescent="0.35">
      <c r="A2879" s="7">
        <v>40858</v>
      </c>
      <c r="B2879" s="43">
        <v>220</v>
      </c>
      <c r="C2879">
        <f t="shared" si="51"/>
        <v>2011</v>
      </c>
    </row>
    <row r="2880" spans="1:3" x14ac:dyDescent="0.35">
      <c r="A2880" s="7">
        <v>40857</v>
      </c>
      <c r="B2880" s="43">
        <v>220</v>
      </c>
      <c r="C2880">
        <f t="shared" si="51"/>
        <v>2011</v>
      </c>
    </row>
    <row r="2881" spans="1:3" x14ac:dyDescent="0.35">
      <c r="A2881" s="7">
        <v>40856</v>
      </c>
      <c r="B2881" s="43">
        <v>230</v>
      </c>
      <c r="C2881">
        <f t="shared" si="51"/>
        <v>2011</v>
      </c>
    </row>
    <row r="2882" spans="1:3" x14ac:dyDescent="0.35">
      <c r="A2882" s="7">
        <v>40855</v>
      </c>
      <c r="B2882" s="43">
        <v>213</v>
      </c>
      <c r="C2882">
        <f t="shared" si="51"/>
        <v>2011</v>
      </c>
    </row>
    <row r="2883" spans="1:3" x14ac:dyDescent="0.35">
      <c r="A2883" s="7">
        <v>40854</v>
      </c>
      <c r="B2883" s="43">
        <v>223</v>
      </c>
      <c r="C2883">
        <f t="shared" ref="C2883:C2946" si="52">YEAR(A2883)</f>
        <v>2011</v>
      </c>
    </row>
    <row r="2884" spans="1:3" x14ac:dyDescent="0.35">
      <c r="A2884" s="7">
        <v>40851</v>
      </c>
      <c r="B2884" s="43">
        <v>219</v>
      </c>
      <c r="C2884">
        <f t="shared" si="52"/>
        <v>2011</v>
      </c>
    </row>
    <row r="2885" spans="1:3" x14ac:dyDescent="0.35">
      <c r="A2885" s="7">
        <v>40850</v>
      </c>
      <c r="B2885" s="43">
        <v>215</v>
      </c>
      <c r="C2885">
        <f t="shared" si="52"/>
        <v>2011</v>
      </c>
    </row>
    <row r="2886" spans="1:3" x14ac:dyDescent="0.35">
      <c r="A2886" s="7">
        <v>40849</v>
      </c>
      <c r="B2886" s="43">
        <v>225</v>
      </c>
      <c r="C2886">
        <f t="shared" si="52"/>
        <v>2011</v>
      </c>
    </row>
    <row r="2887" spans="1:3" x14ac:dyDescent="0.35">
      <c r="A2887" s="7">
        <v>40848</v>
      </c>
      <c r="B2887" s="43">
        <v>229</v>
      </c>
      <c r="C2887">
        <f t="shared" si="52"/>
        <v>2011</v>
      </c>
    </row>
    <row r="2888" spans="1:3" x14ac:dyDescent="0.35">
      <c r="A2888" s="7">
        <v>40847</v>
      </c>
      <c r="B2888" s="43">
        <v>222</v>
      </c>
      <c r="C2888">
        <f t="shared" si="52"/>
        <v>2011</v>
      </c>
    </row>
    <row r="2889" spans="1:3" x14ac:dyDescent="0.35">
      <c r="A2889" s="7">
        <v>40844</v>
      </c>
      <c r="B2889" s="43">
        <v>212</v>
      </c>
      <c r="C2889">
        <f t="shared" si="52"/>
        <v>2011</v>
      </c>
    </row>
    <row r="2890" spans="1:3" x14ac:dyDescent="0.35">
      <c r="A2890" s="7">
        <v>40843</v>
      </c>
      <c r="B2890" s="43">
        <v>197</v>
      </c>
      <c r="C2890">
        <f t="shared" si="52"/>
        <v>2011</v>
      </c>
    </row>
    <row r="2891" spans="1:3" x14ac:dyDescent="0.35">
      <c r="A2891" s="7">
        <v>40842</v>
      </c>
      <c r="B2891" s="43">
        <v>224</v>
      </c>
      <c r="C2891">
        <f t="shared" si="52"/>
        <v>2011</v>
      </c>
    </row>
    <row r="2892" spans="1:3" x14ac:dyDescent="0.35">
      <c r="A2892" s="7">
        <v>40841</v>
      </c>
      <c r="B2892" s="43">
        <v>233</v>
      </c>
      <c r="C2892">
        <f t="shared" si="52"/>
        <v>2011</v>
      </c>
    </row>
    <row r="2893" spans="1:3" x14ac:dyDescent="0.35">
      <c r="A2893" s="7">
        <v>40840</v>
      </c>
      <c r="B2893" s="43">
        <v>226</v>
      </c>
      <c r="C2893">
        <f t="shared" si="52"/>
        <v>2011</v>
      </c>
    </row>
    <row r="2894" spans="1:3" x14ac:dyDescent="0.35">
      <c r="A2894" s="7">
        <v>40837</v>
      </c>
      <c r="B2894" s="43">
        <v>231</v>
      </c>
      <c r="C2894">
        <f t="shared" si="52"/>
        <v>2011</v>
      </c>
    </row>
    <row r="2895" spans="1:3" x14ac:dyDescent="0.35">
      <c r="A2895" s="7">
        <v>40836</v>
      </c>
      <c r="B2895" s="43">
        <v>237</v>
      </c>
      <c r="C2895">
        <f t="shared" si="52"/>
        <v>2011</v>
      </c>
    </row>
    <row r="2896" spans="1:3" x14ac:dyDescent="0.35">
      <c r="A2896" s="7">
        <v>40835</v>
      </c>
      <c r="B2896" s="43">
        <v>235</v>
      </c>
      <c r="C2896">
        <f t="shared" si="52"/>
        <v>2011</v>
      </c>
    </row>
    <row r="2897" spans="1:3" x14ac:dyDescent="0.35">
      <c r="A2897" s="7">
        <v>40834</v>
      </c>
      <c r="B2897" s="43">
        <v>232</v>
      </c>
      <c r="C2897">
        <f t="shared" si="52"/>
        <v>2011</v>
      </c>
    </row>
    <row r="2898" spans="1:3" x14ac:dyDescent="0.35">
      <c r="A2898" s="7">
        <v>40833</v>
      </c>
      <c r="B2898" s="43">
        <v>232</v>
      </c>
      <c r="C2898">
        <f t="shared" si="52"/>
        <v>2011</v>
      </c>
    </row>
    <row r="2899" spans="1:3" x14ac:dyDescent="0.35">
      <c r="A2899" s="7">
        <v>40830</v>
      </c>
      <c r="B2899" s="43">
        <v>225</v>
      </c>
      <c r="C2899">
        <f t="shared" si="52"/>
        <v>2011</v>
      </c>
    </row>
    <row r="2900" spans="1:3" x14ac:dyDescent="0.35">
      <c r="A2900" s="7">
        <v>40829</v>
      </c>
      <c r="B2900" s="43">
        <v>233</v>
      </c>
      <c r="C2900">
        <f t="shared" si="52"/>
        <v>2011</v>
      </c>
    </row>
    <row r="2901" spans="1:3" x14ac:dyDescent="0.35">
      <c r="A2901" s="7">
        <v>40828</v>
      </c>
      <c r="B2901" s="43">
        <v>223</v>
      </c>
      <c r="C2901">
        <f t="shared" si="52"/>
        <v>2011</v>
      </c>
    </row>
    <row r="2902" spans="1:3" x14ac:dyDescent="0.35">
      <c r="A2902" s="7">
        <v>40827</v>
      </c>
      <c r="B2902" s="43">
        <v>239</v>
      </c>
      <c r="C2902">
        <f t="shared" si="52"/>
        <v>2011</v>
      </c>
    </row>
    <row r="2903" spans="1:3" x14ac:dyDescent="0.35">
      <c r="A2903" s="7">
        <v>40826</v>
      </c>
      <c r="B2903" s="43">
        <v>257</v>
      </c>
      <c r="C2903">
        <f t="shared" si="52"/>
        <v>2011</v>
      </c>
    </row>
    <row r="2904" spans="1:3" x14ac:dyDescent="0.35">
      <c r="A2904" s="7">
        <v>40823</v>
      </c>
      <c r="B2904" s="43">
        <v>257</v>
      </c>
      <c r="C2904">
        <f t="shared" si="52"/>
        <v>2011</v>
      </c>
    </row>
    <row r="2905" spans="1:3" x14ac:dyDescent="0.35">
      <c r="A2905" s="7">
        <v>40822</v>
      </c>
      <c r="B2905" s="43">
        <v>262</v>
      </c>
      <c r="C2905">
        <f t="shared" si="52"/>
        <v>2011</v>
      </c>
    </row>
    <row r="2906" spans="1:3" x14ac:dyDescent="0.35">
      <c r="A2906" s="7">
        <v>40821</v>
      </c>
      <c r="B2906" s="43">
        <v>279</v>
      </c>
      <c r="C2906">
        <f t="shared" si="52"/>
        <v>2011</v>
      </c>
    </row>
    <row r="2907" spans="1:3" x14ac:dyDescent="0.35">
      <c r="A2907" s="7">
        <v>40820</v>
      </c>
      <c r="B2907" s="43">
        <v>289</v>
      </c>
      <c r="C2907">
        <f t="shared" si="52"/>
        <v>2011</v>
      </c>
    </row>
    <row r="2908" spans="1:3" x14ac:dyDescent="0.35">
      <c r="A2908" s="7">
        <v>40819</v>
      </c>
      <c r="B2908" s="43">
        <v>288</v>
      </c>
      <c r="C2908">
        <f t="shared" si="52"/>
        <v>2011</v>
      </c>
    </row>
    <row r="2909" spans="1:3" x14ac:dyDescent="0.35">
      <c r="A2909" s="7">
        <v>40816</v>
      </c>
      <c r="B2909" s="43">
        <v>275</v>
      </c>
      <c r="C2909">
        <f t="shared" si="52"/>
        <v>2011</v>
      </c>
    </row>
    <row r="2910" spans="1:3" x14ac:dyDescent="0.35">
      <c r="A2910" s="7">
        <v>40815</v>
      </c>
      <c r="B2910" s="43">
        <v>270</v>
      </c>
      <c r="C2910">
        <f t="shared" si="52"/>
        <v>2011</v>
      </c>
    </row>
    <row r="2911" spans="1:3" x14ac:dyDescent="0.35">
      <c r="A2911" s="7">
        <v>40814</v>
      </c>
      <c r="B2911" s="43">
        <v>265</v>
      </c>
      <c r="C2911">
        <f t="shared" si="52"/>
        <v>2011</v>
      </c>
    </row>
    <row r="2912" spans="1:3" x14ac:dyDescent="0.35">
      <c r="A2912" s="7">
        <v>40813</v>
      </c>
      <c r="B2912" s="43">
        <v>264</v>
      </c>
      <c r="C2912">
        <f t="shared" si="52"/>
        <v>2011</v>
      </c>
    </row>
    <row r="2913" spans="1:3" x14ac:dyDescent="0.35">
      <c r="A2913" s="7">
        <v>40812</v>
      </c>
      <c r="B2913" s="43">
        <v>282</v>
      </c>
      <c r="C2913">
        <f t="shared" si="52"/>
        <v>2011</v>
      </c>
    </row>
    <row r="2914" spans="1:3" x14ac:dyDescent="0.35">
      <c r="A2914" s="7">
        <v>40809</v>
      </c>
      <c r="B2914" s="43">
        <v>278</v>
      </c>
      <c r="C2914">
        <f t="shared" si="52"/>
        <v>2011</v>
      </c>
    </row>
    <row r="2915" spans="1:3" x14ac:dyDescent="0.35">
      <c r="A2915" s="7">
        <v>40808</v>
      </c>
      <c r="B2915" s="43">
        <v>282</v>
      </c>
      <c r="C2915">
        <f t="shared" si="52"/>
        <v>2011</v>
      </c>
    </row>
    <row r="2916" spans="1:3" x14ac:dyDescent="0.35">
      <c r="A2916" s="7">
        <v>40807</v>
      </c>
      <c r="B2916" s="43">
        <v>254</v>
      </c>
      <c r="C2916">
        <f t="shared" si="52"/>
        <v>2011</v>
      </c>
    </row>
    <row r="2917" spans="1:3" x14ac:dyDescent="0.35">
      <c r="A2917" s="7">
        <v>40806</v>
      </c>
      <c r="B2917" s="43">
        <v>244</v>
      </c>
      <c r="C2917">
        <f t="shared" si="52"/>
        <v>2011</v>
      </c>
    </row>
    <row r="2918" spans="1:3" x14ac:dyDescent="0.35">
      <c r="A2918" s="7">
        <v>40805</v>
      </c>
      <c r="B2918" s="43">
        <v>251</v>
      </c>
      <c r="C2918">
        <f t="shared" si="52"/>
        <v>2011</v>
      </c>
    </row>
    <row r="2919" spans="1:3" x14ac:dyDescent="0.35">
      <c r="A2919" s="7">
        <v>40802</v>
      </c>
      <c r="B2919" s="43">
        <v>231</v>
      </c>
      <c r="C2919">
        <f t="shared" si="52"/>
        <v>2011</v>
      </c>
    </row>
    <row r="2920" spans="1:3" x14ac:dyDescent="0.35">
      <c r="A2920" s="7">
        <v>40801</v>
      </c>
      <c r="B2920" s="43">
        <v>228</v>
      </c>
      <c r="C2920">
        <f t="shared" si="52"/>
        <v>2011</v>
      </c>
    </row>
    <row r="2921" spans="1:3" x14ac:dyDescent="0.35">
      <c r="A2921" s="7">
        <v>40800</v>
      </c>
      <c r="B2921" s="43">
        <v>233</v>
      </c>
      <c r="C2921">
        <f t="shared" si="52"/>
        <v>2011</v>
      </c>
    </row>
    <row r="2922" spans="1:3" x14ac:dyDescent="0.35">
      <c r="A2922" s="7">
        <v>40799</v>
      </c>
      <c r="B2922" s="43">
        <v>228</v>
      </c>
      <c r="C2922">
        <f t="shared" si="52"/>
        <v>2011</v>
      </c>
    </row>
    <row r="2923" spans="1:3" x14ac:dyDescent="0.35">
      <c r="A2923" s="7">
        <v>40798</v>
      </c>
      <c r="B2923" s="43">
        <v>232</v>
      </c>
      <c r="C2923">
        <f t="shared" si="52"/>
        <v>2011</v>
      </c>
    </row>
    <row r="2924" spans="1:3" x14ac:dyDescent="0.35">
      <c r="A2924" s="7">
        <v>40795</v>
      </c>
      <c r="B2924" s="43">
        <v>228</v>
      </c>
      <c r="C2924">
        <f t="shared" si="52"/>
        <v>2011</v>
      </c>
    </row>
    <row r="2925" spans="1:3" x14ac:dyDescent="0.35">
      <c r="A2925" s="7">
        <v>40794</v>
      </c>
      <c r="B2925" s="43">
        <v>217</v>
      </c>
      <c r="C2925">
        <f t="shared" si="52"/>
        <v>2011</v>
      </c>
    </row>
    <row r="2926" spans="1:3" x14ac:dyDescent="0.35">
      <c r="A2926" s="7">
        <v>40793</v>
      </c>
      <c r="B2926" s="43">
        <v>211</v>
      </c>
      <c r="C2926">
        <f t="shared" si="52"/>
        <v>2011</v>
      </c>
    </row>
    <row r="2927" spans="1:3" x14ac:dyDescent="0.35">
      <c r="A2927" s="7">
        <v>40792</v>
      </c>
      <c r="B2927" s="43">
        <v>217</v>
      </c>
      <c r="C2927">
        <f t="shared" si="52"/>
        <v>2011</v>
      </c>
    </row>
    <row r="2928" spans="1:3" x14ac:dyDescent="0.35">
      <c r="A2928" s="7">
        <v>40791</v>
      </c>
      <c r="B2928" s="43">
        <v>214</v>
      </c>
      <c r="C2928">
        <f t="shared" si="52"/>
        <v>2011</v>
      </c>
    </row>
    <row r="2929" spans="1:3" x14ac:dyDescent="0.35">
      <c r="A2929" s="7">
        <v>40788</v>
      </c>
      <c r="B2929" s="43">
        <v>214</v>
      </c>
      <c r="C2929">
        <f t="shared" si="52"/>
        <v>2011</v>
      </c>
    </row>
    <row r="2930" spans="1:3" x14ac:dyDescent="0.35">
      <c r="A2930" s="7">
        <v>40787</v>
      </c>
      <c r="B2930" s="43">
        <v>203</v>
      </c>
      <c r="C2930">
        <f t="shared" si="52"/>
        <v>2011</v>
      </c>
    </row>
    <row r="2931" spans="1:3" x14ac:dyDescent="0.35">
      <c r="A2931" s="7">
        <v>40786</v>
      </c>
      <c r="B2931" s="43">
        <v>194</v>
      </c>
      <c r="C2931">
        <f t="shared" si="52"/>
        <v>2011</v>
      </c>
    </row>
    <row r="2932" spans="1:3" x14ac:dyDescent="0.35">
      <c r="A2932" s="7">
        <v>40785</v>
      </c>
      <c r="B2932" s="43">
        <v>207</v>
      </c>
      <c r="C2932">
        <f t="shared" si="52"/>
        <v>2011</v>
      </c>
    </row>
    <row r="2933" spans="1:3" x14ac:dyDescent="0.35">
      <c r="A2933" s="7">
        <v>40784</v>
      </c>
      <c r="B2933" s="43">
        <v>200</v>
      </c>
      <c r="C2933">
        <f t="shared" si="52"/>
        <v>2011</v>
      </c>
    </row>
    <row r="2934" spans="1:3" x14ac:dyDescent="0.35">
      <c r="A2934" s="7">
        <v>40781</v>
      </c>
      <c r="B2934" s="43">
        <v>210</v>
      </c>
      <c r="C2934">
        <f t="shared" si="52"/>
        <v>2011</v>
      </c>
    </row>
    <row r="2935" spans="1:3" x14ac:dyDescent="0.35">
      <c r="A2935" s="7">
        <v>40780</v>
      </c>
      <c r="B2935" s="43">
        <v>204</v>
      </c>
      <c r="C2935">
        <f t="shared" si="52"/>
        <v>2011</v>
      </c>
    </row>
    <row r="2936" spans="1:3" x14ac:dyDescent="0.35">
      <c r="A2936" s="7">
        <v>40779</v>
      </c>
      <c r="B2936" s="43">
        <v>201</v>
      </c>
      <c r="C2936">
        <f t="shared" si="52"/>
        <v>2011</v>
      </c>
    </row>
    <row r="2937" spans="1:3" x14ac:dyDescent="0.35">
      <c r="A2937" s="7">
        <v>40778</v>
      </c>
      <c r="B2937" s="43">
        <v>213</v>
      </c>
      <c r="C2937">
        <f t="shared" si="52"/>
        <v>2011</v>
      </c>
    </row>
    <row r="2938" spans="1:3" x14ac:dyDescent="0.35">
      <c r="A2938" s="7">
        <v>40777</v>
      </c>
      <c r="B2938" s="43">
        <v>214</v>
      </c>
      <c r="C2938">
        <f t="shared" si="52"/>
        <v>2011</v>
      </c>
    </row>
    <row r="2939" spans="1:3" x14ac:dyDescent="0.35">
      <c r="A2939" s="7">
        <v>40774</v>
      </c>
      <c r="B2939" s="43">
        <v>215</v>
      </c>
      <c r="C2939">
        <f t="shared" si="52"/>
        <v>2011</v>
      </c>
    </row>
    <row r="2940" spans="1:3" x14ac:dyDescent="0.35">
      <c r="A2940" s="7">
        <v>40773</v>
      </c>
      <c r="B2940" s="43">
        <v>213</v>
      </c>
      <c r="C2940">
        <f t="shared" si="52"/>
        <v>2011</v>
      </c>
    </row>
    <row r="2941" spans="1:3" x14ac:dyDescent="0.35">
      <c r="A2941" s="7">
        <v>40772</v>
      </c>
      <c r="B2941" s="43">
        <v>206</v>
      </c>
      <c r="C2941">
        <f t="shared" si="52"/>
        <v>2011</v>
      </c>
    </row>
    <row r="2942" spans="1:3" x14ac:dyDescent="0.35">
      <c r="A2942" s="7">
        <v>40771</v>
      </c>
      <c r="B2942" s="43">
        <v>206</v>
      </c>
      <c r="C2942">
        <f t="shared" si="52"/>
        <v>2011</v>
      </c>
    </row>
    <row r="2943" spans="1:3" x14ac:dyDescent="0.35">
      <c r="A2943" s="7">
        <v>40770</v>
      </c>
      <c r="B2943" s="43">
        <v>199</v>
      </c>
      <c r="C2943">
        <f t="shared" si="52"/>
        <v>2011</v>
      </c>
    </row>
    <row r="2944" spans="1:3" x14ac:dyDescent="0.35">
      <c r="A2944" s="7">
        <v>40767</v>
      </c>
      <c r="B2944" s="43">
        <v>214</v>
      </c>
      <c r="C2944">
        <f t="shared" si="52"/>
        <v>2011</v>
      </c>
    </row>
    <row r="2945" spans="1:3" x14ac:dyDescent="0.35">
      <c r="A2945" s="7">
        <v>40766</v>
      </c>
      <c r="B2945" s="43">
        <v>215</v>
      </c>
      <c r="C2945">
        <f t="shared" si="52"/>
        <v>2011</v>
      </c>
    </row>
    <row r="2946" spans="1:3" x14ac:dyDescent="0.35">
      <c r="A2946" s="7">
        <v>40765</v>
      </c>
      <c r="B2946" s="43">
        <v>221</v>
      </c>
      <c r="C2946">
        <f t="shared" si="52"/>
        <v>2011</v>
      </c>
    </row>
    <row r="2947" spans="1:3" x14ac:dyDescent="0.35">
      <c r="A2947" s="7">
        <v>40764</v>
      </c>
      <c r="B2947" s="43">
        <v>217</v>
      </c>
      <c r="C2947">
        <f t="shared" ref="C2947:C3010" si="53">YEAR(A2947)</f>
        <v>2011</v>
      </c>
    </row>
    <row r="2948" spans="1:3" x14ac:dyDescent="0.35">
      <c r="A2948" s="7">
        <v>40763</v>
      </c>
      <c r="B2948" s="43">
        <v>212</v>
      </c>
      <c r="C2948">
        <f t="shared" si="53"/>
        <v>2011</v>
      </c>
    </row>
    <row r="2949" spans="1:3" x14ac:dyDescent="0.35">
      <c r="A2949" s="7">
        <v>40760</v>
      </c>
      <c r="B2949" s="43">
        <v>179</v>
      </c>
      <c r="C2949">
        <f t="shared" si="53"/>
        <v>2011</v>
      </c>
    </row>
    <row r="2950" spans="1:3" x14ac:dyDescent="0.35">
      <c r="A2950" s="7">
        <v>40759</v>
      </c>
      <c r="B2950" s="43">
        <v>186</v>
      </c>
      <c r="C2950">
        <f t="shared" si="53"/>
        <v>2011</v>
      </c>
    </row>
    <row r="2951" spans="1:3" x14ac:dyDescent="0.35">
      <c r="A2951" s="7">
        <v>40758</v>
      </c>
      <c r="B2951" s="43">
        <v>166</v>
      </c>
      <c r="C2951">
        <f t="shared" si="53"/>
        <v>2011</v>
      </c>
    </row>
    <row r="2952" spans="1:3" x14ac:dyDescent="0.35">
      <c r="A2952" s="7">
        <v>40757</v>
      </c>
      <c r="B2952" s="43">
        <v>162</v>
      </c>
      <c r="C2952">
        <f t="shared" si="53"/>
        <v>2011</v>
      </c>
    </row>
    <row r="2953" spans="1:3" x14ac:dyDescent="0.35">
      <c r="A2953" s="7">
        <v>40756</v>
      </c>
      <c r="B2953" s="43">
        <v>157</v>
      </c>
      <c r="C2953">
        <f t="shared" si="53"/>
        <v>2011</v>
      </c>
    </row>
    <row r="2954" spans="1:3" x14ac:dyDescent="0.35">
      <c r="A2954" s="7">
        <v>40753</v>
      </c>
      <c r="B2954" s="43">
        <v>157</v>
      </c>
      <c r="C2954">
        <f t="shared" si="53"/>
        <v>2011</v>
      </c>
    </row>
    <row r="2955" spans="1:3" x14ac:dyDescent="0.35">
      <c r="A2955" s="7">
        <v>40752</v>
      </c>
      <c r="B2955" s="43">
        <v>153</v>
      </c>
      <c r="C2955">
        <f t="shared" si="53"/>
        <v>2011</v>
      </c>
    </row>
    <row r="2956" spans="1:3" x14ac:dyDescent="0.35">
      <c r="A2956" s="7">
        <v>40751</v>
      </c>
      <c r="B2956" s="43">
        <v>156</v>
      </c>
      <c r="C2956">
        <f t="shared" si="53"/>
        <v>2011</v>
      </c>
    </row>
    <row r="2957" spans="1:3" x14ac:dyDescent="0.35">
      <c r="A2957" s="7">
        <v>40750</v>
      </c>
      <c r="B2957" s="43">
        <v>159</v>
      </c>
      <c r="C2957">
        <f t="shared" si="53"/>
        <v>2011</v>
      </c>
    </row>
    <row r="2958" spans="1:3" x14ac:dyDescent="0.35">
      <c r="A2958" s="7">
        <v>40749</v>
      </c>
      <c r="B2958" s="43">
        <v>159</v>
      </c>
      <c r="C2958">
        <f t="shared" si="53"/>
        <v>2011</v>
      </c>
    </row>
    <row r="2959" spans="1:3" x14ac:dyDescent="0.35">
      <c r="A2959" s="7">
        <v>40746</v>
      </c>
      <c r="B2959" s="43">
        <v>163</v>
      </c>
      <c r="C2959">
        <f t="shared" si="53"/>
        <v>2011</v>
      </c>
    </row>
    <row r="2960" spans="1:3" x14ac:dyDescent="0.35">
      <c r="A2960" s="7">
        <v>40745</v>
      </c>
      <c r="B2960" s="43">
        <v>161</v>
      </c>
      <c r="C2960">
        <f t="shared" si="53"/>
        <v>2011</v>
      </c>
    </row>
    <row r="2961" spans="1:3" x14ac:dyDescent="0.35">
      <c r="A2961" s="7">
        <v>40744</v>
      </c>
      <c r="B2961" s="43">
        <v>166</v>
      </c>
      <c r="C2961">
        <f t="shared" si="53"/>
        <v>2011</v>
      </c>
    </row>
    <row r="2962" spans="1:3" x14ac:dyDescent="0.35">
      <c r="A2962" s="7">
        <v>40743</v>
      </c>
      <c r="B2962" s="43">
        <v>171</v>
      </c>
      <c r="C2962">
        <f t="shared" si="53"/>
        <v>2011</v>
      </c>
    </row>
    <row r="2963" spans="1:3" x14ac:dyDescent="0.35">
      <c r="A2963" s="7">
        <v>40742</v>
      </c>
      <c r="B2963" s="43">
        <v>170</v>
      </c>
      <c r="C2963">
        <f t="shared" si="53"/>
        <v>2011</v>
      </c>
    </row>
    <row r="2964" spans="1:3" x14ac:dyDescent="0.35">
      <c r="A2964" s="7">
        <v>40739</v>
      </c>
      <c r="B2964" s="43">
        <v>173</v>
      </c>
      <c r="C2964">
        <f t="shared" si="53"/>
        <v>2011</v>
      </c>
    </row>
    <row r="2965" spans="1:3" x14ac:dyDescent="0.35">
      <c r="A2965" s="7">
        <v>40738</v>
      </c>
      <c r="B2965" s="43">
        <v>172</v>
      </c>
      <c r="C2965">
        <f t="shared" si="53"/>
        <v>2011</v>
      </c>
    </row>
    <row r="2966" spans="1:3" x14ac:dyDescent="0.35">
      <c r="A2966" s="7">
        <v>40737</v>
      </c>
      <c r="B2966" s="43">
        <v>176</v>
      </c>
      <c r="C2966">
        <f t="shared" si="53"/>
        <v>2011</v>
      </c>
    </row>
    <row r="2967" spans="1:3" x14ac:dyDescent="0.35">
      <c r="A2967" s="7">
        <v>40736</v>
      </c>
      <c r="B2967" s="43">
        <v>173</v>
      </c>
      <c r="C2967">
        <f t="shared" si="53"/>
        <v>2011</v>
      </c>
    </row>
    <row r="2968" spans="1:3" x14ac:dyDescent="0.35">
      <c r="A2968" s="7">
        <v>40735</v>
      </c>
      <c r="B2968" s="43">
        <v>173</v>
      </c>
      <c r="C2968">
        <f t="shared" si="53"/>
        <v>2011</v>
      </c>
    </row>
    <row r="2969" spans="1:3" x14ac:dyDescent="0.35">
      <c r="A2969" s="7">
        <v>40732</v>
      </c>
      <c r="B2969" s="43">
        <v>163</v>
      </c>
      <c r="C2969">
        <f t="shared" si="53"/>
        <v>2011</v>
      </c>
    </row>
    <row r="2970" spans="1:3" x14ac:dyDescent="0.35">
      <c r="A2970" s="7">
        <v>40731</v>
      </c>
      <c r="B2970" s="43">
        <v>153</v>
      </c>
      <c r="C2970">
        <f t="shared" si="53"/>
        <v>2011</v>
      </c>
    </row>
    <row r="2971" spans="1:3" x14ac:dyDescent="0.35">
      <c r="A2971" s="7">
        <v>40730</v>
      </c>
      <c r="B2971" s="43">
        <v>159</v>
      </c>
      <c r="C2971">
        <f t="shared" si="53"/>
        <v>2011</v>
      </c>
    </row>
    <row r="2972" spans="1:3" x14ac:dyDescent="0.35">
      <c r="A2972" s="7">
        <v>40729</v>
      </c>
      <c r="B2972" s="43">
        <v>154</v>
      </c>
      <c r="C2972">
        <f t="shared" si="53"/>
        <v>2011</v>
      </c>
    </row>
    <row r="2973" spans="1:3" x14ac:dyDescent="0.35">
      <c r="A2973" s="7">
        <v>40728</v>
      </c>
      <c r="B2973" s="43">
        <v>147</v>
      </c>
      <c r="C2973">
        <f t="shared" si="53"/>
        <v>2011</v>
      </c>
    </row>
    <row r="2974" spans="1:3" x14ac:dyDescent="0.35">
      <c r="A2974" s="7">
        <v>40725</v>
      </c>
      <c r="B2974" s="43">
        <v>147</v>
      </c>
      <c r="C2974">
        <f t="shared" si="53"/>
        <v>2011</v>
      </c>
    </row>
    <row r="2975" spans="1:3" x14ac:dyDescent="0.35">
      <c r="A2975" s="7">
        <v>40724</v>
      </c>
      <c r="B2975" s="43">
        <v>148</v>
      </c>
      <c r="C2975">
        <f t="shared" si="53"/>
        <v>2011</v>
      </c>
    </row>
    <row r="2976" spans="1:3" x14ac:dyDescent="0.35">
      <c r="A2976" s="7">
        <v>40723</v>
      </c>
      <c r="B2976" s="43">
        <v>154</v>
      </c>
      <c r="C2976">
        <f t="shared" si="53"/>
        <v>2011</v>
      </c>
    </row>
    <row r="2977" spans="1:3" x14ac:dyDescent="0.35">
      <c r="A2977" s="7">
        <v>40722</v>
      </c>
      <c r="B2977" s="43">
        <v>160</v>
      </c>
      <c r="C2977">
        <f t="shared" si="53"/>
        <v>2011</v>
      </c>
    </row>
    <row r="2978" spans="1:3" x14ac:dyDescent="0.35">
      <c r="A2978" s="7">
        <v>40721</v>
      </c>
      <c r="B2978" s="43">
        <v>168</v>
      </c>
      <c r="C2978">
        <f t="shared" si="53"/>
        <v>2011</v>
      </c>
    </row>
    <row r="2979" spans="1:3" x14ac:dyDescent="0.35">
      <c r="A2979" s="7">
        <v>40718</v>
      </c>
      <c r="B2979" s="43">
        <v>175</v>
      </c>
      <c r="C2979">
        <f t="shared" si="53"/>
        <v>2011</v>
      </c>
    </row>
    <row r="2980" spans="1:3" x14ac:dyDescent="0.35">
      <c r="A2980" s="7">
        <v>40717</v>
      </c>
      <c r="B2980" s="43">
        <v>172</v>
      </c>
      <c r="C2980">
        <f t="shared" si="53"/>
        <v>2011</v>
      </c>
    </row>
    <row r="2981" spans="1:3" x14ac:dyDescent="0.35">
      <c r="A2981" s="7">
        <v>40716</v>
      </c>
      <c r="B2981" s="43">
        <v>166</v>
      </c>
      <c r="C2981">
        <f t="shared" si="53"/>
        <v>2011</v>
      </c>
    </row>
    <row r="2982" spans="1:3" x14ac:dyDescent="0.35">
      <c r="A2982" s="7">
        <v>40715</v>
      </c>
      <c r="B2982" s="43">
        <v>167</v>
      </c>
      <c r="C2982">
        <f t="shared" si="53"/>
        <v>2011</v>
      </c>
    </row>
    <row r="2983" spans="1:3" x14ac:dyDescent="0.35">
      <c r="A2983" s="7">
        <v>40714</v>
      </c>
      <c r="B2983" s="43">
        <v>172</v>
      </c>
      <c r="C2983">
        <f t="shared" si="53"/>
        <v>2011</v>
      </c>
    </row>
    <row r="2984" spans="1:3" x14ac:dyDescent="0.35">
      <c r="A2984" s="7">
        <v>40711</v>
      </c>
      <c r="B2984" s="43">
        <v>179</v>
      </c>
      <c r="C2984">
        <f t="shared" si="53"/>
        <v>2011</v>
      </c>
    </row>
    <row r="2985" spans="1:3" x14ac:dyDescent="0.35">
      <c r="A2985" s="7">
        <v>40710</v>
      </c>
      <c r="B2985" s="43">
        <v>179</v>
      </c>
      <c r="C2985">
        <f t="shared" si="53"/>
        <v>2011</v>
      </c>
    </row>
    <row r="2986" spans="1:3" x14ac:dyDescent="0.35">
      <c r="A2986" s="7">
        <v>40709</v>
      </c>
      <c r="B2986" s="43">
        <v>174</v>
      </c>
      <c r="C2986">
        <f t="shared" si="53"/>
        <v>2011</v>
      </c>
    </row>
    <row r="2987" spans="1:3" x14ac:dyDescent="0.35">
      <c r="A2987" s="7">
        <v>40708</v>
      </c>
      <c r="B2987" s="43">
        <v>161</v>
      </c>
      <c r="C2987">
        <f t="shared" si="53"/>
        <v>2011</v>
      </c>
    </row>
    <row r="2988" spans="1:3" x14ac:dyDescent="0.35">
      <c r="A2988" s="7">
        <v>40707</v>
      </c>
      <c r="B2988" s="43">
        <v>176</v>
      </c>
      <c r="C2988">
        <f t="shared" si="53"/>
        <v>2011</v>
      </c>
    </row>
    <row r="2989" spans="1:3" x14ac:dyDescent="0.35">
      <c r="A2989" s="7">
        <v>40704</v>
      </c>
      <c r="B2989" s="43">
        <v>177</v>
      </c>
      <c r="C2989">
        <f t="shared" si="53"/>
        <v>2011</v>
      </c>
    </row>
    <row r="2990" spans="1:3" x14ac:dyDescent="0.35">
      <c r="A2990" s="7">
        <v>40703</v>
      </c>
      <c r="B2990" s="43">
        <v>176</v>
      </c>
      <c r="C2990">
        <f t="shared" si="53"/>
        <v>2011</v>
      </c>
    </row>
    <row r="2991" spans="1:3" x14ac:dyDescent="0.35">
      <c r="A2991" s="7">
        <v>40702</v>
      </c>
      <c r="B2991" s="43">
        <v>179</v>
      </c>
      <c r="C2991">
        <f t="shared" si="53"/>
        <v>2011</v>
      </c>
    </row>
    <row r="2992" spans="1:3" x14ac:dyDescent="0.35">
      <c r="A2992" s="7">
        <v>40701</v>
      </c>
      <c r="B2992" s="43">
        <v>175</v>
      </c>
      <c r="C2992">
        <f t="shared" si="53"/>
        <v>2011</v>
      </c>
    </row>
    <row r="2993" spans="1:3" x14ac:dyDescent="0.35">
      <c r="A2993" s="7">
        <v>40700</v>
      </c>
      <c r="B2993" s="43">
        <v>177</v>
      </c>
      <c r="C2993">
        <f t="shared" si="53"/>
        <v>2011</v>
      </c>
    </row>
    <row r="2994" spans="1:3" x14ac:dyDescent="0.35">
      <c r="A2994" s="7">
        <v>40697</v>
      </c>
      <c r="B2994" s="43">
        <v>175</v>
      </c>
      <c r="C2994">
        <f t="shared" si="53"/>
        <v>2011</v>
      </c>
    </row>
    <row r="2995" spans="1:3" x14ac:dyDescent="0.35">
      <c r="A2995" s="7">
        <v>40696</v>
      </c>
      <c r="B2995" s="43">
        <v>174</v>
      </c>
      <c r="C2995">
        <f t="shared" si="53"/>
        <v>2011</v>
      </c>
    </row>
    <row r="2996" spans="1:3" x14ac:dyDescent="0.35">
      <c r="A2996" s="7">
        <v>40695</v>
      </c>
      <c r="B2996" s="43">
        <v>183</v>
      </c>
      <c r="C2996">
        <f t="shared" si="53"/>
        <v>2011</v>
      </c>
    </row>
    <row r="2997" spans="1:3" x14ac:dyDescent="0.35">
      <c r="A2997" s="7">
        <v>40694</v>
      </c>
      <c r="B2997" s="43">
        <v>175</v>
      </c>
      <c r="C2997">
        <f t="shared" si="53"/>
        <v>2011</v>
      </c>
    </row>
    <row r="2998" spans="1:3" x14ac:dyDescent="0.35">
      <c r="A2998" s="7">
        <v>40693</v>
      </c>
      <c r="B2998" s="43">
        <v>175</v>
      </c>
      <c r="C2998">
        <f t="shared" si="53"/>
        <v>2011</v>
      </c>
    </row>
    <row r="2999" spans="1:3" x14ac:dyDescent="0.35">
      <c r="A2999" s="7">
        <v>40690</v>
      </c>
      <c r="B2999" s="43">
        <v>175</v>
      </c>
      <c r="C2999">
        <f t="shared" si="53"/>
        <v>2011</v>
      </c>
    </row>
    <row r="3000" spans="1:3" x14ac:dyDescent="0.35">
      <c r="A3000" s="7">
        <v>40689</v>
      </c>
      <c r="B3000" s="43">
        <v>174</v>
      </c>
      <c r="C3000">
        <f t="shared" si="53"/>
        <v>2011</v>
      </c>
    </row>
    <row r="3001" spans="1:3" x14ac:dyDescent="0.35">
      <c r="A3001" s="7">
        <v>40688</v>
      </c>
      <c r="B3001" s="43">
        <v>166</v>
      </c>
      <c r="C3001">
        <f t="shared" si="53"/>
        <v>2011</v>
      </c>
    </row>
    <row r="3002" spans="1:3" x14ac:dyDescent="0.35">
      <c r="A3002" s="7">
        <v>40687</v>
      </c>
      <c r="B3002" s="43">
        <v>165</v>
      </c>
      <c r="C3002">
        <f t="shared" si="53"/>
        <v>2011</v>
      </c>
    </row>
    <row r="3003" spans="1:3" x14ac:dyDescent="0.35">
      <c r="A3003" s="7">
        <v>40686</v>
      </c>
      <c r="B3003" s="43">
        <v>165</v>
      </c>
      <c r="C3003">
        <f t="shared" si="53"/>
        <v>2011</v>
      </c>
    </row>
    <row r="3004" spans="1:3" x14ac:dyDescent="0.35">
      <c r="A3004" s="7">
        <v>40683</v>
      </c>
      <c r="B3004" s="43">
        <v>162</v>
      </c>
      <c r="C3004">
        <f t="shared" si="53"/>
        <v>2011</v>
      </c>
    </row>
    <row r="3005" spans="1:3" x14ac:dyDescent="0.35">
      <c r="A3005" s="7">
        <v>40682</v>
      </c>
      <c r="B3005" s="43">
        <v>163</v>
      </c>
      <c r="C3005">
        <f t="shared" si="53"/>
        <v>2011</v>
      </c>
    </row>
    <row r="3006" spans="1:3" x14ac:dyDescent="0.35">
      <c r="A3006" s="7">
        <v>40681</v>
      </c>
      <c r="B3006" s="43">
        <v>166</v>
      </c>
      <c r="C3006">
        <f t="shared" si="53"/>
        <v>2011</v>
      </c>
    </row>
    <row r="3007" spans="1:3" x14ac:dyDescent="0.35">
      <c r="A3007" s="7">
        <v>40680</v>
      </c>
      <c r="B3007" s="43">
        <v>169</v>
      </c>
      <c r="C3007">
        <f t="shared" si="53"/>
        <v>2011</v>
      </c>
    </row>
    <row r="3008" spans="1:3" x14ac:dyDescent="0.35">
      <c r="A3008" s="7">
        <v>40679</v>
      </c>
      <c r="B3008" s="43">
        <v>169</v>
      </c>
      <c r="C3008">
        <f t="shared" si="53"/>
        <v>2011</v>
      </c>
    </row>
    <row r="3009" spans="1:3" x14ac:dyDescent="0.35">
      <c r="A3009" s="7">
        <v>40676</v>
      </c>
      <c r="B3009" s="43">
        <v>168</v>
      </c>
      <c r="C3009">
        <f t="shared" si="53"/>
        <v>2011</v>
      </c>
    </row>
    <row r="3010" spans="1:3" x14ac:dyDescent="0.35">
      <c r="A3010" s="7">
        <v>40675</v>
      </c>
      <c r="B3010" s="43">
        <v>167</v>
      </c>
      <c r="C3010">
        <f t="shared" si="53"/>
        <v>2011</v>
      </c>
    </row>
    <row r="3011" spans="1:3" x14ac:dyDescent="0.35">
      <c r="A3011" s="7">
        <v>40674</v>
      </c>
      <c r="B3011" s="43">
        <v>171</v>
      </c>
      <c r="C3011">
        <f t="shared" ref="C3011:C3074" si="54">YEAR(A3011)</f>
        <v>2011</v>
      </c>
    </row>
    <row r="3012" spans="1:3" x14ac:dyDescent="0.35">
      <c r="A3012" s="7">
        <v>40673</v>
      </c>
      <c r="B3012" s="43">
        <v>166</v>
      </c>
      <c r="C3012">
        <f t="shared" si="54"/>
        <v>2011</v>
      </c>
    </row>
    <row r="3013" spans="1:3" x14ac:dyDescent="0.35">
      <c r="A3013" s="7">
        <v>40672</v>
      </c>
      <c r="B3013" s="43">
        <v>168</v>
      </c>
      <c r="C3013">
        <f t="shared" si="54"/>
        <v>2011</v>
      </c>
    </row>
    <row r="3014" spans="1:3" x14ac:dyDescent="0.35">
      <c r="A3014" s="7">
        <v>40669</v>
      </c>
      <c r="B3014" s="43">
        <v>171</v>
      </c>
      <c r="C3014">
        <f t="shared" si="54"/>
        <v>2011</v>
      </c>
    </row>
    <row r="3015" spans="1:3" x14ac:dyDescent="0.35">
      <c r="A3015" s="7">
        <v>40668</v>
      </c>
      <c r="B3015" s="43">
        <v>171</v>
      </c>
      <c r="C3015">
        <f t="shared" si="54"/>
        <v>2011</v>
      </c>
    </row>
    <row r="3016" spans="1:3" x14ac:dyDescent="0.35">
      <c r="A3016" s="7">
        <v>40667</v>
      </c>
      <c r="B3016" s="43">
        <v>173</v>
      </c>
      <c r="C3016">
        <f t="shared" si="54"/>
        <v>2011</v>
      </c>
    </row>
    <row r="3017" spans="1:3" x14ac:dyDescent="0.35">
      <c r="A3017" s="7">
        <v>40666</v>
      </c>
      <c r="B3017" s="43">
        <v>169</v>
      </c>
      <c r="C3017">
        <f t="shared" si="54"/>
        <v>2011</v>
      </c>
    </row>
    <row r="3018" spans="1:3" x14ac:dyDescent="0.35">
      <c r="A3018" s="7">
        <v>40665</v>
      </c>
      <c r="B3018" s="43">
        <v>165</v>
      </c>
      <c r="C3018">
        <f t="shared" si="54"/>
        <v>2011</v>
      </c>
    </row>
    <row r="3019" spans="1:3" x14ac:dyDescent="0.35">
      <c r="A3019" s="7">
        <v>40662</v>
      </c>
      <c r="B3019" s="43">
        <v>169</v>
      </c>
      <c r="C3019">
        <f t="shared" si="54"/>
        <v>2011</v>
      </c>
    </row>
    <row r="3020" spans="1:3" x14ac:dyDescent="0.35">
      <c r="A3020" s="7">
        <v>40661</v>
      </c>
      <c r="B3020" s="43">
        <v>176</v>
      </c>
      <c r="C3020">
        <f t="shared" si="54"/>
        <v>2011</v>
      </c>
    </row>
    <row r="3021" spans="1:3" x14ac:dyDescent="0.35">
      <c r="A3021" s="7">
        <v>40660</v>
      </c>
      <c r="B3021" s="43">
        <v>176</v>
      </c>
      <c r="C3021">
        <f t="shared" si="54"/>
        <v>2011</v>
      </c>
    </row>
    <row r="3022" spans="1:3" x14ac:dyDescent="0.35">
      <c r="A3022" s="7">
        <v>40659</v>
      </c>
      <c r="B3022" s="43">
        <v>179</v>
      </c>
      <c r="C3022">
        <f t="shared" si="54"/>
        <v>2011</v>
      </c>
    </row>
    <row r="3023" spans="1:3" x14ac:dyDescent="0.35">
      <c r="A3023" s="7">
        <v>40658</v>
      </c>
      <c r="B3023" s="43">
        <v>179</v>
      </c>
      <c r="C3023">
        <f t="shared" si="54"/>
        <v>2011</v>
      </c>
    </row>
    <row r="3024" spans="1:3" x14ac:dyDescent="0.35">
      <c r="A3024" s="7">
        <v>40654</v>
      </c>
      <c r="B3024" s="43">
        <v>176</v>
      </c>
      <c r="C3024">
        <f t="shared" si="54"/>
        <v>2011</v>
      </c>
    </row>
    <row r="3025" spans="1:3" x14ac:dyDescent="0.35">
      <c r="A3025" s="7">
        <v>40653</v>
      </c>
      <c r="B3025" s="43">
        <v>176</v>
      </c>
      <c r="C3025">
        <f t="shared" si="54"/>
        <v>2011</v>
      </c>
    </row>
    <row r="3026" spans="1:3" x14ac:dyDescent="0.35">
      <c r="A3026" s="7">
        <v>40652</v>
      </c>
      <c r="B3026" s="43">
        <v>181</v>
      </c>
      <c r="C3026">
        <f t="shared" si="54"/>
        <v>2011</v>
      </c>
    </row>
    <row r="3027" spans="1:3" x14ac:dyDescent="0.35">
      <c r="A3027" s="7">
        <v>40651</v>
      </c>
      <c r="B3027" s="43">
        <v>178</v>
      </c>
      <c r="C3027">
        <f t="shared" si="54"/>
        <v>2011</v>
      </c>
    </row>
    <row r="3028" spans="1:3" x14ac:dyDescent="0.35">
      <c r="A3028" s="7">
        <v>40648</v>
      </c>
      <c r="B3028" s="43">
        <v>175</v>
      </c>
      <c r="C3028">
        <f t="shared" si="54"/>
        <v>2011</v>
      </c>
    </row>
    <row r="3029" spans="1:3" x14ac:dyDescent="0.35">
      <c r="A3029" s="7">
        <v>40647</v>
      </c>
      <c r="B3029" s="43">
        <v>171</v>
      </c>
      <c r="C3029">
        <f t="shared" si="54"/>
        <v>2011</v>
      </c>
    </row>
    <row r="3030" spans="1:3" x14ac:dyDescent="0.35">
      <c r="A3030" s="7">
        <v>40646</v>
      </c>
      <c r="B3030" s="43">
        <v>171</v>
      </c>
      <c r="C3030">
        <f t="shared" si="54"/>
        <v>2011</v>
      </c>
    </row>
    <row r="3031" spans="1:3" x14ac:dyDescent="0.35">
      <c r="A3031" s="7">
        <v>40645</v>
      </c>
      <c r="B3031" s="43">
        <v>170</v>
      </c>
      <c r="C3031">
        <f t="shared" si="54"/>
        <v>2011</v>
      </c>
    </row>
    <row r="3032" spans="1:3" x14ac:dyDescent="0.35">
      <c r="A3032" s="7">
        <v>40644</v>
      </c>
      <c r="B3032" s="43">
        <v>164</v>
      </c>
      <c r="C3032">
        <f t="shared" si="54"/>
        <v>2011</v>
      </c>
    </row>
    <row r="3033" spans="1:3" x14ac:dyDescent="0.35">
      <c r="A3033" s="7">
        <v>40641</v>
      </c>
      <c r="B3033" s="43">
        <v>164</v>
      </c>
      <c r="C3033">
        <f t="shared" si="54"/>
        <v>2011</v>
      </c>
    </row>
    <row r="3034" spans="1:3" x14ac:dyDescent="0.35">
      <c r="A3034" s="7">
        <v>40640</v>
      </c>
      <c r="B3034" s="43">
        <v>164</v>
      </c>
      <c r="C3034">
        <f t="shared" si="54"/>
        <v>2011</v>
      </c>
    </row>
    <row r="3035" spans="1:3" x14ac:dyDescent="0.35">
      <c r="A3035" s="7">
        <v>40639</v>
      </c>
      <c r="B3035" s="43">
        <v>163</v>
      </c>
      <c r="C3035">
        <f t="shared" si="54"/>
        <v>2011</v>
      </c>
    </row>
    <row r="3036" spans="1:3" x14ac:dyDescent="0.35">
      <c r="A3036" s="7">
        <v>40638</v>
      </c>
      <c r="B3036" s="43">
        <v>168</v>
      </c>
      <c r="C3036">
        <f t="shared" si="54"/>
        <v>2011</v>
      </c>
    </row>
    <row r="3037" spans="1:3" x14ac:dyDescent="0.35">
      <c r="A3037" s="7">
        <v>40637</v>
      </c>
      <c r="B3037" s="43">
        <v>169</v>
      </c>
      <c r="C3037">
        <f t="shared" si="54"/>
        <v>2011</v>
      </c>
    </row>
    <row r="3038" spans="1:3" x14ac:dyDescent="0.35">
      <c r="A3038" s="7">
        <v>40634</v>
      </c>
      <c r="B3038" s="43">
        <v>171</v>
      </c>
      <c r="C3038">
        <f t="shared" si="54"/>
        <v>2011</v>
      </c>
    </row>
    <row r="3039" spans="1:3" x14ac:dyDescent="0.35">
      <c r="A3039" s="7">
        <v>40633</v>
      </c>
      <c r="B3039" s="43">
        <v>173</v>
      </c>
      <c r="C3039">
        <f t="shared" si="54"/>
        <v>2011</v>
      </c>
    </row>
    <row r="3040" spans="1:3" x14ac:dyDescent="0.35">
      <c r="A3040" s="7">
        <v>40632</v>
      </c>
      <c r="B3040" s="43">
        <v>170</v>
      </c>
      <c r="C3040">
        <f t="shared" si="54"/>
        <v>2011</v>
      </c>
    </row>
    <row r="3041" spans="1:3" x14ac:dyDescent="0.35">
      <c r="A3041" s="7">
        <v>40631</v>
      </c>
      <c r="B3041" s="43">
        <v>173</v>
      </c>
      <c r="C3041">
        <f t="shared" si="54"/>
        <v>2011</v>
      </c>
    </row>
    <row r="3042" spans="1:3" x14ac:dyDescent="0.35">
      <c r="A3042" s="7">
        <v>40630</v>
      </c>
      <c r="B3042" s="43">
        <v>170</v>
      </c>
      <c r="C3042">
        <f t="shared" si="54"/>
        <v>2011</v>
      </c>
    </row>
    <row r="3043" spans="1:3" x14ac:dyDescent="0.35">
      <c r="A3043" s="7">
        <v>40627</v>
      </c>
      <c r="B3043" s="43">
        <v>171</v>
      </c>
      <c r="C3043">
        <f t="shared" si="54"/>
        <v>2011</v>
      </c>
    </row>
    <row r="3044" spans="1:3" x14ac:dyDescent="0.35">
      <c r="A3044" s="7">
        <v>40626</v>
      </c>
      <c r="B3044" s="43">
        <v>173</v>
      </c>
      <c r="C3044">
        <f t="shared" si="54"/>
        <v>2011</v>
      </c>
    </row>
    <row r="3045" spans="1:3" x14ac:dyDescent="0.35">
      <c r="A3045" s="7">
        <v>40625</v>
      </c>
      <c r="B3045" s="43">
        <v>176</v>
      </c>
      <c r="C3045">
        <f t="shared" si="54"/>
        <v>2011</v>
      </c>
    </row>
    <row r="3046" spans="1:3" x14ac:dyDescent="0.35">
      <c r="A3046" s="7">
        <v>40624</v>
      </c>
      <c r="B3046" s="43">
        <v>178</v>
      </c>
      <c r="C3046">
        <f t="shared" si="54"/>
        <v>2011</v>
      </c>
    </row>
    <row r="3047" spans="1:3" x14ac:dyDescent="0.35">
      <c r="A3047" s="7">
        <v>40623</v>
      </c>
      <c r="B3047" s="43">
        <v>177</v>
      </c>
      <c r="C3047">
        <f t="shared" si="54"/>
        <v>2011</v>
      </c>
    </row>
    <row r="3048" spans="1:3" x14ac:dyDescent="0.35">
      <c r="A3048" s="7">
        <v>40620</v>
      </c>
      <c r="B3048" s="43">
        <v>184</v>
      </c>
      <c r="C3048">
        <f t="shared" si="54"/>
        <v>2011</v>
      </c>
    </row>
    <row r="3049" spans="1:3" x14ac:dyDescent="0.35">
      <c r="A3049" s="7">
        <v>40619</v>
      </c>
      <c r="B3049" s="43">
        <v>187</v>
      </c>
      <c r="C3049">
        <f t="shared" si="54"/>
        <v>2011</v>
      </c>
    </row>
    <row r="3050" spans="1:3" x14ac:dyDescent="0.35">
      <c r="A3050" s="7">
        <v>40618</v>
      </c>
      <c r="B3050" s="43">
        <v>191</v>
      </c>
      <c r="C3050">
        <f t="shared" si="54"/>
        <v>2011</v>
      </c>
    </row>
    <row r="3051" spans="1:3" x14ac:dyDescent="0.35">
      <c r="A3051" s="7">
        <v>40617</v>
      </c>
      <c r="B3051" s="43">
        <v>180</v>
      </c>
      <c r="C3051">
        <f t="shared" si="54"/>
        <v>2011</v>
      </c>
    </row>
    <row r="3052" spans="1:3" x14ac:dyDescent="0.35">
      <c r="A3052" s="7">
        <v>40616</v>
      </c>
      <c r="B3052" s="43">
        <v>174</v>
      </c>
      <c r="C3052">
        <f t="shared" si="54"/>
        <v>2011</v>
      </c>
    </row>
    <row r="3053" spans="1:3" x14ac:dyDescent="0.35">
      <c r="A3053" s="7">
        <v>40613</v>
      </c>
      <c r="B3053" s="43">
        <v>171</v>
      </c>
      <c r="C3053">
        <f t="shared" si="54"/>
        <v>2011</v>
      </c>
    </row>
    <row r="3054" spans="1:3" x14ac:dyDescent="0.35">
      <c r="A3054" s="7">
        <v>40612</v>
      </c>
      <c r="B3054" s="43">
        <v>173</v>
      </c>
      <c r="C3054">
        <f t="shared" si="54"/>
        <v>2011</v>
      </c>
    </row>
    <row r="3055" spans="1:3" x14ac:dyDescent="0.35">
      <c r="A3055" s="7">
        <v>40611</v>
      </c>
      <c r="B3055" s="43">
        <v>161</v>
      </c>
      <c r="C3055">
        <f t="shared" si="54"/>
        <v>2011</v>
      </c>
    </row>
    <row r="3056" spans="1:3" x14ac:dyDescent="0.35">
      <c r="A3056" s="7">
        <v>40610</v>
      </c>
      <c r="B3056" s="43">
        <v>156</v>
      </c>
      <c r="C3056">
        <f t="shared" si="54"/>
        <v>2011</v>
      </c>
    </row>
    <row r="3057" spans="1:3" x14ac:dyDescent="0.35">
      <c r="A3057" s="7">
        <v>40609</v>
      </c>
      <c r="B3057" s="43">
        <v>165</v>
      </c>
      <c r="C3057">
        <f t="shared" si="54"/>
        <v>2011</v>
      </c>
    </row>
    <row r="3058" spans="1:3" x14ac:dyDescent="0.35">
      <c r="A3058" s="7">
        <v>40606</v>
      </c>
      <c r="B3058" s="43">
        <v>166</v>
      </c>
      <c r="C3058">
        <f t="shared" si="54"/>
        <v>2011</v>
      </c>
    </row>
    <row r="3059" spans="1:3" x14ac:dyDescent="0.35">
      <c r="A3059" s="7">
        <v>40605</v>
      </c>
      <c r="B3059" s="43">
        <v>162</v>
      </c>
      <c r="C3059">
        <f t="shared" si="54"/>
        <v>2011</v>
      </c>
    </row>
    <row r="3060" spans="1:3" x14ac:dyDescent="0.35">
      <c r="A3060" s="7">
        <v>40604</v>
      </c>
      <c r="B3060" s="43">
        <v>168</v>
      </c>
      <c r="C3060">
        <f t="shared" si="54"/>
        <v>2011</v>
      </c>
    </row>
    <row r="3061" spans="1:3" x14ac:dyDescent="0.35">
      <c r="A3061" s="7">
        <v>40603</v>
      </c>
      <c r="B3061" s="43">
        <v>174</v>
      </c>
      <c r="C3061">
        <f t="shared" si="54"/>
        <v>2011</v>
      </c>
    </row>
    <row r="3062" spans="1:3" x14ac:dyDescent="0.35">
      <c r="A3062" s="7">
        <v>40602</v>
      </c>
      <c r="B3062" s="43">
        <v>177</v>
      </c>
      <c r="C3062">
        <f t="shared" si="54"/>
        <v>2011</v>
      </c>
    </row>
    <row r="3063" spans="1:3" x14ac:dyDescent="0.35">
      <c r="A3063" s="7">
        <v>40599</v>
      </c>
      <c r="B3063" s="43">
        <v>186</v>
      </c>
      <c r="C3063">
        <f t="shared" si="54"/>
        <v>2011</v>
      </c>
    </row>
    <row r="3064" spans="1:3" x14ac:dyDescent="0.35">
      <c r="A3064" s="7">
        <v>40598</v>
      </c>
      <c r="B3064" s="43">
        <v>188</v>
      </c>
      <c r="C3064">
        <f t="shared" si="54"/>
        <v>2011</v>
      </c>
    </row>
    <row r="3065" spans="1:3" x14ac:dyDescent="0.35">
      <c r="A3065" s="7">
        <v>40597</v>
      </c>
      <c r="B3065" s="43">
        <v>184</v>
      </c>
      <c r="C3065">
        <f t="shared" si="54"/>
        <v>2011</v>
      </c>
    </row>
    <row r="3066" spans="1:3" x14ac:dyDescent="0.35">
      <c r="A3066" s="7">
        <v>40596</v>
      </c>
      <c r="B3066" s="43">
        <v>183</v>
      </c>
      <c r="C3066">
        <f t="shared" si="54"/>
        <v>2011</v>
      </c>
    </row>
    <row r="3067" spans="1:3" x14ac:dyDescent="0.35">
      <c r="A3067" s="7">
        <v>40595</v>
      </c>
      <c r="B3067" s="43">
        <v>176</v>
      </c>
      <c r="C3067">
        <f t="shared" si="54"/>
        <v>2011</v>
      </c>
    </row>
    <row r="3068" spans="1:3" x14ac:dyDescent="0.35">
      <c r="A3068" s="7">
        <v>40592</v>
      </c>
      <c r="B3068" s="43">
        <v>176</v>
      </c>
      <c r="C3068">
        <f t="shared" si="54"/>
        <v>2011</v>
      </c>
    </row>
    <row r="3069" spans="1:3" x14ac:dyDescent="0.35">
      <c r="A3069" s="7">
        <v>40591</v>
      </c>
      <c r="B3069" s="43">
        <v>175</v>
      </c>
      <c r="C3069">
        <f t="shared" si="54"/>
        <v>2011</v>
      </c>
    </row>
    <row r="3070" spans="1:3" x14ac:dyDescent="0.35">
      <c r="A3070" s="7">
        <v>40590</v>
      </c>
      <c r="B3070" s="43">
        <v>175</v>
      </c>
      <c r="C3070">
        <f t="shared" si="54"/>
        <v>2011</v>
      </c>
    </row>
    <row r="3071" spans="1:3" x14ac:dyDescent="0.35">
      <c r="A3071" s="7">
        <v>40589</v>
      </c>
      <c r="B3071" s="43">
        <v>180</v>
      </c>
      <c r="C3071">
        <f t="shared" si="54"/>
        <v>2011</v>
      </c>
    </row>
    <row r="3072" spans="1:3" x14ac:dyDescent="0.35">
      <c r="A3072" s="7">
        <v>40588</v>
      </c>
      <c r="B3072" s="43">
        <v>181</v>
      </c>
      <c r="C3072">
        <f t="shared" si="54"/>
        <v>2011</v>
      </c>
    </row>
    <row r="3073" spans="1:3" x14ac:dyDescent="0.35">
      <c r="A3073" s="7">
        <v>40585</v>
      </c>
      <c r="B3073" s="43">
        <v>176</v>
      </c>
      <c r="C3073">
        <f t="shared" si="54"/>
        <v>2011</v>
      </c>
    </row>
    <row r="3074" spans="1:3" x14ac:dyDescent="0.35">
      <c r="A3074" s="7">
        <v>40584</v>
      </c>
      <c r="B3074" s="43">
        <v>171</v>
      </c>
      <c r="C3074">
        <f t="shared" si="54"/>
        <v>2011</v>
      </c>
    </row>
    <row r="3075" spans="1:3" x14ac:dyDescent="0.35">
      <c r="A3075" s="7">
        <v>40583</v>
      </c>
      <c r="B3075" s="43">
        <v>173</v>
      </c>
      <c r="C3075">
        <f t="shared" ref="C3075:C3102" si="55">YEAR(A3075)</f>
        <v>2011</v>
      </c>
    </row>
    <row r="3076" spans="1:3" x14ac:dyDescent="0.35">
      <c r="A3076" s="7">
        <v>40582</v>
      </c>
      <c r="B3076" s="43">
        <v>162</v>
      </c>
      <c r="C3076">
        <f t="shared" si="55"/>
        <v>2011</v>
      </c>
    </row>
    <row r="3077" spans="1:3" x14ac:dyDescent="0.35">
      <c r="A3077" s="7">
        <v>40581</v>
      </c>
      <c r="B3077" s="43">
        <v>163</v>
      </c>
      <c r="C3077">
        <f t="shared" si="55"/>
        <v>2011</v>
      </c>
    </row>
    <row r="3078" spans="1:3" x14ac:dyDescent="0.35">
      <c r="A3078" s="7">
        <v>40578</v>
      </c>
      <c r="B3078" s="43">
        <v>160</v>
      </c>
      <c r="C3078">
        <f t="shared" si="55"/>
        <v>2011</v>
      </c>
    </row>
    <row r="3079" spans="1:3" x14ac:dyDescent="0.35">
      <c r="A3079" s="7">
        <v>40577</v>
      </c>
      <c r="B3079" s="43">
        <v>165</v>
      </c>
      <c r="C3079">
        <f t="shared" si="55"/>
        <v>2011</v>
      </c>
    </row>
    <row r="3080" spans="1:3" x14ac:dyDescent="0.35">
      <c r="A3080" s="7">
        <v>40576</v>
      </c>
      <c r="B3080" s="43">
        <v>165</v>
      </c>
      <c r="C3080">
        <f t="shared" si="55"/>
        <v>2011</v>
      </c>
    </row>
    <row r="3081" spans="1:3" x14ac:dyDescent="0.35">
      <c r="A3081" s="7">
        <v>40575</v>
      </c>
      <c r="B3081" s="43">
        <v>169</v>
      </c>
      <c r="C3081">
        <f t="shared" si="55"/>
        <v>2011</v>
      </c>
    </row>
    <row r="3082" spans="1:3" x14ac:dyDescent="0.35">
      <c r="A3082" s="7">
        <v>40574</v>
      </c>
      <c r="B3082" s="43">
        <v>179</v>
      </c>
      <c r="C3082">
        <f t="shared" si="55"/>
        <v>2011</v>
      </c>
    </row>
    <row r="3083" spans="1:3" x14ac:dyDescent="0.35">
      <c r="A3083" s="7">
        <v>40571</v>
      </c>
      <c r="B3083" s="43">
        <v>186</v>
      </c>
      <c r="C3083">
        <f t="shared" si="55"/>
        <v>2011</v>
      </c>
    </row>
    <row r="3084" spans="1:3" x14ac:dyDescent="0.35">
      <c r="A3084" s="7">
        <v>40570</v>
      </c>
      <c r="B3084" s="43">
        <v>174</v>
      </c>
      <c r="C3084">
        <f t="shared" si="55"/>
        <v>2011</v>
      </c>
    </row>
    <row r="3085" spans="1:3" x14ac:dyDescent="0.35">
      <c r="A3085" s="7">
        <v>40569</v>
      </c>
      <c r="B3085" s="43">
        <v>166</v>
      </c>
      <c r="C3085">
        <f t="shared" si="55"/>
        <v>2011</v>
      </c>
    </row>
    <row r="3086" spans="1:3" x14ac:dyDescent="0.35">
      <c r="A3086" s="7">
        <v>40568</v>
      </c>
      <c r="B3086" s="43">
        <v>173</v>
      </c>
      <c r="C3086">
        <f t="shared" si="55"/>
        <v>2011</v>
      </c>
    </row>
    <row r="3087" spans="1:3" x14ac:dyDescent="0.35">
      <c r="A3087" s="7">
        <v>40567</v>
      </c>
      <c r="B3087" s="43">
        <v>165</v>
      </c>
      <c r="C3087">
        <f t="shared" si="55"/>
        <v>2011</v>
      </c>
    </row>
    <row r="3088" spans="1:3" x14ac:dyDescent="0.35">
      <c r="A3088" s="7">
        <v>40564</v>
      </c>
      <c r="B3088" s="43">
        <v>169</v>
      </c>
      <c r="C3088">
        <f t="shared" si="55"/>
        <v>2011</v>
      </c>
    </row>
    <row r="3089" spans="1:3" x14ac:dyDescent="0.35">
      <c r="A3089" s="7">
        <v>40563</v>
      </c>
      <c r="B3089" s="43">
        <v>168</v>
      </c>
      <c r="C3089">
        <f t="shared" si="55"/>
        <v>2011</v>
      </c>
    </row>
    <row r="3090" spans="1:3" x14ac:dyDescent="0.35">
      <c r="A3090" s="7">
        <v>40562</v>
      </c>
      <c r="B3090" s="43">
        <v>175</v>
      </c>
      <c r="C3090">
        <f t="shared" si="55"/>
        <v>2011</v>
      </c>
    </row>
    <row r="3091" spans="1:3" x14ac:dyDescent="0.35">
      <c r="A3091" s="7">
        <v>40561</v>
      </c>
      <c r="B3091" s="43">
        <v>167</v>
      </c>
      <c r="C3091">
        <f t="shared" si="55"/>
        <v>2011</v>
      </c>
    </row>
    <row r="3092" spans="1:3" x14ac:dyDescent="0.35">
      <c r="A3092" s="7">
        <v>40560</v>
      </c>
      <c r="B3092" s="43">
        <v>169</v>
      </c>
      <c r="C3092">
        <f t="shared" si="55"/>
        <v>2011</v>
      </c>
    </row>
    <row r="3093" spans="1:3" x14ac:dyDescent="0.35">
      <c r="A3093" s="7">
        <v>40557</v>
      </c>
      <c r="B3093" s="43">
        <v>169</v>
      </c>
      <c r="C3093">
        <f t="shared" si="55"/>
        <v>2011</v>
      </c>
    </row>
    <row r="3094" spans="1:3" x14ac:dyDescent="0.35">
      <c r="A3094" s="7">
        <v>40556</v>
      </c>
      <c r="B3094" s="43">
        <v>168</v>
      </c>
      <c r="C3094">
        <f t="shared" si="55"/>
        <v>2011</v>
      </c>
    </row>
    <row r="3095" spans="1:3" x14ac:dyDescent="0.35">
      <c r="A3095" s="7">
        <v>40555</v>
      </c>
      <c r="B3095" s="43">
        <v>166</v>
      </c>
      <c r="C3095">
        <f t="shared" si="55"/>
        <v>2011</v>
      </c>
    </row>
    <row r="3096" spans="1:3" x14ac:dyDescent="0.35">
      <c r="A3096" s="7">
        <v>40554</v>
      </c>
      <c r="B3096" s="43">
        <v>168</v>
      </c>
      <c r="C3096">
        <f t="shared" si="55"/>
        <v>2011</v>
      </c>
    </row>
    <row r="3097" spans="1:3" x14ac:dyDescent="0.35">
      <c r="A3097" s="7">
        <v>40553</v>
      </c>
      <c r="B3097" s="43">
        <v>173</v>
      </c>
      <c r="C3097">
        <f t="shared" si="55"/>
        <v>2011</v>
      </c>
    </row>
    <row r="3098" spans="1:3" x14ac:dyDescent="0.35">
      <c r="A3098" s="7">
        <v>40550</v>
      </c>
      <c r="B3098" s="43">
        <v>169</v>
      </c>
      <c r="C3098">
        <f t="shared" si="55"/>
        <v>2011</v>
      </c>
    </row>
    <row r="3099" spans="1:3" x14ac:dyDescent="0.35">
      <c r="A3099" s="7">
        <v>40549</v>
      </c>
      <c r="B3099" s="43">
        <v>165</v>
      </c>
      <c r="C3099">
        <f t="shared" si="55"/>
        <v>2011</v>
      </c>
    </row>
    <row r="3100" spans="1:3" x14ac:dyDescent="0.35">
      <c r="A3100" s="7">
        <v>40548</v>
      </c>
      <c r="B3100" s="43">
        <v>164</v>
      </c>
      <c r="C3100">
        <f t="shared" si="55"/>
        <v>2011</v>
      </c>
    </row>
    <row r="3101" spans="1:3" x14ac:dyDescent="0.35">
      <c r="A3101" s="7">
        <v>40547</v>
      </c>
      <c r="B3101" s="43">
        <v>167</v>
      </c>
      <c r="C3101">
        <f t="shared" si="55"/>
        <v>2011</v>
      </c>
    </row>
    <row r="3102" spans="1:3" x14ac:dyDescent="0.35">
      <c r="A3102" s="7">
        <v>40546</v>
      </c>
      <c r="B3102" s="43">
        <v>181</v>
      </c>
      <c r="C3102">
        <f t="shared" si="55"/>
        <v>2011</v>
      </c>
    </row>
  </sheetData>
  <autoFilter ref="A1:B2849" xr:uid="{D38D384D-3E1E-4999-A45B-9E7186EDDF62}"/>
  <mergeCells count="3">
    <mergeCell ref="G24:H24"/>
    <mergeCell ref="I24:J24"/>
    <mergeCell ref="K24:L24"/>
  </mergeCells>
  <hyperlinks>
    <hyperlink ref="M3" r:id="rId4" display="http://www.ipeadata.gov.br/doc/Metodologia Embi.doc" xr:uid="{7859EFFF-84B2-4691-A36F-DEB46396AD8A}"/>
  </hyperlinks>
  <pageMargins left="0.511811024" right="0.511811024" top="0.78740157499999996" bottom="0.78740157499999996" header="0.31496062000000002" footer="0.31496062000000002"/>
  <pageSetup paperSize="9" orientation="portrait" r:id="rId5"/>
  <ignoredErrors>
    <ignoredError sqref="H27:H36 H26" formula="1"/>
  </ignoredErrors>
  <drawing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206D3-9F1B-4C5D-9240-54B5AA87FF00}">
  <dimension ref="A1:E3017"/>
  <sheetViews>
    <sheetView topLeftCell="A2999" workbookViewId="0">
      <selection activeCell="B3017" sqref="B3017"/>
    </sheetView>
  </sheetViews>
  <sheetFormatPr defaultRowHeight="14.5" x14ac:dyDescent="0.35"/>
  <cols>
    <col min="1" max="1" width="10.453125" bestFit="1" customWidth="1"/>
    <col min="2" max="2" width="9.36328125" bestFit="1" customWidth="1"/>
    <col min="3" max="3" width="11.7265625" bestFit="1" customWidth="1"/>
    <col min="4" max="5" width="10.453125" bestFit="1" customWidth="1"/>
  </cols>
  <sheetData>
    <row r="1" spans="1:5" x14ac:dyDescent="0.35">
      <c r="A1" t="s">
        <v>719</v>
      </c>
      <c r="B1" t="s">
        <v>762</v>
      </c>
    </row>
    <row r="2" spans="1:5" x14ac:dyDescent="0.35">
      <c r="A2" s="7">
        <v>44924</v>
      </c>
      <c r="B2">
        <v>5.2859999999999996</v>
      </c>
      <c r="D2" s="28"/>
      <c r="E2" s="7"/>
    </row>
    <row r="3" spans="1:5" x14ac:dyDescent="0.35">
      <c r="A3" s="7">
        <v>44923</v>
      </c>
      <c r="B3">
        <v>5.2675999999999998</v>
      </c>
      <c r="D3" s="28"/>
      <c r="E3" s="7"/>
    </row>
    <row r="4" spans="1:5" x14ac:dyDescent="0.35">
      <c r="A4" s="7">
        <v>44922</v>
      </c>
      <c r="B4">
        <v>5.2927999999999997</v>
      </c>
      <c r="D4" s="28"/>
      <c r="E4" s="7"/>
    </row>
    <row r="5" spans="1:5" x14ac:dyDescent="0.35">
      <c r="A5" s="7">
        <v>44921</v>
      </c>
      <c r="B5">
        <v>5.2186000000000003</v>
      </c>
      <c r="D5" s="28"/>
      <c r="E5" s="7"/>
    </row>
    <row r="6" spans="1:5" x14ac:dyDescent="0.35">
      <c r="A6" s="7">
        <v>44918</v>
      </c>
      <c r="B6">
        <v>5.1651999999999996</v>
      </c>
      <c r="D6" s="28"/>
      <c r="E6" s="7"/>
    </row>
    <row r="7" spans="1:5" x14ac:dyDescent="0.35">
      <c r="A7" s="7">
        <v>44917</v>
      </c>
      <c r="B7">
        <v>5.1665000000000001</v>
      </c>
      <c r="D7" s="28"/>
      <c r="E7" s="7"/>
    </row>
    <row r="8" spans="1:5" x14ac:dyDescent="0.35">
      <c r="A8" s="7">
        <v>44916</v>
      </c>
      <c r="B8">
        <v>5.2008999999999999</v>
      </c>
      <c r="D8" s="28"/>
      <c r="E8" s="7"/>
    </row>
    <row r="9" spans="1:5" x14ac:dyDescent="0.35">
      <c r="A9" s="7">
        <v>44915</v>
      </c>
      <c r="B9">
        <v>5.1996000000000002</v>
      </c>
      <c r="D9" s="28"/>
      <c r="E9" s="7"/>
    </row>
    <row r="10" spans="1:5" x14ac:dyDescent="0.35">
      <c r="A10" s="7">
        <v>44914</v>
      </c>
      <c r="B10">
        <v>5.2930000000000001</v>
      </c>
      <c r="D10" s="28"/>
      <c r="E10" s="7"/>
    </row>
    <row r="11" spans="1:5" x14ac:dyDescent="0.35">
      <c r="A11" s="7">
        <v>44911</v>
      </c>
      <c r="B11">
        <v>5.3140000000000001</v>
      </c>
      <c r="D11" s="28"/>
      <c r="E11" s="7"/>
    </row>
    <row r="12" spans="1:5" x14ac:dyDescent="0.35">
      <c r="A12" s="7">
        <v>44910</v>
      </c>
      <c r="B12">
        <v>5.3129999999999997</v>
      </c>
      <c r="D12" s="28"/>
      <c r="E12" s="7"/>
    </row>
    <row r="13" spans="1:5" x14ac:dyDescent="0.35">
      <c r="A13" s="7">
        <v>44909</v>
      </c>
      <c r="B13">
        <v>5.2786999999999997</v>
      </c>
      <c r="D13" s="28"/>
      <c r="E13" s="7"/>
    </row>
    <row r="14" spans="1:5" x14ac:dyDescent="0.35">
      <c r="A14" s="7">
        <v>44908</v>
      </c>
      <c r="B14">
        <v>5.2938000000000001</v>
      </c>
      <c r="D14" s="28"/>
      <c r="E14" s="7"/>
    </row>
    <row r="15" spans="1:5" x14ac:dyDescent="0.35">
      <c r="A15" s="7">
        <v>44907</v>
      </c>
      <c r="B15">
        <v>5.3226000000000004</v>
      </c>
      <c r="D15" s="28"/>
      <c r="E15" s="7"/>
    </row>
    <row r="16" spans="1:5" x14ac:dyDescent="0.35">
      <c r="A16" s="7">
        <v>44904</v>
      </c>
      <c r="B16">
        <v>5.24</v>
      </c>
      <c r="D16" s="28"/>
      <c r="E16" s="7"/>
    </row>
    <row r="17" spans="1:5" x14ac:dyDescent="0.35">
      <c r="A17" s="7">
        <v>44903</v>
      </c>
      <c r="B17">
        <v>5.2252999999999998</v>
      </c>
      <c r="D17" s="28"/>
      <c r="E17" s="7"/>
    </row>
    <row r="18" spans="1:5" x14ac:dyDescent="0.35">
      <c r="A18" s="7">
        <v>44902</v>
      </c>
      <c r="B18">
        <v>5.2047999999999996</v>
      </c>
      <c r="D18" s="28"/>
      <c r="E18" s="7"/>
    </row>
    <row r="19" spans="1:5" x14ac:dyDescent="0.35">
      <c r="A19" s="7">
        <v>44901</v>
      </c>
      <c r="B19">
        <v>5.2351999999999999</v>
      </c>
      <c r="D19" s="28"/>
      <c r="E19" s="7"/>
    </row>
    <row r="20" spans="1:5" x14ac:dyDescent="0.35">
      <c r="A20" s="7">
        <v>44900</v>
      </c>
      <c r="B20">
        <v>5.2808999999999999</v>
      </c>
      <c r="D20" s="28"/>
      <c r="E20" s="7"/>
    </row>
    <row r="21" spans="1:5" x14ac:dyDescent="0.35">
      <c r="A21" s="7">
        <v>44897</v>
      </c>
      <c r="B21">
        <v>5.2188999999999997</v>
      </c>
      <c r="D21" s="28"/>
      <c r="E21" s="7"/>
    </row>
    <row r="22" spans="1:5" x14ac:dyDescent="0.35">
      <c r="A22" s="7">
        <v>44896</v>
      </c>
      <c r="B22">
        <v>5.1848000000000001</v>
      </c>
      <c r="D22" s="28"/>
      <c r="E22" s="7"/>
    </row>
    <row r="23" spans="1:5" x14ac:dyDescent="0.35">
      <c r="A23" s="7">
        <v>44895</v>
      </c>
      <c r="B23">
        <v>5.1851000000000003</v>
      </c>
      <c r="D23" s="28"/>
      <c r="E23" s="7"/>
    </row>
    <row r="24" spans="1:5" x14ac:dyDescent="0.35">
      <c r="A24" s="7">
        <v>44894</v>
      </c>
      <c r="B24">
        <v>5.2694999999999999</v>
      </c>
      <c r="D24" s="28"/>
      <c r="E24" s="7"/>
    </row>
    <row r="25" spans="1:5" x14ac:dyDescent="0.35">
      <c r="A25" s="7">
        <v>44893</v>
      </c>
      <c r="B25">
        <v>5.3654000000000002</v>
      </c>
      <c r="D25" s="28"/>
      <c r="E25" s="7"/>
    </row>
    <row r="26" spans="1:5" x14ac:dyDescent="0.35">
      <c r="A26" s="7">
        <v>44890</v>
      </c>
      <c r="B26">
        <v>5.4097999999999997</v>
      </c>
      <c r="D26" s="28"/>
      <c r="E26" s="7"/>
    </row>
    <row r="27" spans="1:5" x14ac:dyDescent="0.35">
      <c r="A27" s="7">
        <v>44889</v>
      </c>
      <c r="B27">
        <v>5.3208000000000002</v>
      </c>
      <c r="D27" s="28"/>
      <c r="E27" s="7"/>
    </row>
    <row r="28" spans="1:5" x14ac:dyDescent="0.35">
      <c r="A28" s="7">
        <v>44888</v>
      </c>
      <c r="B28">
        <v>5.3590999999999998</v>
      </c>
      <c r="D28" s="28"/>
      <c r="E28" s="7"/>
    </row>
    <row r="29" spans="1:5" x14ac:dyDescent="0.35">
      <c r="A29" s="7">
        <v>44887</v>
      </c>
      <c r="B29">
        <v>5.3586</v>
      </c>
      <c r="D29" s="28"/>
      <c r="E29" s="7"/>
    </row>
    <row r="30" spans="1:5" x14ac:dyDescent="0.35">
      <c r="A30" s="7">
        <v>44886</v>
      </c>
      <c r="B30">
        <v>5.32</v>
      </c>
      <c r="D30" s="28"/>
      <c r="E30" s="7"/>
    </row>
    <row r="31" spans="1:5" x14ac:dyDescent="0.35">
      <c r="A31" s="7">
        <v>44883</v>
      </c>
      <c r="B31">
        <v>5.3826999999999998</v>
      </c>
      <c r="D31" s="28"/>
      <c r="E31" s="7"/>
    </row>
    <row r="32" spans="1:5" x14ac:dyDescent="0.35">
      <c r="A32" s="7">
        <v>44882</v>
      </c>
      <c r="B32">
        <v>5.4230999999999998</v>
      </c>
      <c r="D32" s="28"/>
      <c r="E32" s="7"/>
    </row>
    <row r="33" spans="1:5" x14ac:dyDescent="0.35">
      <c r="A33" s="7">
        <v>44881</v>
      </c>
      <c r="B33">
        <v>5.3997999999999999</v>
      </c>
      <c r="D33" s="28"/>
      <c r="E33" s="7"/>
    </row>
    <row r="34" spans="1:5" x14ac:dyDescent="0.35">
      <c r="A34" s="7">
        <v>44880</v>
      </c>
      <c r="B34">
        <v>5.3324999999999996</v>
      </c>
      <c r="D34" s="28"/>
      <c r="E34" s="7"/>
    </row>
    <row r="35" spans="1:5" x14ac:dyDescent="0.35">
      <c r="A35" s="7">
        <v>44879</v>
      </c>
      <c r="B35">
        <v>5.3320999999999996</v>
      </c>
      <c r="D35" s="28"/>
      <c r="E35" s="7"/>
    </row>
    <row r="36" spans="1:5" x14ac:dyDescent="0.35">
      <c r="A36" s="7">
        <v>44876</v>
      </c>
      <c r="B36">
        <v>5.3250000000000002</v>
      </c>
      <c r="D36" s="28"/>
      <c r="E36" s="7"/>
    </row>
    <row r="37" spans="1:5" x14ac:dyDescent="0.35">
      <c r="A37" s="7">
        <v>44875</v>
      </c>
      <c r="B37">
        <v>5.3449</v>
      </c>
      <c r="D37" s="28"/>
      <c r="E37" s="7"/>
    </row>
    <row r="38" spans="1:5" x14ac:dyDescent="0.35">
      <c r="A38" s="7">
        <v>44874</v>
      </c>
      <c r="B38">
        <v>5.1863999999999999</v>
      </c>
      <c r="D38" s="28"/>
      <c r="E38" s="7"/>
    </row>
    <row r="39" spans="1:5" x14ac:dyDescent="0.35">
      <c r="A39" s="7">
        <v>44873</v>
      </c>
      <c r="B39">
        <v>5.1440000000000001</v>
      </c>
      <c r="D39" s="28"/>
      <c r="E39" s="7"/>
    </row>
    <row r="40" spans="1:5" x14ac:dyDescent="0.35">
      <c r="A40" s="7">
        <v>44872</v>
      </c>
      <c r="B40">
        <v>5.1566999999999998</v>
      </c>
      <c r="D40" s="28"/>
      <c r="E40" s="7"/>
    </row>
    <row r="41" spans="1:5" x14ac:dyDescent="0.35">
      <c r="A41" s="7">
        <v>44869</v>
      </c>
      <c r="B41">
        <v>5.0556999999999999</v>
      </c>
      <c r="D41" s="28"/>
      <c r="E41" s="7"/>
    </row>
    <row r="42" spans="1:5" x14ac:dyDescent="0.35">
      <c r="A42" s="7">
        <v>44868</v>
      </c>
      <c r="B42">
        <v>5.1136999999999997</v>
      </c>
      <c r="D42" s="28"/>
      <c r="E42" s="7"/>
    </row>
    <row r="43" spans="1:5" x14ac:dyDescent="0.35">
      <c r="A43" s="7">
        <v>44867</v>
      </c>
      <c r="B43">
        <v>5.1432000000000002</v>
      </c>
      <c r="D43" s="28"/>
      <c r="E43" s="7"/>
    </row>
    <row r="44" spans="1:5" x14ac:dyDescent="0.35">
      <c r="A44" s="7">
        <v>44866</v>
      </c>
      <c r="B44">
        <v>5.1475</v>
      </c>
      <c r="D44" s="28"/>
      <c r="E44" s="7"/>
    </row>
    <row r="45" spans="1:5" x14ac:dyDescent="0.35">
      <c r="A45" s="7">
        <v>44865</v>
      </c>
      <c r="B45">
        <v>5.1791</v>
      </c>
      <c r="D45" s="28"/>
      <c r="E45" s="7"/>
    </row>
    <row r="46" spans="1:5" x14ac:dyDescent="0.35">
      <c r="A46" s="7">
        <v>44862</v>
      </c>
      <c r="B46">
        <v>5.2949000000000002</v>
      </c>
      <c r="D46" s="28"/>
      <c r="E46" s="7"/>
    </row>
    <row r="47" spans="1:5" x14ac:dyDescent="0.35">
      <c r="A47" s="7">
        <v>44861</v>
      </c>
      <c r="B47">
        <v>5.3449</v>
      </c>
      <c r="D47" s="28"/>
      <c r="E47" s="7"/>
    </row>
    <row r="48" spans="1:5" x14ac:dyDescent="0.35">
      <c r="A48" s="7">
        <v>44860</v>
      </c>
      <c r="B48">
        <v>5.3803999999999998</v>
      </c>
      <c r="D48" s="28"/>
      <c r="E48" s="7"/>
    </row>
    <row r="49" spans="1:5" x14ac:dyDescent="0.35">
      <c r="A49" s="7">
        <v>44859</v>
      </c>
      <c r="B49">
        <v>5.3167</v>
      </c>
      <c r="D49" s="28"/>
      <c r="E49" s="7"/>
    </row>
    <row r="50" spans="1:5" x14ac:dyDescent="0.35">
      <c r="A50" s="7">
        <v>44858</v>
      </c>
      <c r="B50">
        <v>5.3032000000000004</v>
      </c>
      <c r="D50" s="28"/>
      <c r="E50" s="7"/>
    </row>
    <row r="51" spans="1:5" x14ac:dyDescent="0.35">
      <c r="A51" s="7">
        <v>44855</v>
      </c>
      <c r="B51">
        <v>5.1604999999999999</v>
      </c>
      <c r="D51" s="28"/>
      <c r="E51" s="7"/>
    </row>
    <row r="52" spans="1:5" x14ac:dyDescent="0.35">
      <c r="A52" s="7">
        <v>44854</v>
      </c>
      <c r="B52">
        <v>5.2146999999999997</v>
      </c>
      <c r="D52" s="28"/>
      <c r="E52" s="7"/>
    </row>
    <row r="53" spans="1:5" x14ac:dyDescent="0.35">
      <c r="A53" s="7">
        <v>44853</v>
      </c>
      <c r="B53">
        <v>5.27</v>
      </c>
      <c r="D53" s="28"/>
      <c r="E53" s="7"/>
    </row>
    <row r="54" spans="1:5" x14ac:dyDescent="0.35">
      <c r="A54" s="7">
        <v>44852</v>
      </c>
      <c r="B54">
        <v>5.2404999999999999</v>
      </c>
      <c r="D54" s="28"/>
      <c r="E54" s="7"/>
    </row>
    <row r="55" spans="1:5" x14ac:dyDescent="0.35">
      <c r="A55" s="7">
        <v>44851</v>
      </c>
      <c r="B55">
        <v>5.2808000000000002</v>
      </c>
      <c r="D55" s="28"/>
      <c r="E55" s="7"/>
    </row>
    <row r="56" spans="1:5" x14ac:dyDescent="0.35">
      <c r="A56" s="7">
        <v>44848</v>
      </c>
      <c r="B56">
        <v>5.3251999999999997</v>
      </c>
      <c r="D56" s="28"/>
      <c r="E56" s="7"/>
    </row>
    <row r="57" spans="1:5" x14ac:dyDescent="0.35">
      <c r="A57" s="7">
        <v>44847</v>
      </c>
      <c r="B57">
        <v>5.2625999999999999</v>
      </c>
      <c r="D57" s="28"/>
      <c r="E57" s="7"/>
    </row>
    <row r="58" spans="1:5" x14ac:dyDescent="0.35">
      <c r="A58" s="7">
        <v>44846</v>
      </c>
      <c r="B58">
        <v>5.2930000000000001</v>
      </c>
      <c r="D58" s="28"/>
      <c r="E58" s="7"/>
    </row>
    <row r="59" spans="1:5" x14ac:dyDescent="0.35">
      <c r="A59" s="7">
        <v>44845</v>
      </c>
      <c r="B59">
        <v>5.3005000000000004</v>
      </c>
      <c r="D59" s="28"/>
      <c r="E59" s="7"/>
    </row>
    <row r="60" spans="1:5" x14ac:dyDescent="0.35">
      <c r="A60" s="7">
        <v>44844</v>
      </c>
      <c r="B60">
        <v>5.1901000000000002</v>
      </c>
      <c r="D60" s="28"/>
      <c r="E60" s="7"/>
    </row>
    <row r="61" spans="1:5" x14ac:dyDescent="0.35">
      <c r="A61" s="7">
        <v>44841</v>
      </c>
      <c r="B61">
        <v>5.1996000000000002</v>
      </c>
      <c r="D61" s="28"/>
      <c r="E61" s="7"/>
    </row>
    <row r="62" spans="1:5" x14ac:dyDescent="0.35">
      <c r="A62" s="7">
        <v>44840</v>
      </c>
      <c r="B62">
        <v>5.2217000000000002</v>
      </c>
      <c r="D62" s="28"/>
      <c r="E62" s="7"/>
    </row>
    <row r="63" spans="1:5" x14ac:dyDescent="0.35">
      <c r="A63" s="7">
        <v>44839</v>
      </c>
      <c r="B63">
        <v>5.194</v>
      </c>
      <c r="D63" s="28"/>
      <c r="E63" s="7"/>
    </row>
    <row r="64" spans="1:5" x14ac:dyDescent="0.35">
      <c r="A64" s="7">
        <v>44838</v>
      </c>
      <c r="B64">
        <v>5.1769999999999996</v>
      </c>
      <c r="D64" s="28"/>
      <c r="E64" s="7"/>
    </row>
    <row r="65" spans="1:5" x14ac:dyDescent="0.35">
      <c r="A65" s="7">
        <v>44837</v>
      </c>
      <c r="B65">
        <v>5.1672000000000002</v>
      </c>
      <c r="D65" s="28"/>
      <c r="E65" s="7"/>
    </row>
    <row r="66" spans="1:5" x14ac:dyDescent="0.35">
      <c r="A66" s="7">
        <v>44834</v>
      </c>
      <c r="B66">
        <v>5.4154</v>
      </c>
      <c r="D66" s="28"/>
      <c r="E66" s="7"/>
    </row>
    <row r="67" spans="1:5" x14ac:dyDescent="0.35">
      <c r="A67" s="7">
        <v>44833</v>
      </c>
      <c r="B67">
        <v>5.3963999999999999</v>
      </c>
      <c r="D67" s="28"/>
      <c r="E67" s="7"/>
    </row>
    <row r="68" spans="1:5" x14ac:dyDescent="0.35">
      <c r="A68" s="7">
        <v>44832</v>
      </c>
      <c r="B68">
        <v>5.3745000000000003</v>
      </c>
      <c r="D68" s="28"/>
      <c r="E68" s="7"/>
    </row>
    <row r="69" spans="1:5" x14ac:dyDescent="0.35">
      <c r="A69" s="7">
        <v>44831</v>
      </c>
      <c r="B69">
        <v>5.3823999999999996</v>
      </c>
      <c r="D69" s="28"/>
      <c r="E69" s="7"/>
    </row>
    <row r="70" spans="1:5" x14ac:dyDescent="0.35">
      <c r="A70" s="7">
        <v>44830</v>
      </c>
      <c r="B70">
        <v>5.3898000000000001</v>
      </c>
      <c r="D70" s="28"/>
      <c r="E70" s="7"/>
    </row>
    <row r="71" spans="1:5" x14ac:dyDescent="0.35">
      <c r="A71" s="7">
        <v>44827</v>
      </c>
      <c r="B71">
        <v>5.2595000000000001</v>
      </c>
      <c r="D71" s="28"/>
      <c r="E71" s="7"/>
    </row>
    <row r="72" spans="1:5" x14ac:dyDescent="0.35">
      <c r="A72" s="7">
        <v>44826</v>
      </c>
      <c r="B72">
        <v>5.1166</v>
      </c>
      <c r="D72" s="28"/>
      <c r="E72" s="7"/>
    </row>
    <row r="73" spans="1:5" x14ac:dyDescent="0.35">
      <c r="A73" s="7">
        <v>44825</v>
      </c>
      <c r="B73">
        <v>5.1715999999999998</v>
      </c>
      <c r="D73" s="28"/>
      <c r="E73" s="7"/>
    </row>
    <row r="74" spans="1:5" x14ac:dyDescent="0.35">
      <c r="A74" s="7">
        <v>44824</v>
      </c>
      <c r="B74">
        <v>5.1417000000000002</v>
      </c>
      <c r="D74" s="28"/>
      <c r="E74" s="7"/>
    </row>
    <row r="75" spans="1:5" x14ac:dyDescent="0.35">
      <c r="A75" s="7">
        <v>44823</v>
      </c>
      <c r="B75">
        <v>5.1669999999999998</v>
      </c>
      <c r="D75" s="28"/>
      <c r="E75" s="7"/>
    </row>
    <row r="76" spans="1:5" x14ac:dyDescent="0.35">
      <c r="A76" s="7">
        <v>44820</v>
      </c>
      <c r="B76">
        <v>5.2530999999999999</v>
      </c>
      <c r="D76" s="28"/>
      <c r="E76" s="7"/>
    </row>
    <row r="77" spans="1:5" x14ac:dyDescent="0.35">
      <c r="A77" s="7">
        <v>44819</v>
      </c>
      <c r="B77">
        <v>5.2469999999999999</v>
      </c>
      <c r="D77" s="28"/>
      <c r="E77" s="7"/>
    </row>
    <row r="78" spans="1:5" x14ac:dyDescent="0.35">
      <c r="A78" s="7">
        <v>44818</v>
      </c>
      <c r="B78">
        <v>5.1631</v>
      </c>
      <c r="D78" s="28"/>
      <c r="E78" s="7"/>
    </row>
    <row r="79" spans="1:5" x14ac:dyDescent="0.35">
      <c r="A79" s="7">
        <v>44817</v>
      </c>
      <c r="B79">
        <v>5.1910999999999996</v>
      </c>
      <c r="D79" s="28"/>
      <c r="E79" s="7"/>
    </row>
    <row r="80" spans="1:5" x14ac:dyDescent="0.35">
      <c r="A80" s="7">
        <v>44816</v>
      </c>
      <c r="B80">
        <v>5.093</v>
      </c>
      <c r="D80" s="28"/>
      <c r="E80" s="7"/>
    </row>
    <row r="81" spans="1:5" x14ac:dyDescent="0.35">
      <c r="A81" s="7">
        <v>44813</v>
      </c>
      <c r="B81">
        <v>5.1462000000000003</v>
      </c>
      <c r="D81" s="28"/>
      <c r="E81" s="7"/>
    </row>
    <row r="82" spans="1:5" x14ac:dyDescent="0.35">
      <c r="A82" s="7">
        <v>44812</v>
      </c>
      <c r="B82">
        <v>5.2141000000000002</v>
      </c>
      <c r="D82" s="28"/>
      <c r="E82" s="7"/>
    </row>
    <row r="83" spans="1:5" x14ac:dyDescent="0.35">
      <c r="A83" s="7">
        <v>44811</v>
      </c>
      <c r="B83">
        <v>5.2480000000000002</v>
      </c>
      <c r="D83" s="28"/>
      <c r="E83" s="7"/>
    </row>
    <row r="84" spans="1:5" x14ac:dyDescent="0.35">
      <c r="A84" s="7">
        <v>44810</v>
      </c>
      <c r="B84">
        <v>5.2527999999999997</v>
      </c>
      <c r="D84" s="28"/>
      <c r="E84" s="7"/>
    </row>
    <row r="85" spans="1:5" x14ac:dyDescent="0.35">
      <c r="A85" s="7">
        <v>44809</v>
      </c>
      <c r="B85">
        <v>5.1516000000000002</v>
      </c>
      <c r="D85" s="28"/>
      <c r="E85" s="7"/>
    </row>
    <row r="86" spans="1:5" x14ac:dyDescent="0.35">
      <c r="A86" s="7">
        <v>44806</v>
      </c>
      <c r="B86">
        <v>5.1680999999999999</v>
      </c>
      <c r="D86" s="28"/>
      <c r="E86" s="7"/>
    </row>
    <row r="87" spans="1:5" x14ac:dyDescent="0.35">
      <c r="A87" s="7">
        <v>44805</v>
      </c>
      <c r="B87">
        <v>5.2416</v>
      </c>
      <c r="D87" s="28"/>
      <c r="E87" s="7"/>
    </row>
    <row r="88" spans="1:5" x14ac:dyDescent="0.35">
      <c r="A88" s="7">
        <v>44804</v>
      </c>
      <c r="B88">
        <v>5.1830999999999996</v>
      </c>
      <c r="D88" s="28"/>
      <c r="E88" s="7"/>
    </row>
    <row r="89" spans="1:5" x14ac:dyDescent="0.35">
      <c r="A89" s="7">
        <v>44803</v>
      </c>
      <c r="B89">
        <v>5.1223000000000001</v>
      </c>
      <c r="D89" s="28"/>
      <c r="E89" s="7"/>
    </row>
    <row r="90" spans="1:5" x14ac:dyDescent="0.35">
      <c r="A90" s="7">
        <v>44802</v>
      </c>
      <c r="B90">
        <v>5.0282</v>
      </c>
      <c r="D90" s="28"/>
      <c r="E90" s="7"/>
    </row>
    <row r="91" spans="1:5" x14ac:dyDescent="0.35">
      <c r="A91" s="7">
        <v>44799</v>
      </c>
      <c r="B91">
        <v>5.0601000000000003</v>
      </c>
      <c r="D91" s="28"/>
      <c r="E91" s="7"/>
    </row>
    <row r="92" spans="1:5" x14ac:dyDescent="0.35">
      <c r="A92" s="7">
        <v>44798</v>
      </c>
      <c r="B92">
        <v>5.1098999999999997</v>
      </c>
      <c r="D92" s="28"/>
      <c r="E92" s="7"/>
    </row>
    <row r="93" spans="1:5" x14ac:dyDescent="0.35">
      <c r="A93" s="7">
        <v>44797</v>
      </c>
      <c r="B93">
        <v>5.1113999999999997</v>
      </c>
      <c r="D93" s="28"/>
      <c r="E93" s="7"/>
    </row>
    <row r="94" spans="1:5" x14ac:dyDescent="0.35">
      <c r="A94" s="7">
        <v>44796</v>
      </c>
      <c r="B94">
        <v>5.1036999999999999</v>
      </c>
      <c r="D94" s="28"/>
      <c r="E94" s="7"/>
    </row>
    <row r="95" spans="1:5" x14ac:dyDescent="0.35">
      <c r="A95" s="7">
        <v>44795</v>
      </c>
      <c r="B95">
        <v>5.1574</v>
      </c>
      <c r="D95" s="28"/>
      <c r="E95" s="7"/>
    </row>
    <row r="96" spans="1:5" x14ac:dyDescent="0.35">
      <c r="A96" s="7">
        <v>44792</v>
      </c>
      <c r="B96">
        <v>5.1696999999999997</v>
      </c>
      <c r="D96" s="28"/>
      <c r="E96" s="7"/>
    </row>
    <row r="97" spans="1:5" x14ac:dyDescent="0.35">
      <c r="A97" s="7">
        <v>44791</v>
      </c>
      <c r="B97">
        <v>5.1673999999999998</v>
      </c>
      <c r="D97" s="28"/>
      <c r="E97" s="7"/>
    </row>
    <row r="98" spans="1:5" x14ac:dyDescent="0.35">
      <c r="A98" s="7">
        <v>44790</v>
      </c>
      <c r="B98">
        <v>5.1642000000000001</v>
      </c>
      <c r="D98" s="28"/>
      <c r="E98" s="7"/>
    </row>
    <row r="99" spans="1:5" x14ac:dyDescent="0.35">
      <c r="A99" s="7">
        <v>44789</v>
      </c>
      <c r="B99">
        <v>5.1459000000000001</v>
      </c>
      <c r="D99" s="28"/>
      <c r="E99" s="7"/>
    </row>
    <row r="100" spans="1:5" x14ac:dyDescent="0.35">
      <c r="A100" s="7">
        <v>44788</v>
      </c>
      <c r="B100">
        <v>5.0960999999999999</v>
      </c>
      <c r="D100" s="28"/>
      <c r="E100" s="7"/>
    </row>
    <row r="101" spans="1:5" x14ac:dyDescent="0.35">
      <c r="A101" s="7">
        <v>44785</v>
      </c>
      <c r="B101">
        <v>5.0735000000000001</v>
      </c>
      <c r="D101" s="28"/>
      <c r="E101" s="7"/>
    </row>
    <row r="102" spans="1:5" x14ac:dyDescent="0.35">
      <c r="A102" s="7">
        <v>44784</v>
      </c>
      <c r="B102">
        <v>5.1581000000000001</v>
      </c>
      <c r="D102" s="28"/>
      <c r="E102" s="7"/>
    </row>
    <row r="103" spans="1:5" x14ac:dyDescent="0.35">
      <c r="A103" s="7">
        <v>44783</v>
      </c>
      <c r="B103">
        <v>5.0926999999999998</v>
      </c>
      <c r="D103" s="28"/>
      <c r="E103" s="7"/>
    </row>
    <row r="104" spans="1:5" x14ac:dyDescent="0.35">
      <c r="A104" s="7">
        <v>44782</v>
      </c>
      <c r="B104">
        <v>5.1237000000000004</v>
      </c>
      <c r="D104" s="28"/>
      <c r="E104" s="7"/>
    </row>
    <row r="105" spans="1:5" x14ac:dyDescent="0.35">
      <c r="A105" s="7">
        <v>44781</v>
      </c>
      <c r="B105">
        <v>5.1116999999999999</v>
      </c>
      <c r="D105" s="28"/>
      <c r="E105" s="7"/>
    </row>
    <row r="106" spans="1:5" x14ac:dyDescent="0.35">
      <c r="A106" s="7">
        <v>44778</v>
      </c>
      <c r="B106">
        <v>5.1646000000000001</v>
      </c>
      <c r="D106" s="28"/>
      <c r="E106" s="7"/>
    </row>
    <row r="107" spans="1:5" x14ac:dyDescent="0.35">
      <c r="A107" s="7">
        <v>44777</v>
      </c>
      <c r="B107">
        <v>5.2164000000000001</v>
      </c>
      <c r="D107" s="28"/>
      <c r="E107" s="7"/>
    </row>
    <row r="108" spans="1:5" x14ac:dyDescent="0.35">
      <c r="A108" s="7">
        <v>44776</v>
      </c>
      <c r="B108">
        <v>5.2815000000000003</v>
      </c>
      <c r="D108" s="28"/>
      <c r="E108" s="7"/>
    </row>
    <row r="109" spans="1:5" x14ac:dyDescent="0.35">
      <c r="A109" s="7">
        <v>44775</v>
      </c>
      <c r="B109">
        <v>5.2784000000000004</v>
      </c>
      <c r="D109" s="28"/>
      <c r="E109" s="7"/>
    </row>
    <row r="110" spans="1:5" x14ac:dyDescent="0.35">
      <c r="A110" s="7">
        <v>44774</v>
      </c>
      <c r="B110">
        <v>5.1837999999999997</v>
      </c>
      <c r="D110" s="28"/>
      <c r="E110" s="7"/>
    </row>
    <row r="111" spans="1:5" x14ac:dyDescent="0.35">
      <c r="A111" s="7">
        <v>44771</v>
      </c>
      <c r="B111">
        <v>5.1734</v>
      </c>
      <c r="D111" s="28"/>
      <c r="E111" s="7"/>
    </row>
    <row r="112" spans="1:5" x14ac:dyDescent="0.35">
      <c r="A112" s="7">
        <v>44770</v>
      </c>
      <c r="B112">
        <v>5.1822999999999997</v>
      </c>
      <c r="D112" s="28"/>
      <c r="E112" s="7"/>
    </row>
    <row r="113" spans="1:5" x14ac:dyDescent="0.35">
      <c r="A113" s="7">
        <v>44769</v>
      </c>
      <c r="B113">
        <v>5.2431999999999999</v>
      </c>
      <c r="D113" s="28"/>
      <c r="E113" s="7"/>
    </row>
    <row r="114" spans="1:5" x14ac:dyDescent="0.35">
      <c r="A114" s="7">
        <v>44768</v>
      </c>
      <c r="B114">
        <v>5.3510999999999997</v>
      </c>
      <c r="D114" s="28"/>
      <c r="E114" s="7"/>
    </row>
    <row r="115" spans="1:5" x14ac:dyDescent="0.35">
      <c r="A115" s="7">
        <v>44767</v>
      </c>
      <c r="B115">
        <v>5.3575999999999997</v>
      </c>
      <c r="D115" s="28"/>
      <c r="E115" s="7"/>
    </row>
    <row r="116" spans="1:5" x14ac:dyDescent="0.35">
      <c r="A116" s="7">
        <v>44764</v>
      </c>
      <c r="B116">
        <v>5.4968000000000004</v>
      </c>
      <c r="D116" s="28"/>
      <c r="E116" s="7"/>
    </row>
    <row r="117" spans="1:5" x14ac:dyDescent="0.35">
      <c r="A117" s="7">
        <v>44763</v>
      </c>
      <c r="B117">
        <v>5.4968000000000004</v>
      </c>
      <c r="D117" s="28"/>
      <c r="E117" s="7"/>
    </row>
    <row r="118" spans="1:5" x14ac:dyDescent="0.35">
      <c r="A118" s="7">
        <v>44762</v>
      </c>
      <c r="B118">
        <v>5.4714</v>
      </c>
      <c r="D118" s="28"/>
      <c r="E118" s="7"/>
    </row>
    <row r="119" spans="1:5" x14ac:dyDescent="0.35">
      <c r="A119" s="7">
        <v>44761</v>
      </c>
      <c r="B119">
        <v>5.4135</v>
      </c>
      <c r="D119" s="28"/>
      <c r="E119" s="7"/>
    </row>
    <row r="120" spans="1:5" x14ac:dyDescent="0.35">
      <c r="A120" s="7">
        <v>44760</v>
      </c>
      <c r="B120">
        <v>5.4375</v>
      </c>
      <c r="D120" s="28"/>
      <c r="E120" s="7"/>
    </row>
    <row r="121" spans="1:5" x14ac:dyDescent="0.35">
      <c r="A121" s="7">
        <v>44757</v>
      </c>
      <c r="B121">
        <v>5.4081999999999999</v>
      </c>
      <c r="D121" s="28"/>
      <c r="E121" s="7"/>
    </row>
    <row r="122" spans="1:5" x14ac:dyDescent="0.35">
      <c r="A122" s="7">
        <v>44756</v>
      </c>
      <c r="B122">
        <v>5.4233000000000002</v>
      </c>
      <c r="D122" s="28"/>
      <c r="E122" s="7"/>
    </row>
    <row r="123" spans="1:5" x14ac:dyDescent="0.35">
      <c r="A123" s="7">
        <v>44755</v>
      </c>
      <c r="B123">
        <v>5.3917000000000002</v>
      </c>
      <c r="D123" s="28"/>
      <c r="E123" s="7"/>
    </row>
    <row r="124" spans="1:5" x14ac:dyDescent="0.35">
      <c r="A124" s="7">
        <v>44754</v>
      </c>
      <c r="B124">
        <v>5.4367999999999999</v>
      </c>
      <c r="D124" s="28"/>
      <c r="E124" s="7"/>
    </row>
    <row r="125" spans="1:5" x14ac:dyDescent="0.35">
      <c r="A125" s="7">
        <v>44753</v>
      </c>
      <c r="B125">
        <v>5.3781999999999996</v>
      </c>
      <c r="D125" s="28"/>
      <c r="E125" s="7"/>
    </row>
    <row r="126" spans="1:5" x14ac:dyDescent="0.35">
      <c r="A126" s="7">
        <v>44750</v>
      </c>
      <c r="B126">
        <v>5.2535999999999996</v>
      </c>
      <c r="D126" s="28"/>
      <c r="E126" s="7"/>
    </row>
    <row r="127" spans="1:5" x14ac:dyDescent="0.35">
      <c r="A127" s="7">
        <v>44749</v>
      </c>
      <c r="B127">
        <v>5.3391000000000002</v>
      </c>
      <c r="D127" s="28"/>
      <c r="E127" s="7"/>
    </row>
    <row r="128" spans="1:5" x14ac:dyDescent="0.35">
      <c r="A128" s="7">
        <v>44748</v>
      </c>
      <c r="B128">
        <v>5.4287000000000001</v>
      </c>
      <c r="D128" s="28"/>
      <c r="E128" s="7"/>
    </row>
    <row r="129" spans="1:5" x14ac:dyDescent="0.35">
      <c r="A129" s="7">
        <v>44747</v>
      </c>
      <c r="B129">
        <v>5.3860999999999999</v>
      </c>
      <c r="D129" s="28"/>
      <c r="E129" s="7"/>
    </row>
    <row r="130" spans="1:5" x14ac:dyDescent="0.35">
      <c r="A130" s="7">
        <v>44746</v>
      </c>
      <c r="B130">
        <v>5.3292999999999999</v>
      </c>
      <c r="D130" s="28"/>
      <c r="E130" s="7"/>
    </row>
    <row r="131" spans="1:5" x14ac:dyDescent="0.35">
      <c r="A131" s="7">
        <v>44743</v>
      </c>
      <c r="B131">
        <v>5.3310000000000004</v>
      </c>
      <c r="D131" s="28"/>
      <c r="E131" s="7"/>
    </row>
    <row r="132" spans="1:5" x14ac:dyDescent="0.35">
      <c r="A132" s="7">
        <v>44742</v>
      </c>
      <c r="B132">
        <v>5.2561999999999998</v>
      </c>
      <c r="D132" s="28"/>
      <c r="E132" s="7"/>
    </row>
    <row r="133" spans="1:5" x14ac:dyDescent="0.35">
      <c r="A133" s="7">
        <v>44741</v>
      </c>
      <c r="B133">
        <v>5.1818</v>
      </c>
      <c r="D133" s="28"/>
      <c r="E133" s="7"/>
    </row>
    <row r="134" spans="1:5" x14ac:dyDescent="0.35">
      <c r="A134" s="7">
        <v>44740</v>
      </c>
      <c r="B134">
        <v>5.2675000000000001</v>
      </c>
      <c r="D134" s="28"/>
      <c r="E134" s="7"/>
    </row>
    <row r="135" spans="1:5" x14ac:dyDescent="0.35">
      <c r="A135" s="7">
        <v>44739</v>
      </c>
      <c r="B135">
        <v>5.2366000000000001</v>
      </c>
      <c r="D135" s="28"/>
      <c r="E135" s="7"/>
    </row>
    <row r="136" spans="1:5" x14ac:dyDescent="0.35">
      <c r="A136" s="7">
        <v>44736</v>
      </c>
      <c r="B136">
        <v>5.2416999999999998</v>
      </c>
      <c r="D136" s="28"/>
      <c r="E136" s="7"/>
    </row>
    <row r="137" spans="1:5" x14ac:dyDescent="0.35">
      <c r="A137" s="7">
        <v>44735</v>
      </c>
      <c r="B137">
        <v>5.2405999999999997</v>
      </c>
      <c r="D137" s="28"/>
      <c r="E137" s="7"/>
    </row>
    <row r="138" spans="1:5" x14ac:dyDescent="0.35">
      <c r="A138" s="7">
        <v>44734</v>
      </c>
      <c r="B138">
        <v>5.194</v>
      </c>
      <c r="D138" s="28"/>
      <c r="E138" s="7"/>
    </row>
    <row r="139" spans="1:5" x14ac:dyDescent="0.35">
      <c r="A139" s="7">
        <v>44733</v>
      </c>
      <c r="B139">
        <v>5.1257000000000001</v>
      </c>
      <c r="D139" s="28"/>
      <c r="E139" s="7"/>
    </row>
    <row r="140" spans="1:5" x14ac:dyDescent="0.35">
      <c r="A140" s="7">
        <v>44732</v>
      </c>
      <c r="B140">
        <v>5.1879999999999997</v>
      </c>
      <c r="D140" s="28"/>
      <c r="E140" s="7"/>
    </row>
    <row r="141" spans="1:5" x14ac:dyDescent="0.35">
      <c r="A141" s="7">
        <v>44729</v>
      </c>
      <c r="B141">
        <v>5.1517999999999997</v>
      </c>
      <c r="D141" s="28"/>
      <c r="E141" s="7"/>
    </row>
    <row r="142" spans="1:5" x14ac:dyDescent="0.35">
      <c r="A142" s="7">
        <v>44728</v>
      </c>
      <c r="B142">
        <v>5.0534999999999997</v>
      </c>
      <c r="D142" s="28"/>
      <c r="E142" s="7"/>
    </row>
    <row r="143" spans="1:5" x14ac:dyDescent="0.35">
      <c r="A143" s="7">
        <v>44727</v>
      </c>
      <c r="B143">
        <v>5.0536000000000003</v>
      </c>
      <c r="D143" s="28"/>
      <c r="E143" s="7"/>
    </row>
    <row r="144" spans="1:5" x14ac:dyDescent="0.35">
      <c r="A144" s="7">
        <v>44726</v>
      </c>
      <c r="B144">
        <v>5.1167999999999996</v>
      </c>
      <c r="D144" s="28"/>
      <c r="E144" s="7"/>
    </row>
    <row r="145" spans="1:5" x14ac:dyDescent="0.35">
      <c r="A145" s="7">
        <v>44725</v>
      </c>
      <c r="B145">
        <v>5.1154000000000002</v>
      </c>
      <c r="D145" s="28"/>
      <c r="E145" s="7"/>
    </row>
    <row r="146" spans="1:5" x14ac:dyDescent="0.35">
      <c r="A146" s="7">
        <v>44722</v>
      </c>
      <c r="B146">
        <v>4.9865000000000004</v>
      </c>
      <c r="D146" s="28"/>
      <c r="E146" s="7"/>
    </row>
    <row r="147" spans="1:5" x14ac:dyDescent="0.35">
      <c r="A147" s="7">
        <v>44721</v>
      </c>
      <c r="B147">
        <v>4.9062999999999999</v>
      </c>
      <c r="D147" s="28"/>
      <c r="E147" s="7"/>
    </row>
    <row r="148" spans="1:5" x14ac:dyDescent="0.35">
      <c r="A148" s="7">
        <v>44720</v>
      </c>
      <c r="B148">
        <v>4.8987999999999996</v>
      </c>
      <c r="D148" s="28"/>
      <c r="E148" s="7"/>
    </row>
    <row r="149" spans="1:5" x14ac:dyDescent="0.35">
      <c r="A149" s="7">
        <v>44719</v>
      </c>
      <c r="B149">
        <v>4.8696000000000002</v>
      </c>
      <c r="D149" s="28"/>
      <c r="E149" s="7"/>
    </row>
    <row r="150" spans="1:5" x14ac:dyDescent="0.35">
      <c r="A150" s="7">
        <v>44718</v>
      </c>
      <c r="B150">
        <v>4.7945000000000002</v>
      </c>
      <c r="D150" s="28"/>
      <c r="E150" s="7"/>
    </row>
    <row r="151" spans="1:5" x14ac:dyDescent="0.35">
      <c r="A151" s="7">
        <v>44715</v>
      </c>
      <c r="B151">
        <v>4.7733999999999996</v>
      </c>
      <c r="D151" s="28"/>
      <c r="E151" s="7"/>
    </row>
    <row r="152" spans="1:5" x14ac:dyDescent="0.35">
      <c r="A152" s="7">
        <v>44714</v>
      </c>
      <c r="B152">
        <v>4.7961999999999998</v>
      </c>
      <c r="D152" s="28"/>
      <c r="E152" s="7"/>
    </row>
    <row r="153" spans="1:5" x14ac:dyDescent="0.35">
      <c r="A153" s="7">
        <v>44713</v>
      </c>
      <c r="B153">
        <v>4.8151000000000002</v>
      </c>
      <c r="D153" s="28"/>
      <c r="E153" s="7"/>
    </row>
    <row r="154" spans="1:5" x14ac:dyDescent="0.35">
      <c r="A154" s="7">
        <v>44712</v>
      </c>
      <c r="B154">
        <v>4.7314999999999996</v>
      </c>
      <c r="D154" s="28"/>
      <c r="E154" s="7"/>
    </row>
    <row r="155" spans="1:5" x14ac:dyDescent="0.35">
      <c r="A155" s="7">
        <v>44711</v>
      </c>
      <c r="B155">
        <v>4.7526000000000002</v>
      </c>
      <c r="D155" s="28"/>
      <c r="E155" s="7"/>
    </row>
    <row r="156" spans="1:5" x14ac:dyDescent="0.35">
      <c r="A156" s="7">
        <v>44708</v>
      </c>
      <c r="B156">
        <v>4.7294999999999998</v>
      </c>
      <c r="D156" s="28"/>
      <c r="E156" s="7"/>
    </row>
    <row r="157" spans="1:5" x14ac:dyDescent="0.35">
      <c r="A157" s="7">
        <v>44707</v>
      </c>
      <c r="B157">
        <v>4.7676999999999996</v>
      </c>
      <c r="D157" s="28"/>
      <c r="E157" s="7"/>
    </row>
    <row r="158" spans="1:5" x14ac:dyDescent="0.35">
      <c r="A158" s="7">
        <v>44706</v>
      </c>
      <c r="B158">
        <v>4.8274999999999997</v>
      </c>
      <c r="D158" s="28"/>
      <c r="E158" s="7"/>
    </row>
    <row r="159" spans="1:5" x14ac:dyDescent="0.35">
      <c r="A159" s="7">
        <v>44705</v>
      </c>
      <c r="B159">
        <v>4.8190999999999997</v>
      </c>
      <c r="D159" s="28"/>
      <c r="E159" s="7"/>
    </row>
    <row r="160" spans="1:5" x14ac:dyDescent="0.35">
      <c r="A160" s="7">
        <v>44704</v>
      </c>
      <c r="B160">
        <v>4.8129999999999997</v>
      </c>
      <c r="D160" s="28"/>
      <c r="E160" s="7"/>
    </row>
    <row r="161" spans="1:5" x14ac:dyDescent="0.35">
      <c r="A161" s="7">
        <v>44701</v>
      </c>
      <c r="B161">
        <v>4.8788</v>
      </c>
      <c r="D161" s="28"/>
      <c r="E161" s="7"/>
    </row>
    <row r="162" spans="1:5" x14ac:dyDescent="0.35">
      <c r="A162" s="7">
        <v>44700</v>
      </c>
      <c r="B162">
        <v>4.9309000000000003</v>
      </c>
      <c r="D162" s="28"/>
      <c r="E162" s="7"/>
    </row>
    <row r="163" spans="1:5" x14ac:dyDescent="0.35">
      <c r="A163" s="7">
        <v>44699</v>
      </c>
      <c r="B163">
        <v>4.9682000000000004</v>
      </c>
      <c r="D163" s="28"/>
      <c r="E163" s="7"/>
    </row>
    <row r="164" spans="1:5" x14ac:dyDescent="0.35">
      <c r="A164" s="7">
        <v>44698</v>
      </c>
      <c r="B164">
        <v>4.9386999999999999</v>
      </c>
      <c r="D164" s="28"/>
      <c r="E164" s="7"/>
    </row>
    <row r="165" spans="1:5" x14ac:dyDescent="0.35">
      <c r="A165" s="7">
        <v>44697</v>
      </c>
      <c r="B165">
        <v>5.0598999999999998</v>
      </c>
      <c r="D165" s="28"/>
      <c r="E165" s="7"/>
    </row>
    <row r="166" spans="1:5" x14ac:dyDescent="0.35">
      <c r="A166" s="7">
        <v>44694</v>
      </c>
      <c r="B166">
        <v>5.0602</v>
      </c>
      <c r="D166" s="28"/>
      <c r="E166" s="7"/>
    </row>
    <row r="167" spans="1:5" x14ac:dyDescent="0.35">
      <c r="A167" s="7">
        <v>44693</v>
      </c>
      <c r="B167">
        <v>5.1338999999999997</v>
      </c>
      <c r="D167" s="28"/>
      <c r="E167" s="7"/>
    </row>
    <row r="168" spans="1:5" x14ac:dyDescent="0.35">
      <c r="A168" s="7">
        <v>44692</v>
      </c>
      <c r="B168">
        <v>5.1372999999999998</v>
      </c>
      <c r="D168" s="28"/>
      <c r="E168" s="7"/>
    </row>
    <row r="169" spans="1:5" x14ac:dyDescent="0.35">
      <c r="A169" s="7">
        <v>44691</v>
      </c>
      <c r="B169">
        <v>5.1313000000000004</v>
      </c>
      <c r="D169" s="28"/>
      <c r="E169" s="7"/>
    </row>
    <row r="170" spans="1:5" x14ac:dyDescent="0.35">
      <c r="A170" s="7">
        <v>44690</v>
      </c>
      <c r="B170">
        <v>5.1616999999999997</v>
      </c>
      <c r="D170" s="28"/>
      <c r="E170" s="7"/>
    </row>
    <row r="171" spans="1:5" x14ac:dyDescent="0.35">
      <c r="A171" s="7">
        <v>44687</v>
      </c>
      <c r="B171">
        <v>5.0773999999999999</v>
      </c>
      <c r="D171" s="28"/>
      <c r="E171" s="7"/>
    </row>
    <row r="172" spans="1:5" x14ac:dyDescent="0.35">
      <c r="A172" s="7">
        <v>44686</v>
      </c>
      <c r="B172">
        <v>5.0279999999999996</v>
      </c>
      <c r="D172" s="28"/>
      <c r="E172" s="7"/>
    </row>
    <row r="173" spans="1:5" x14ac:dyDescent="0.35">
      <c r="A173" s="7">
        <v>44685</v>
      </c>
      <c r="B173">
        <v>4.9198000000000004</v>
      </c>
      <c r="D173" s="28"/>
      <c r="E173" s="7"/>
    </row>
    <row r="174" spans="1:5" x14ac:dyDescent="0.35">
      <c r="A174" s="7">
        <v>44684</v>
      </c>
      <c r="B174">
        <v>4.9584000000000001</v>
      </c>
      <c r="D174" s="28"/>
      <c r="E174" s="7"/>
    </row>
    <row r="175" spans="1:5" x14ac:dyDescent="0.35">
      <c r="A175" s="7">
        <v>44683</v>
      </c>
      <c r="B175">
        <v>5.0848000000000004</v>
      </c>
      <c r="D175" s="28"/>
      <c r="E175" s="7"/>
    </row>
    <row r="176" spans="1:5" x14ac:dyDescent="0.35">
      <c r="A176" s="7">
        <v>44680</v>
      </c>
      <c r="B176">
        <v>4.9721000000000002</v>
      </c>
      <c r="D176" s="28"/>
      <c r="E176" s="7"/>
    </row>
    <row r="177" spans="1:5" x14ac:dyDescent="0.35">
      <c r="A177" s="7">
        <v>44679</v>
      </c>
      <c r="B177">
        <v>4.9424999999999999</v>
      </c>
      <c r="D177" s="28"/>
      <c r="E177" s="7"/>
    </row>
    <row r="178" spans="1:5" x14ac:dyDescent="0.35">
      <c r="A178" s="7">
        <v>44678</v>
      </c>
      <c r="B178">
        <v>4.9650999999999996</v>
      </c>
      <c r="D178" s="28"/>
      <c r="E178" s="7"/>
    </row>
    <row r="179" spans="1:5" x14ac:dyDescent="0.35">
      <c r="A179" s="7">
        <v>44677</v>
      </c>
      <c r="B179">
        <v>4.9988999999999999</v>
      </c>
      <c r="D179" s="28"/>
      <c r="E179" s="7"/>
    </row>
    <row r="180" spans="1:5" x14ac:dyDescent="0.35">
      <c r="A180" s="7">
        <v>44676</v>
      </c>
      <c r="B180">
        <v>4.8765999999999998</v>
      </c>
      <c r="D180" s="28"/>
      <c r="E180" s="7"/>
    </row>
    <row r="181" spans="1:5" x14ac:dyDescent="0.35">
      <c r="A181" s="7">
        <v>44673</v>
      </c>
      <c r="B181">
        <v>4.7937000000000003</v>
      </c>
      <c r="D181" s="28"/>
      <c r="E181" s="7"/>
    </row>
    <row r="182" spans="1:5" x14ac:dyDescent="0.35">
      <c r="A182" s="7">
        <v>44672</v>
      </c>
      <c r="B182">
        <v>4.6219999999999999</v>
      </c>
      <c r="D182" s="28"/>
      <c r="E182" s="7"/>
    </row>
    <row r="183" spans="1:5" x14ac:dyDescent="0.35">
      <c r="A183" s="7">
        <v>44671</v>
      </c>
      <c r="B183">
        <v>4.6219000000000001</v>
      </c>
      <c r="D183" s="28"/>
      <c r="E183" s="7"/>
    </row>
    <row r="184" spans="1:5" x14ac:dyDescent="0.35">
      <c r="A184" s="7">
        <v>44670</v>
      </c>
      <c r="B184">
        <v>4.6675000000000004</v>
      </c>
      <c r="D184" s="28"/>
      <c r="E184" s="7"/>
    </row>
    <row r="185" spans="1:5" x14ac:dyDescent="0.35">
      <c r="A185" s="7">
        <v>44669</v>
      </c>
      <c r="B185">
        <v>4.6527000000000003</v>
      </c>
      <c r="D185" s="28"/>
      <c r="E185" s="7"/>
    </row>
    <row r="186" spans="1:5" x14ac:dyDescent="0.35">
      <c r="A186" s="7">
        <v>44666</v>
      </c>
      <c r="B186">
        <v>4.6965000000000003</v>
      </c>
      <c r="D186" s="28"/>
      <c r="E186" s="7"/>
    </row>
    <row r="187" spans="1:5" x14ac:dyDescent="0.35">
      <c r="A187" s="7">
        <v>44665</v>
      </c>
      <c r="B187">
        <v>4.7012999999999998</v>
      </c>
      <c r="D187" s="28"/>
      <c r="E187" s="7"/>
    </row>
    <row r="188" spans="1:5" x14ac:dyDescent="0.35">
      <c r="A188" s="7">
        <v>44664</v>
      </c>
      <c r="B188">
        <v>4.6898999999999997</v>
      </c>
      <c r="D188" s="28"/>
      <c r="E188" s="7"/>
    </row>
    <row r="189" spans="1:5" x14ac:dyDescent="0.35">
      <c r="A189" s="7">
        <v>44663</v>
      </c>
      <c r="B189">
        <v>4.6734999999999998</v>
      </c>
      <c r="D189" s="28"/>
      <c r="E189" s="7"/>
    </row>
    <row r="190" spans="1:5" x14ac:dyDescent="0.35">
      <c r="A190" s="7">
        <v>44662</v>
      </c>
      <c r="B190">
        <v>4.6943999999999999</v>
      </c>
      <c r="D190" s="28"/>
      <c r="E190" s="7"/>
    </row>
    <row r="191" spans="1:5" x14ac:dyDescent="0.35">
      <c r="A191" s="7">
        <v>44659</v>
      </c>
      <c r="B191">
        <v>4.6970000000000001</v>
      </c>
      <c r="D191" s="28"/>
      <c r="E191" s="7"/>
    </row>
    <row r="192" spans="1:5" x14ac:dyDescent="0.35">
      <c r="A192" s="7">
        <v>44658</v>
      </c>
      <c r="B192">
        <v>4.7523999999999997</v>
      </c>
      <c r="D192" s="28"/>
      <c r="E192" s="7"/>
    </row>
    <row r="193" spans="1:5" x14ac:dyDescent="0.35">
      <c r="A193" s="7">
        <v>44657</v>
      </c>
      <c r="B193">
        <v>4.7161</v>
      </c>
      <c r="D193" s="28"/>
      <c r="E193" s="7"/>
    </row>
    <row r="194" spans="1:5" x14ac:dyDescent="0.35">
      <c r="A194" s="7">
        <v>44656</v>
      </c>
      <c r="B194">
        <v>4.6505999999999998</v>
      </c>
      <c r="D194" s="28"/>
      <c r="E194" s="7"/>
    </row>
    <row r="195" spans="1:5" x14ac:dyDescent="0.35">
      <c r="A195" s="7">
        <v>44655</v>
      </c>
      <c r="B195">
        <v>4.5928000000000004</v>
      </c>
      <c r="D195" s="28"/>
      <c r="E195" s="7"/>
    </row>
    <row r="196" spans="1:5" x14ac:dyDescent="0.35">
      <c r="A196" s="7">
        <v>44652</v>
      </c>
      <c r="B196">
        <v>4.6574999999999998</v>
      </c>
      <c r="D196" s="28"/>
      <c r="E196" s="7"/>
    </row>
    <row r="197" spans="1:5" x14ac:dyDescent="0.35">
      <c r="A197" s="7">
        <v>44651</v>
      </c>
      <c r="B197">
        <v>4.7389999999999999</v>
      </c>
      <c r="D197" s="28"/>
      <c r="E197" s="7"/>
    </row>
    <row r="198" spans="1:5" x14ac:dyDescent="0.35">
      <c r="A198" s="7">
        <v>44650</v>
      </c>
      <c r="B198">
        <v>4.7685000000000004</v>
      </c>
      <c r="D198" s="28"/>
      <c r="E198" s="7"/>
    </row>
    <row r="199" spans="1:5" x14ac:dyDescent="0.35">
      <c r="A199" s="7">
        <v>44649</v>
      </c>
      <c r="B199">
        <v>4.7561</v>
      </c>
      <c r="D199" s="28"/>
      <c r="E199" s="7"/>
    </row>
    <row r="200" spans="1:5" x14ac:dyDescent="0.35">
      <c r="A200" s="7">
        <v>44648</v>
      </c>
      <c r="B200">
        <v>4.7675000000000001</v>
      </c>
      <c r="D200" s="28"/>
      <c r="E200" s="7"/>
    </row>
    <row r="201" spans="1:5" x14ac:dyDescent="0.35">
      <c r="A201" s="7">
        <v>44645</v>
      </c>
      <c r="B201">
        <v>4.742</v>
      </c>
      <c r="D201" s="28"/>
      <c r="E201" s="7"/>
    </row>
    <row r="202" spans="1:5" x14ac:dyDescent="0.35">
      <c r="A202" s="7">
        <v>44644</v>
      </c>
      <c r="B202">
        <v>4.8253000000000004</v>
      </c>
      <c r="D202" s="28"/>
      <c r="E202" s="7"/>
    </row>
    <row r="203" spans="1:5" x14ac:dyDescent="0.35">
      <c r="A203" s="7">
        <v>44643</v>
      </c>
      <c r="B203">
        <v>4.8258000000000001</v>
      </c>
      <c r="D203" s="28"/>
      <c r="E203" s="7"/>
    </row>
    <row r="204" spans="1:5" x14ac:dyDescent="0.35">
      <c r="A204" s="7">
        <v>44642</v>
      </c>
      <c r="B204">
        <v>4.9093999999999998</v>
      </c>
      <c r="D204" s="28"/>
      <c r="E204" s="7"/>
    </row>
    <row r="205" spans="1:5" x14ac:dyDescent="0.35">
      <c r="A205" s="7">
        <v>44641</v>
      </c>
      <c r="B205">
        <v>4.9353999999999996</v>
      </c>
      <c r="D205" s="28"/>
      <c r="E205" s="7"/>
    </row>
    <row r="206" spans="1:5" x14ac:dyDescent="0.35">
      <c r="A206" s="7">
        <v>44638</v>
      </c>
      <c r="B206">
        <v>5.0231000000000003</v>
      </c>
      <c r="D206" s="28"/>
      <c r="E206" s="7"/>
    </row>
    <row r="207" spans="1:5" x14ac:dyDescent="0.35">
      <c r="A207" s="7">
        <v>44637</v>
      </c>
      <c r="B207">
        <v>5.0389999999999997</v>
      </c>
      <c r="D207" s="28"/>
      <c r="E207" s="7"/>
    </row>
    <row r="208" spans="1:5" x14ac:dyDescent="0.35">
      <c r="A208" s="7">
        <v>44636</v>
      </c>
      <c r="B208">
        <v>5.0757000000000003</v>
      </c>
      <c r="D208" s="28"/>
      <c r="E208" s="7"/>
    </row>
    <row r="209" spans="1:5" x14ac:dyDescent="0.35">
      <c r="A209" s="7">
        <v>44635</v>
      </c>
      <c r="B209">
        <v>5.1631</v>
      </c>
      <c r="D209" s="28"/>
      <c r="E209" s="7"/>
    </row>
    <row r="210" spans="1:5" x14ac:dyDescent="0.35">
      <c r="A210" s="7">
        <v>44634</v>
      </c>
      <c r="B210">
        <v>5.1193</v>
      </c>
      <c r="D210" s="28"/>
      <c r="E210" s="7"/>
    </row>
    <row r="211" spans="1:5" x14ac:dyDescent="0.35">
      <c r="A211" s="7">
        <v>44631</v>
      </c>
      <c r="B211">
        <v>5.0744999999999996</v>
      </c>
      <c r="D211" s="28"/>
      <c r="E211" s="7"/>
    </row>
    <row r="212" spans="1:5" x14ac:dyDescent="0.35">
      <c r="A212" s="7">
        <v>44630</v>
      </c>
      <c r="B212">
        <v>5.0110000000000001</v>
      </c>
      <c r="D212" s="28"/>
      <c r="E212" s="7"/>
    </row>
    <row r="213" spans="1:5" x14ac:dyDescent="0.35">
      <c r="A213" s="7">
        <v>44629</v>
      </c>
      <c r="B213">
        <v>5.0122999999999998</v>
      </c>
      <c r="D213" s="28"/>
      <c r="E213" s="7"/>
    </row>
    <row r="214" spans="1:5" x14ac:dyDescent="0.35">
      <c r="A214" s="7">
        <v>44628</v>
      </c>
      <c r="B214">
        <v>5.0598999999999998</v>
      </c>
      <c r="D214" s="28"/>
      <c r="E214" s="7"/>
    </row>
    <row r="215" spans="1:5" x14ac:dyDescent="0.35">
      <c r="A215" s="7">
        <v>44627</v>
      </c>
      <c r="B215">
        <v>5.1115000000000004</v>
      </c>
      <c r="D215" s="28"/>
      <c r="E215" s="7"/>
    </row>
    <row r="216" spans="1:5" x14ac:dyDescent="0.35">
      <c r="A216" s="7">
        <v>44624</v>
      </c>
      <c r="B216">
        <v>5.0620000000000003</v>
      </c>
      <c r="D216" s="28"/>
      <c r="E216" s="7"/>
    </row>
    <row r="217" spans="1:5" x14ac:dyDescent="0.35">
      <c r="A217" s="7">
        <v>44623</v>
      </c>
      <c r="B217">
        <v>5.032</v>
      </c>
      <c r="D217" s="28"/>
      <c r="E217" s="7"/>
    </row>
    <row r="218" spans="1:5" x14ac:dyDescent="0.35">
      <c r="A218" s="7">
        <v>44622</v>
      </c>
      <c r="B218">
        <v>5.0994999999999999</v>
      </c>
      <c r="D218" s="28"/>
      <c r="E218" s="7"/>
    </row>
    <row r="219" spans="1:5" x14ac:dyDescent="0.35">
      <c r="A219" s="7">
        <v>44621</v>
      </c>
      <c r="B219">
        <v>5.1595000000000004</v>
      </c>
      <c r="D219" s="28"/>
      <c r="E219" s="7"/>
    </row>
    <row r="220" spans="1:5" x14ac:dyDescent="0.35">
      <c r="A220" s="7">
        <v>44620</v>
      </c>
      <c r="B220">
        <v>5.1599000000000004</v>
      </c>
      <c r="D220" s="28"/>
      <c r="E220" s="7"/>
    </row>
    <row r="221" spans="1:5" x14ac:dyDescent="0.35">
      <c r="A221" s="7">
        <v>44617</v>
      </c>
      <c r="B221">
        <v>5.1623000000000001</v>
      </c>
      <c r="D221" s="28"/>
      <c r="E221" s="7"/>
    </row>
    <row r="222" spans="1:5" x14ac:dyDescent="0.35">
      <c r="A222" s="7">
        <v>44616</v>
      </c>
      <c r="B222">
        <v>5.1231</v>
      </c>
      <c r="D222" s="28"/>
      <c r="E222" s="7"/>
    </row>
    <row r="223" spans="1:5" x14ac:dyDescent="0.35">
      <c r="A223" s="7">
        <v>44615</v>
      </c>
      <c r="B223">
        <v>5.0096999999999996</v>
      </c>
      <c r="D223" s="28"/>
      <c r="E223" s="7"/>
    </row>
    <row r="224" spans="1:5" x14ac:dyDescent="0.35">
      <c r="A224" s="7">
        <v>44614</v>
      </c>
      <c r="B224">
        <v>5.0583</v>
      </c>
      <c r="D224" s="28"/>
      <c r="E224" s="7"/>
    </row>
    <row r="225" spans="1:5" x14ac:dyDescent="0.35">
      <c r="A225" s="7">
        <v>44613</v>
      </c>
      <c r="B225">
        <v>5.1036000000000001</v>
      </c>
      <c r="D225" s="28"/>
      <c r="E225" s="7"/>
    </row>
    <row r="226" spans="1:5" x14ac:dyDescent="0.35">
      <c r="A226" s="7">
        <v>44610</v>
      </c>
      <c r="B226">
        <v>5.1384999999999996</v>
      </c>
      <c r="D226" s="28"/>
      <c r="E226" s="7"/>
    </row>
    <row r="227" spans="1:5" x14ac:dyDescent="0.35">
      <c r="A227" s="7">
        <v>44609</v>
      </c>
      <c r="B227">
        <v>5.1718000000000002</v>
      </c>
      <c r="D227" s="28"/>
      <c r="E227" s="7"/>
    </row>
    <row r="228" spans="1:5" x14ac:dyDescent="0.35">
      <c r="A228" s="7">
        <v>44608</v>
      </c>
      <c r="B228">
        <v>5.1364999999999998</v>
      </c>
      <c r="D228" s="28"/>
      <c r="E228" s="7"/>
    </row>
    <row r="229" spans="1:5" x14ac:dyDescent="0.35">
      <c r="A229" s="7">
        <v>44607</v>
      </c>
      <c r="B229">
        <v>5.1589999999999998</v>
      </c>
      <c r="D229" s="28"/>
      <c r="E229" s="7"/>
    </row>
    <row r="230" spans="1:5" x14ac:dyDescent="0.35">
      <c r="A230" s="7">
        <v>44606</v>
      </c>
      <c r="B230">
        <v>5.2149000000000001</v>
      </c>
      <c r="D230" s="28"/>
      <c r="E230" s="7"/>
    </row>
    <row r="231" spans="1:5" x14ac:dyDescent="0.35">
      <c r="A231" s="7">
        <v>44603</v>
      </c>
      <c r="B231">
        <v>5.2526999999999999</v>
      </c>
      <c r="D231" s="28"/>
      <c r="E231" s="7"/>
    </row>
    <row r="232" spans="1:5" x14ac:dyDescent="0.35">
      <c r="A232" s="7">
        <v>44602</v>
      </c>
      <c r="B232">
        <v>5.2496</v>
      </c>
      <c r="D232" s="28"/>
      <c r="E232" s="7"/>
    </row>
    <row r="233" spans="1:5" x14ac:dyDescent="0.35">
      <c r="A233" s="7">
        <v>44601</v>
      </c>
      <c r="B233">
        <v>5.2354000000000003</v>
      </c>
      <c r="D233" s="28"/>
      <c r="E233" s="7"/>
    </row>
    <row r="234" spans="1:5" x14ac:dyDescent="0.35">
      <c r="A234" s="7">
        <v>44600</v>
      </c>
      <c r="B234">
        <v>5.2592999999999996</v>
      </c>
      <c r="D234" s="28"/>
      <c r="E234" s="7"/>
    </row>
    <row r="235" spans="1:5" x14ac:dyDescent="0.35">
      <c r="A235" s="7">
        <v>44599</v>
      </c>
      <c r="B235">
        <v>5.2636000000000003</v>
      </c>
      <c r="D235" s="28"/>
      <c r="E235" s="7"/>
    </row>
    <row r="236" spans="1:5" x14ac:dyDescent="0.35">
      <c r="A236" s="7">
        <v>44596</v>
      </c>
      <c r="B236">
        <v>5.3278999999999996</v>
      </c>
      <c r="D236" s="28"/>
      <c r="E236" s="7"/>
    </row>
    <row r="237" spans="1:5" x14ac:dyDescent="0.35">
      <c r="A237" s="7">
        <v>44595</v>
      </c>
      <c r="B237">
        <v>5.2839</v>
      </c>
      <c r="D237" s="28"/>
      <c r="E237" s="7"/>
    </row>
    <row r="238" spans="1:5" x14ac:dyDescent="0.35">
      <c r="A238" s="7">
        <v>44594</v>
      </c>
      <c r="B238">
        <v>5.2619999999999996</v>
      </c>
      <c r="D238" s="28"/>
      <c r="E238" s="7"/>
    </row>
    <row r="239" spans="1:5" x14ac:dyDescent="0.35">
      <c r="A239" s="7">
        <v>44593</v>
      </c>
      <c r="B239">
        <v>5.2655000000000003</v>
      </c>
      <c r="D239" s="28"/>
      <c r="E239" s="7"/>
    </row>
    <row r="240" spans="1:5" x14ac:dyDescent="0.35">
      <c r="A240" s="7">
        <v>44592</v>
      </c>
      <c r="B240">
        <v>5.3041</v>
      </c>
      <c r="D240" s="28"/>
      <c r="E240" s="7"/>
    </row>
    <row r="241" spans="1:5" x14ac:dyDescent="0.35">
      <c r="A241" s="7">
        <v>44589</v>
      </c>
      <c r="B241">
        <v>5.3673999999999999</v>
      </c>
      <c r="D241" s="28"/>
      <c r="E241" s="7"/>
    </row>
    <row r="242" spans="1:5" x14ac:dyDescent="0.35">
      <c r="A242" s="7">
        <v>44588</v>
      </c>
      <c r="B242">
        <v>5.4065000000000003</v>
      </c>
      <c r="D242" s="28"/>
      <c r="E242" s="7"/>
    </row>
    <row r="243" spans="1:5" x14ac:dyDescent="0.35">
      <c r="A243" s="7">
        <v>44587</v>
      </c>
      <c r="B243">
        <v>5.4324000000000003</v>
      </c>
      <c r="D243" s="28"/>
      <c r="E243" s="7"/>
    </row>
    <row r="244" spans="1:5" x14ac:dyDescent="0.35">
      <c r="A244" s="7">
        <v>44586</v>
      </c>
      <c r="B244">
        <v>5.4436999999999998</v>
      </c>
      <c r="D244" s="28"/>
      <c r="E244" s="7"/>
    </row>
    <row r="245" spans="1:5" x14ac:dyDescent="0.35">
      <c r="A245" s="7">
        <v>44585</v>
      </c>
      <c r="B245">
        <v>5.4877000000000002</v>
      </c>
      <c r="D245" s="28"/>
      <c r="E245" s="7"/>
    </row>
    <row r="246" spans="1:5" x14ac:dyDescent="0.35">
      <c r="A246" s="7">
        <v>44582</v>
      </c>
      <c r="B246">
        <v>5.4581999999999997</v>
      </c>
      <c r="D246" s="28"/>
      <c r="E246" s="7"/>
    </row>
    <row r="247" spans="1:5" x14ac:dyDescent="0.35">
      <c r="A247" s="7">
        <v>44581</v>
      </c>
      <c r="B247">
        <v>5.4191000000000003</v>
      </c>
      <c r="D247" s="28"/>
      <c r="E247" s="7"/>
    </row>
    <row r="248" spans="1:5" x14ac:dyDescent="0.35">
      <c r="A248" s="7">
        <v>44580</v>
      </c>
      <c r="B248">
        <v>5.4382999999999999</v>
      </c>
      <c r="D248" s="28"/>
      <c r="E248" s="7"/>
    </row>
    <row r="249" spans="1:5" x14ac:dyDescent="0.35">
      <c r="A249" s="7">
        <v>44579</v>
      </c>
      <c r="B249">
        <v>5.5666000000000002</v>
      </c>
      <c r="D249" s="28"/>
      <c r="E249" s="7"/>
    </row>
    <row r="250" spans="1:5" x14ac:dyDescent="0.35">
      <c r="A250" s="7">
        <v>44578</v>
      </c>
      <c r="B250">
        <v>5.5164999999999997</v>
      </c>
      <c r="D250" s="28"/>
      <c r="E250" s="7"/>
    </row>
    <row r="251" spans="1:5" x14ac:dyDescent="0.35">
      <c r="A251" s="7">
        <v>44575</v>
      </c>
      <c r="B251">
        <v>5.5343999999999998</v>
      </c>
      <c r="D251" s="28"/>
      <c r="E251" s="7"/>
    </row>
    <row r="252" spans="1:5" x14ac:dyDescent="0.35">
      <c r="A252" s="7">
        <v>44574</v>
      </c>
      <c r="B252">
        <v>5.5286</v>
      </c>
      <c r="D252" s="28"/>
      <c r="E252" s="7"/>
    </row>
    <row r="253" spans="1:5" x14ac:dyDescent="0.35">
      <c r="A253" s="7">
        <v>44573</v>
      </c>
      <c r="B253">
        <v>5.5338000000000003</v>
      </c>
      <c r="D253" s="28"/>
      <c r="E253" s="7"/>
    </row>
    <row r="254" spans="1:5" x14ac:dyDescent="0.35">
      <c r="A254" s="7">
        <v>44572</v>
      </c>
      <c r="B254">
        <v>5.5686</v>
      </c>
      <c r="D254" s="28"/>
      <c r="E254" s="7"/>
    </row>
    <row r="255" spans="1:5" x14ac:dyDescent="0.35">
      <c r="A255" s="7">
        <v>44571</v>
      </c>
      <c r="B255">
        <v>5.6632999999999996</v>
      </c>
      <c r="D255" s="28"/>
      <c r="E255" s="7"/>
    </row>
    <row r="256" spans="1:5" x14ac:dyDescent="0.35">
      <c r="A256" s="7">
        <v>44568</v>
      </c>
      <c r="B256">
        <v>5.6355000000000004</v>
      </c>
      <c r="D256" s="28"/>
      <c r="E256" s="7"/>
    </row>
    <row r="257" spans="1:5" x14ac:dyDescent="0.35">
      <c r="A257" s="7">
        <v>44567</v>
      </c>
      <c r="B257">
        <v>5.6833999999999998</v>
      </c>
      <c r="D257" s="28"/>
      <c r="E257" s="7"/>
    </row>
    <row r="258" spans="1:5" x14ac:dyDescent="0.35">
      <c r="A258" s="7">
        <v>44566</v>
      </c>
      <c r="B258">
        <v>5.7087000000000003</v>
      </c>
      <c r="D258" s="28"/>
      <c r="E258" s="7"/>
    </row>
    <row r="259" spans="1:5" x14ac:dyDescent="0.35">
      <c r="A259" s="7">
        <v>44565</v>
      </c>
      <c r="B259">
        <v>5.6769999999999996</v>
      </c>
      <c r="D259" s="28"/>
      <c r="E259" s="7"/>
    </row>
    <row r="260" spans="1:5" x14ac:dyDescent="0.35">
      <c r="A260" s="7">
        <v>44564</v>
      </c>
      <c r="B260">
        <v>5.6818</v>
      </c>
      <c r="D260" s="28"/>
      <c r="E260" s="7"/>
    </row>
    <row r="261" spans="1:5" x14ac:dyDescent="0.35">
      <c r="A261" s="7">
        <v>44561</v>
      </c>
      <c r="B261">
        <v>5.5799000000000003</v>
      </c>
      <c r="D261" s="28"/>
      <c r="E261" s="7"/>
    </row>
    <row r="262" spans="1:5" x14ac:dyDescent="0.35">
      <c r="A262" s="7">
        <v>44560</v>
      </c>
      <c r="B262">
        <v>5.5799000000000003</v>
      </c>
      <c r="D262" s="28"/>
      <c r="E262" s="7"/>
    </row>
    <row r="263" spans="1:5" x14ac:dyDescent="0.35">
      <c r="A263" s="7">
        <v>44559</v>
      </c>
      <c r="B263">
        <v>5.6612999999999998</v>
      </c>
      <c r="D263" s="28"/>
      <c r="E263" s="7"/>
    </row>
    <row r="264" spans="1:5" x14ac:dyDescent="0.35">
      <c r="A264" s="7">
        <v>44558</v>
      </c>
      <c r="B264">
        <v>5.6432000000000002</v>
      </c>
      <c r="D264" s="28"/>
      <c r="E264" s="7"/>
    </row>
    <row r="265" spans="1:5" x14ac:dyDescent="0.35">
      <c r="A265" s="7">
        <v>44557</v>
      </c>
      <c r="B265">
        <v>5.6643999999999997</v>
      </c>
      <c r="D265" s="28"/>
      <c r="E265" s="7"/>
    </row>
    <row r="266" spans="1:5" x14ac:dyDescent="0.35">
      <c r="A266" s="7">
        <v>44554</v>
      </c>
      <c r="B266">
        <v>5.6540999999999997</v>
      </c>
      <c r="D266" s="28"/>
      <c r="E266" s="7"/>
    </row>
    <row r="267" spans="1:5" x14ac:dyDescent="0.35">
      <c r="A267" s="7">
        <v>44553</v>
      </c>
      <c r="B267">
        <v>5.6904000000000003</v>
      </c>
      <c r="D267" s="28"/>
      <c r="E267" s="7"/>
    </row>
    <row r="268" spans="1:5" x14ac:dyDescent="0.35">
      <c r="A268" s="7">
        <v>44552</v>
      </c>
      <c r="B268">
        <v>5.7195</v>
      </c>
      <c r="D268" s="28"/>
      <c r="E268" s="7"/>
    </row>
    <row r="269" spans="1:5" x14ac:dyDescent="0.35">
      <c r="A269" s="7">
        <v>44551</v>
      </c>
      <c r="B269">
        <v>5.7366999999999999</v>
      </c>
      <c r="D269" s="28"/>
      <c r="E269" s="7"/>
    </row>
    <row r="270" spans="1:5" x14ac:dyDescent="0.35">
      <c r="A270" s="7">
        <v>44550</v>
      </c>
      <c r="B270">
        <v>5.7049000000000003</v>
      </c>
      <c r="D270" s="28"/>
      <c r="E270" s="7"/>
    </row>
    <row r="271" spans="1:5" x14ac:dyDescent="0.35">
      <c r="A271" s="7">
        <v>44547</v>
      </c>
      <c r="B271">
        <v>5.6952999999999996</v>
      </c>
      <c r="D271" s="28"/>
      <c r="E271" s="7"/>
    </row>
    <row r="272" spans="1:5" x14ac:dyDescent="0.35">
      <c r="A272" s="7">
        <v>44546</v>
      </c>
      <c r="B272">
        <v>5.6957000000000004</v>
      </c>
      <c r="D272" s="28"/>
      <c r="E272" s="7"/>
    </row>
    <row r="273" spans="1:5" x14ac:dyDescent="0.35">
      <c r="A273" s="7">
        <v>44545</v>
      </c>
      <c r="B273">
        <v>5.7121000000000004</v>
      </c>
      <c r="D273" s="28"/>
      <c r="E273" s="7"/>
    </row>
    <row r="274" spans="1:5" x14ac:dyDescent="0.35">
      <c r="A274" s="7">
        <v>44544</v>
      </c>
      <c r="B274">
        <v>5.6455000000000002</v>
      </c>
      <c r="D274" s="28"/>
      <c r="E274" s="7"/>
    </row>
    <row r="275" spans="1:5" x14ac:dyDescent="0.35">
      <c r="A275" s="7">
        <v>44543</v>
      </c>
      <c r="B275">
        <v>5.6351000000000004</v>
      </c>
      <c r="D275" s="28"/>
      <c r="E275" s="7"/>
    </row>
    <row r="276" spans="1:5" x14ac:dyDescent="0.35">
      <c r="A276" s="7">
        <v>44540</v>
      </c>
      <c r="B276">
        <v>5.5925000000000002</v>
      </c>
      <c r="D276" s="28"/>
      <c r="E276" s="7"/>
    </row>
    <row r="277" spans="1:5" x14ac:dyDescent="0.35">
      <c r="A277" s="7">
        <v>44539</v>
      </c>
      <c r="B277">
        <v>5.5557999999999996</v>
      </c>
      <c r="D277" s="28"/>
      <c r="E277" s="7"/>
    </row>
    <row r="278" spans="1:5" x14ac:dyDescent="0.35">
      <c r="A278" s="7">
        <v>44538</v>
      </c>
      <c r="B278">
        <v>5.5773000000000001</v>
      </c>
      <c r="D278" s="28"/>
      <c r="E278" s="7"/>
    </row>
    <row r="279" spans="1:5" x14ac:dyDescent="0.35">
      <c r="A279" s="7">
        <v>44537</v>
      </c>
      <c r="B279">
        <v>5.6405000000000003</v>
      </c>
      <c r="D279" s="28"/>
      <c r="E279" s="7"/>
    </row>
    <row r="280" spans="1:5" x14ac:dyDescent="0.35">
      <c r="A280" s="7">
        <v>44536</v>
      </c>
      <c r="B280">
        <v>5.6871</v>
      </c>
      <c r="D280" s="28"/>
      <c r="E280" s="7"/>
    </row>
    <row r="281" spans="1:5" x14ac:dyDescent="0.35">
      <c r="A281" s="7">
        <v>44533</v>
      </c>
      <c r="B281">
        <v>5.6425999999999998</v>
      </c>
      <c r="D281" s="28"/>
      <c r="E281" s="7"/>
    </row>
    <row r="282" spans="1:5" x14ac:dyDescent="0.35">
      <c r="A282" s="7">
        <v>44532</v>
      </c>
      <c r="B282">
        <v>5.6338999999999997</v>
      </c>
      <c r="D282" s="28"/>
      <c r="E282" s="7"/>
    </row>
    <row r="283" spans="1:5" x14ac:dyDescent="0.35">
      <c r="A283" s="7">
        <v>44531</v>
      </c>
      <c r="B283">
        <v>5.6162000000000001</v>
      </c>
      <c r="D283" s="28"/>
      <c r="E283" s="7"/>
    </row>
    <row r="284" spans="1:5" x14ac:dyDescent="0.35">
      <c r="A284" s="7">
        <v>44530</v>
      </c>
      <c r="B284">
        <v>5.6193</v>
      </c>
      <c r="D284" s="28"/>
      <c r="E284" s="7"/>
    </row>
    <row r="285" spans="1:5" x14ac:dyDescent="0.35">
      <c r="A285" s="7">
        <v>44529</v>
      </c>
      <c r="B285">
        <v>5.6112000000000002</v>
      </c>
      <c r="D285" s="28"/>
      <c r="E285" s="7"/>
    </row>
    <row r="286" spans="1:5" x14ac:dyDescent="0.35">
      <c r="A286" s="7">
        <v>44526</v>
      </c>
      <c r="B286">
        <v>5.5858999999999996</v>
      </c>
      <c r="D286" s="28"/>
      <c r="E286" s="7"/>
    </row>
    <row r="287" spans="1:5" x14ac:dyDescent="0.35">
      <c r="A287" s="7">
        <v>44525</v>
      </c>
      <c r="B287">
        <v>5.5734000000000004</v>
      </c>
      <c r="D287" s="28"/>
      <c r="E287" s="7"/>
    </row>
    <row r="288" spans="1:5" x14ac:dyDescent="0.35">
      <c r="A288" s="7">
        <v>44524</v>
      </c>
      <c r="B288">
        <v>5.6021000000000001</v>
      </c>
      <c r="D288" s="28"/>
      <c r="E288" s="7"/>
    </row>
    <row r="289" spans="1:5" x14ac:dyDescent="0.35">
      <c r="A289" s="7">
        <v>44523</v>
      </c>
      <c r="B289">
        <v>5.6449999999999996</v>
      </c>
      <c r="D289" s="28"/>
      <c r="E289" s="7"/>
    </row>
    <row r="290" spans="1:5" x14ac:dyDescent="0.35">
      <c r="A290" s="7">
        <v>44522</v>
      </c>
      <c r="B290">
        <v>5.5834999999999999</v>
      </c>
      <c r="D290" s="28"/>
      <c r="E290" s="7"/>
    </row>
    <row r="291" spans="1:5" x14ac:dyDescent="0.35">
      <c r="A291" s="7">
        <v>44519</v>
      </c>
      <c r="B291">
        <v>5.5578000000000003</v>
      </c>
      <c r="D291" s="28"/>
      <c r="E291" s="7"/>
    </row>
    <row r="292" spans="1:5" x14ac:dyDescent="0.35">
      <c r="A292" s="7">
        <v>44518</v>
      </c>
      <c r="B292">
        <v>5.5464000000000002</v>
      </c>
      <c r="D292" s="28"/>
      <c r="E292" s="7"/>
    </row>
    <row r="293" spans="1:5" x14ac:dyDescent="0.35">
      <c r="A293" s="7">
        <v>44517</v>
      </c>
      <c r="B293">
        <v>5.4987000000000004</v>
      </c>
      <c r="D293" s="28"/>
      <c r="E293" s="7"/>
    </row>
    <row r="294" spans="1:5" x14ac:dyDescent="0.35">
      <c r="A294" s="7">
        <v>44516</v>
      </c>
      <c r="B294">
        <v>5.4766000000000004</v>
      </c>
      <c r="D294" s="28"/>
      <c r="E294" s="7"/>
    </row>
    <row r="295" spans="1:5" x14ac:dyDescent="0.35">
      <c r="A295" s="7">
        <v>44512</v>
      </c>
      <c r="B295">
        <v>5.4192999999999998</v>
      </c>
      <c r="D295" s="28"/>
      <c r="E295" s="7"/>
    </row>
    <row r="296" spans="1:5" x14ac:dyDescent="0.35">
      <c r="A296" s="7">
        <v>44511</v>
      </c>
      <c r="B296">
        <v>5.4165000000000001</v>
      </c>
      <c r="D296" s="28"/>
      <c r="E296" s="7"/>
    </row>
    <row r="297" spans="1:5" x14ac:dyDescent="0.35">
      <c r="A297" s="7">
        <v>44510</v>
      </c>
      <c r="B297">
        <v>5.4584000000000001</v>
      </c>
      <c r="D297" s="28"/>
      <c r="E297" s="7"/>
    </row>
    <row r="298" spans="1:5" x14ac:dyDescent="0.35">
      <c r="A298" s="7">
        <v>44509</v>
      </c>
      <c r="B298">
        <v>5.4950999999999999</v>
      </c>
      <c r="D298" s="28"/>
      <c r="E298" s="7"/>
    </row>
    <row r="299" spans="1:5" x14ac:dyDescent="0.35">
      <c r="A299" s="7">
        <v>44508</v>
      </c>
      <c r="B299">
        <v>5.5621</v>
      </c>
      <c r="D299" s="28"/>
      <c r="E299" s="7"/>
    </row>
    <row r="300" spans="1:5" x14ac:dyDescent="0.35">
      <c r="A300" s="7">
        <v>44505</v>
      </c>
      <c r="B300">
        <v>5.5449000000000002</v>
      </c>
      <c r="D300" s="28"/>
      <c r="E300" s="7"/>
    </row>
    <row r="301" spans="1:5" x14ac:dyDescent="0.35">
      <c r="A301" s="7">
        <v>44504</v>
      </c>
      <c r="B301">
        <v>5.5936000000000003</v>
      </c>
      <c r="D301" s="28"/>
      <c r="E301" s="7"/>
    </row>
    <row r="302" spans="1:5" x14ac:dyDescent="0.35">
      <c r="A302" s="7">
        <v>44503</v>
      </c>
      <c r="B302">
        <v>5.6665999999999999</v>
      </c>
      <c r="D302" s="28"/>
      <c r="E302" s="7"/>
    </row>
    <row r="303" spans="1:5" x14ac:dyDescent="0.35">
      <c r="A303" s="7">
        <v>44501</v>
      </c>
      <c r="B303">
        <v>5.6688000000000001</v>
      </c>
      <c r="D303" s="28"/>
      <c r="E303" s="7"/>
    </row>
    <row r="304" spans="1:5" x14ac:dyDescent="0.35">
      <c r="A304" s="7">
        <v>44498</v>
      </c>
      <c r="B304">
        <v>5.6424000000000003</v>
      </c>
      <c r="D304" s="28"/>
      <c r="E304" s="7"/>
    </row>
    <row r="305" spans="1:5" x14ac:dyDescent="0.35">
      <c r="A305" s="7">
        <v>44497</v>
      </c>
      <c r="B305">
        <v>5.6117999999999997</v>
      </c>
      <c r="D305" s="28"/>
      <c r="E305" s="7"/>
    </row>
    <row r="306" spans="1:5" x14ac:dyDescent="0.35">
      <c r="A306" s="7">
        <v>44496</v>
      </c>
      <c r="B306">
        <v>5.5660999999999996</v>
      </c>
      <c r="D306" s="28"/>
      <c r="E306" s="7"/>
    </row>
    <row r="307" spans="1:5" x14ac:dyDescent="0.35">
      <c r="A307" s="7">
        <v>44495</v>
      </c>
      <c r="B307">
        <v>5.5793999999999997</v>
      </c>
      <c r="D307" s="28"/>
      <c r="E307" s="7"/>
    </row>
    <row r="308" spans="1:5" x14ac:dyDescent="0.35">
      <c r="A308" s="7">
        <v>44494</v>
      </c>
      <c r="B308">
        <v>5.5967000000000002</v>
      </c>
      <c r="D308" s="28"/>
      <c r="E308" s="7"/>
    </row>
    <row r="309" spans="1:5" x14ac:dyDescent="0.35">
      <c r="A309" s="7">
        <v>44491</v>
      </c>
      <c r="B309">
        <v>5.7111000000000001</v>
      </c>
      <c r="D309" s="28"/>
      <c r="E309" s="7"/>
    </row>
    <row r="310" spans="1:5" x14ac:dyDescent="0.35">
      <c r="A310" s="7">
        <v>44490</v>
      </c>
      <c r="B310">
        <v>5.6417000000000002</v>
      </c>
      <c r="D310" s="28"/>
      <c r="E310" s="7"/>
    </row>
    <row r="311" spans="1:5" x14ac:dyDescent="0.35">
      <c r="A311" s="7">
        <v>44489</v>
      </c>
      <c r="B311">
        <v>5.5564999999999998</v>
      </c>
      <c r="D311" s="28"/>
      <c r="E311" s="7"/>
    </row>
    <row r="312" spans="1:5" x14ac:dyDescent="0.35">
      <c r="A312" s="7">
        <v>44488</v>
      </c>
      <c r="B312">
        <v>5.5514999999999999</v>
      </c>
      <c r="D312" s="28"/>
      <c r="E312" s="7"/>
    </row>
    <row r="313" spans="1:5" x14ac:dyDescent="0.35">
      <c r="A313" s="7">
        <v>44487</v>
      </c>
      <c r="B313">
        <v>5.5186999999999999</v>
      </c>
      <c r="D313" s="28"/>
      <c r="E313" s="7"/>
    </row>
    <row r="314" spans="1:5" x14ac:dyDescent="0.35">
      <c r="A314" s="7">
        <v>44484</v>
      </c>
      <c r="B314">
        <v>5.4504000000000001</v>
      </c>
      <c r="D314" s="28"/>
      <c r="E314" s="7"/>
    </row>
    <row r="315" spans="1:5" x14ac:dyDescent="0.35">
      <c r="A315" s="7">
        <v>44483</v>
      </c>
      <c r="B315">
        <v>5.4981999999999998</v>
      </c>
      <c r="D315" s="28"/>
      <c r="E315" s="7"/>
    </row>
    <row r="316" spans="1:5" x14ac:dyDescent="0.35">
      <c r="A316" s="7">
        <v>44482</v>
      </c>
      <c r="B316">
        <v>5.5464000000000002</v>
      </c>
      <c r="D316" s="28"/>
      <c r="E316" s="7"/>
    </row>
    <row r="317" spans="1:5" x14ac:dyDescent="0.35">
      <c r="A317" s="7">
        <v>44480</v>
      </c>
      <c r="B317">
        <v>5.5155000000000003</v>
      </c>
      <c r="D317" s="28"/>
      <c r="E317" s="7"/>
    </row>
    <row r="318" spans="1:5" x14ac:dyDescent="0.35">
      <c r="A318" s="7">
        <v>44477</v>
      </c>
      <c r="B318">
        <v>5.5077999999999996</v>
      </c>
      <c r="D318" s="28"/>
      <c r="E318" s="7"/>
    </row>
    <row r="319" spans="1:5" x14ac:dyDescent="0.35">
      <c r="A319" s="7">
        <v>44476</v>
      </c>
      <c r="B319">
        <v>5.5133999999999999</v>
      </c>
      <c r="D319" s="28"/>
      <c r="E319" s="7"/>
    </row>
    <row r="320" spans="1:5" x14ac:dyDescent="0.35">
      <c r="A320" s="7">
        <v>44475</v>
      </c>
      <c r="B320">
        <v>5.5091000000000001</v>
      </c>
      <c r="D320" s="28"/>
      <c r="E320" s="7"/>
    </row>
    <row r="321" spans="1:5" x14ac:dyDescent="0.35">
      <c r="A321" s="7">
        <v>44474</v>
      </c>
      <c r="B321">
        <v>5.4604999999999997</v>
      </c>
      <c r="D321" s="28"/>
      <c r="E321" s="7"/>
    </row>
    <row r="322" spans="1:5" x14ac:dyDescent="0.35">
      <c r="A322" s="7">
        <v>44473</v>
      </c>
      <c r="B322">
        <v>5.4198000000000004</v>
      </c>
      <c r="D322" s="28"/>
      <c r="E322" s="7"/>
    </row>
    <row r="323" spans="1:5" x14ac:dyDescent="0.35">
      <c r="A323" s="7">
        <v>44470</v>
      </c>
      <c r="B323">
        <v>5.3905000000000003</v>
      </c>
      <c r="D323" s="28"/>
      <c r="E323" s="7"/>
    </row>
    <row r="324" spans="1:5" x14ac:dyDescent="0.35">
      <c r="A324" s="7">
        <v>44469</v>
      </c>
      <c r="B324">
        <v>5.4387999999999996</v>
      </c>
      <c r="D324" s="28"/>
      <c r="E324" s="7"/>
    </row>
    <row r="325" spans="1:5" x14ac:dyDescent="0.35">
      <c r="A325" s="7">
        <v>44468</v>
      </c>
      <c r="B325">
        <v>5.4166999999999996</v>
      </c>
      <c r="D325" s="28"/>
      <c r="E325" s="7"/>
    </row>
    <row r="326" spans="1:5" x14ac:dyDescent="0.35">
      <c r="A326" s="7">
        <v>44467</v>
      </c>
      <c r="B326">
        <v>5.42</v>
      </c>
      <c r="D326" s="28"/>
      <c r="E326" s="7"/>
    </row>
    <row r="327" spans="1:5" x14ac:dyDescent="0.35">
      <c r="A327" s="7">
        <v>44466</v>
      </c>
      <c r="B327">
        <v>5.3472</v>
      </c>
      <c r="D327" s="28"/>
      <c r="E327" s="7"/>
    </row>
    <row r="328" spans="1:5" x14ac:dyDescent="0.35">
      <c r="A328" s="7">
        <v>44463</v>
      </c>
      <c r="B328">
        <v>5.3429000000000002</v>
      </c>
      <c r="D328" s="28"/>
      <c r="E328" s="7"/>
    </row>
    <row r="329" spans="1:5" x14ac:dyDescent="0.35">
      <c r="A329" s="7">
        <v>44462</v>
      </c>
      <c r="B329">
        <v>5.2885</v>
      </c>
      <c r="D329" s="28"/>
      <c r="E329" s="7"/>
    </row>
    <row r="330" spans="1:5" x14ac:dyDescent="0.35">
      <c r="A330" s="7">
        <v>44461</v>
      </c>
      <c r="B330">
        <v>5.2777000000000003</v>
      </c>
      <c r="D330" s="28"/>
      <c r="E330" s="7"/>
    </row>
    <row r="331" spans="1:5" x14ac:dyDescent="0.35">
      <c r="A331" s="7">
        <v>44460</v>
      </c>
      <c r="B331">
        <v>5.3037999999999998</v>
      </c>
      <c r="D331" s="28"/>
      <c r="E331" s="7"/>
    </row>
    <row r="332" spans="1:5" x14ac:dyDescent="0.35">
      <c r="A332" s="7">
        <v>44459</v>
      </c>
      <c r="B332">
        <v>5.3326000000000002</v>
      </c>
      <c r="D332" s="28"/>
      <c r="E332" s="7"/>
    </row>
    <row r="333" spans="1:5" x14ac:dyDescent="0.35">
      <c r="A333" s="7">
        <v>44456</v>
      </c>
      <c r="B333">
        <v>5.3097000000000003</v>
      </c>
      <c r="D333" s="28"/>
      <c r="E333" s="7"/>
    </row>
    <row r="334" spans="1:5" x14ac:dyDescent="0.35">
      <c r="A334" s="7">
        <v>44455</v>
      </c>
      <c r="B334">
        <v>5.2587999999999999</v>
      </c>
      <c r="D334" s="28"/>
      <c r="E334" s="7"/>
    </row>
    <row r="335" spans="1:5" x14ac:dyDescent="0.35">
      <c r="A335" s="7">
        <v>44454</v>
      </c>
      <c r="B335">
        <v>5.2569999999999997</v>
      </c>
      <c r="D335" s="28"/>
      <c r="E335" s="7"/>
    </row>
    <row r="336" spans="1:5" x14ac:dyDescent="0.35">
      <c r="A336" s="7">
        <v>44453</v>
      </c>
      <c r="B336">
        <v>5.2253999999999996</v>
      </c>
      <c r="D336" s="28"/>
      <c r="E336" s="7"/>
    </row>
    <row r="337" spans="1:5" x14ac:dyDescent="0.35">
      <c r="A337" s="7">
        <v>44452</v>
      </c>
      <c r="B337">
        <v>5.2183999999999999</v>
      </c>
      <c r="D337" s="28"/>
      <c r="E337" s="7"/>
    </row>
    <row r="338" spans="1:5" x14ac:dyDescent="0.35">
      <c r="A338" s="7">
        <v>44449</v>
      </c>
      <c r="B338">
        <v>5.2152000000000003</v>
      </c>
      <c r="D338" s="28"/>
      <c r="E338" s="7"/>
    </row>
    <row r="339" spans="1:5" x14ac:dyDescent="0.35">
      <c r="A339" s="7">
        <v>44448</v>
      </c>
      <c r="B339">
        <v>5.2819000000000003</v>
      </c>
      <c r="D339" s="28"/>
      <c r="E339" s="7"/>
    </row>
    <row r="340" spans="1:5" x14ac:dyDescent="0.35">
      <c r="A340" s="7">
        <v>44447</v>
      </c>
      <c r="B340">
        <v>5.2518000000000002</v>
      </c>
      <c r="D340" s="28"/>
      <c r="E340" s="7"/>
    </row>
    <row r="341" spans="1:5" x14ac:dyDescent="0.35">
      <c r="A341" s="7">
        <v>44445</v>
      </c>
      <c r="B341">
        <v>5.1767000000000003</v>
      </c>
      <c r="D341" s="28"/>
      <c r="E341" s="7"/>
    </row>
    <row r="342" spans="1:5" x14ac:dyDescent="0.35">
      <c r="A342" s="7">
        <v>44442</v>
      </c>
      <c r="B342">
        <v>5.1679000000000004</v>
      </c>
      <c r="D342" s="28"/>
      <c r="E342" s="7"/>
    </row>
    <row r="343" spans="1:5" x14ac:dyDescent="0.35">
      <c r="A343" s="7">
        <v>44441</v>
      </c>
      <c r="B343">
        <v>5.1729000000000003</v>
      </c>
      <c r="D343" s="28"/>
      <c r="E343" s="7"/>
    </row>
    <row r="344" spans="1:5" x14ac:dyDescent="0.35">
      <c r="A344" s="7">
        <v>44440</v>
      </c>
      <c r="B344">
        <v>5.157</v>
      </c>
      <c r="D344" s="28"/>
      <c r="E344" s="7"/>
    </row>
    <row r="345" spans="1:5" x14ac:dyDescent="0.35">
      <c r="A345" s="7">
        <v>44439</v>
      </c>
      <c r="B345">
        <v>5.1426999999999996</v>
      </c>
      <c r="D345" s="28"/>
      <c r="E345" s="7"/>
    </row>
    <row r="346" spans="1:5" x14ac:dyDescent="0.35">
      <c r="A346" s="7">
        <v>44438</v>
      </c>
      <c r="B346">
        <v>5.1946000000000003</v>
      </c>
      <c r="D346" s="28"/>
      <c r="E346" s="7"/>
    </row>
    <row r="347" spans="1:5" x14ac:dyDescent="0.35">
      <c r="A347" s="7">
        <v>44435</v>
      </c>
      <c r="B347">
        <v>5.2194000000000003</v>
      </c>
      <c r="D347" s="28"/>
      <c r="E347" s="7"/>
    </row>
    <row r="348" spans="1:5" x14ac:dyDescent="0.35">
      <c r="A348" s="7">
        <v>44434</v>
      </c>
      <c r="B348">
        <v>5.2423000000000002</v>
      </c>
      <c r="D348" s="28"/>
      <c r="E348" s="7"/>
    </row>
    <row r="349" spans="1:5" x14ac:dyDescent="0.35">
      <c r="A349" s="7">
        <v>44433</v>
      </c>
      <c r="B349">
        <v>5.2458999999999998</v>
      </c>
      <c r="D349" s="28"/>
      <c r="E349" s="7"/>
    </row>
    <row r="350" spans="1:5" x14ac:dyDescent="0.35">
      <c r="A350" s="7">
        <v>44432</v>
      </c>
      <c r="B350">
        <v>5.3010999999999999</v>
      </c>
      <c r="D350" s="28"/>
      <c r="E350" s="7"/>
    </row>
    <row r="351" spans="1:5" x14ac:dyDescent="0.35">
      <c r="A351" s="7">
        <v>44431</v>
      </c>
      <c r="B351">
        <v>5.3680000000000003</v>
      </c>
      <c r="D351" s="28"/>
      <c r="E351" s="7"/>
    </row>
    <row r="352" spans="1:5" x14ac:dyDescent="0.35">
      <c r="A352" s="7">
        <v>44428</v>
      </c>
      <c r="B352">
        <v>5.4268000000000001</v>
      </c>
      <c r="D352" s="28"/>
      <c r="E352" s="7"/>
    </row>
    <row r="353" spans="1:5" x14ac:dyDescent="0.35">
      <c r="A353" s="7">
        <v>44427</v>
      </c>
      <c r="B353">
        <v>5.4173999999999998</v>
      </c>
      <c r="D353" s="28"/>
      <c r="E353" s="7"/>
    </row>
    <row r="354" spans="1:5" x14ac:dyDescent="0.35">
      <c r="A354" s="7">
        <v>44426</v>
      </c>
      <c r="B354">
        <v>5.3018999999999998</v>
      </c>
      <c r="D354" s="28"/>
      <c r="E354" s="7"/>
    </row>
    <row r="355" spans="1:5" x14ac:dyDescent="0.35">
      <c r="A355" s="7">
        <v>44425</v>
      </c>
      <c r="B355">
        <v>5.2579000000000002</v>
      </c>
      <c r="D355" s="28"/>
      <c r="E355" s="7"/>
    </row>
    <row r="356" spans="1:5" x14ac:dyDescent="0.35">
      <c r="A356" s="7">
        <v>44424</v>
      </c>
      <c r="B356">
        <v>5.2488999999999999</v>
      </c>
      <c r="D356" s="28"/>
      <c r="E356" s="7"/>
    </row>
    <row r="357" spans="1:5" x14ac:dyDescent="0.35">
      <c r="A357" s="7">
        <v>44421</v>
      </c>
      <c r="B357">
        <v>5.2468000000000004</v>
      </c>
      <c r="D357" s="28"/>
      <c r="E357" s="7"/>
    </row>
    <row r="358" spans="1:5" x14ac:dyDescent="0.35">
      <c r="A358" s="7">
        <v>44420</v>
      </c>
      <c r="B358">
        <v>5.2344999999999997</v>
      </c>
      <c r="D358" s="28"/>
      <c r="E358" s="7"/>
    </row>
    <row r="359" spans="1:5" x14ac:dyDescent="0.35">
      <c r="A359" s="7">
        <v>44419</v>
      </c>
      <c r="B359">
        <v>5.2007000000000003</v>
      </c>
      <c r="D359" s="28"/>
      <c r="E359" s="7"/>
    </row>
    <row r="360" spans="1:5" x14ac:dyDescent="0.35">
      <c r="A360" s="7">
        <v>44418</v>
      </c>
      <c r="B360">
        <v>5.2210999999999999</v>
      </c>
      <c r="D360" s="28"/>
      <c r="E360" s="7"/>
    </row>
    <row r="361" spans="1:5" x14ac:dyDescent="0.35">
      <c r="A361" s="7">
        <v>44417</v>
      </c>
      <c r="B361">
        <v>5.2767999999999997</v>
      </c>
      <c r="D361" s="28"/>
      <c r="E361" s="7"/>
    </row>
    <row r="362" spans="1:5" x14ac:dyDescent="0.35">
      <c r="A362" s="7">
        <v>44414</v>
      </c>
      <c r="B362">
        <v>5.2404000000000002</v>
      </c>
      <c r="D362" s="28"/>
      <c r="E362" s="7"/>
    </row>
    <row r="363" spans="1:5" x14ac:dyDescent="0.35">
      <c r="A363" s="7">
        <v>44413</v>
      </c>
      <c r="B363">
        <v>5.1459000000000001</v>
      </c>
      <c r="D363" s="28"/>
      <c r="E363" s="7"/>
    </row>
    <row r="364" spans="1:5" x14ac:dyDescent="0.35">
      <c r="A364" s="7">
        <v>44412</v>
      </c>
      <c r="B364">
        <v>5.2084999999999999</v>
      </c>
      <c r="D364" s="28"/>
      <c r="E364" s="7"/>
    </row>
    <row r="365" spans="1:5" x14ac:dyDescent="0.35">
      <c r="A365" s="7">
        <v>44411</v>
      </c>
      <c r="B365">
        <v>5.2458</v>
      </c>
      <c r="D365" s="28"/>
      <c r="E365" s="7"/>
    </row>
    <row r="366" spans="1:5" x14ac:dyDescent="0.35">
      <c r="A366" s="7">
        <v>44410</v>
      </c>
      <c r="B366">
        <v>5.1372999999999998</v>
      </c>
      <c r="D366" s="28"/>
      <c r="E366" s="7"/>
    </row>
    <row r="367" spans="1:5" x14ac:dyDescent="0.35">
      <c r="A367" s="7">
        <v>44407</v>
      </c>
      <c r="B367">
        <v>5.1210000000000004</v>
      </c>
      <c r="D367" s="28"/>
      <c r="E367" s="7"/>
    </row>
    <row r="368" spans="1:5" x14ac:dyDescent="0.35">
      <c r="A368" s="7">
        <v>44406</v>
      </c>
      <c r="B368">
        <v>5.0675999999999997</v>
      </c>
      <c r="D368" s="28"/>
      <c r="E368" s="7"/>
    </row>
    <row r="369" spans="1:5" x14ac:dyDescent="0.35">
      <c r="A369" s="7">
        <v>44405</v>
      </c>
      <c r="B369">
        <v>5.1520999999999999</v>
      </c>
      <c r="D369" s="28"/>
      <c r="E369" s="7"/>
    </row>
    <row r="370" spans="1:5" x14ac:dyDescent="0.35">
      <c r="A370" s="7">
        <v>44404</v>
      </c>
      <c r="B370">
        <v>5.1662999999999997</v>
      </c>
      <c r="D370" s="28"/>
      <c r="E370" s="7"/>
    </row>
    <row r="371" spans="1:5" x14ac:dyDescent="0.35">
      <c r="A371" s="7">
        <v>44403</v>
      </c>
      <c r="B371">
        <v>5.1856999999999998</v>
      </c>
      <c r="D371" s="28"/>
      <c r="E371" s="7"/>
    </row>
    <row r="372" spans="1:5" x14ac:dyDescent="0.35">
      <c r="A372" s="7">
        <v>44400</v>
      </c>
      <c r="B372">
        <v>5.1695000000000002</v>
      </c>
      <c r="D372" s="28"/>
      <c r="E372" s="7"/>
    </row>
    <row r="373" spans="1:5" x14ac:dyDescent="0.35">
      <c r="A373" s="7">
        <v>44399</v>
      </c>
      <c r="B373">
        <v>5.1971999999999996</v>
      </c>
      <c r="D373" s="28"/>
      <c r="E373" s="7"/>
    </row>
    <row r="374" spans="1:5" x14ac:dyDescent="0.35">
      <c r="A374" s="7">
        <v>44398</v>
      </c>
      <c r="B374">
        <v>5.2510000000000003</v>
      </c>
      <c r="D374" s="28"/>
      <c r="E374" s="7"/>
    </row>
    <row r="375" spans="1:5" x14ac:dyDescent="0.35">
      <c r="A375" s="7">
        <v>44397</v>
      </c>
      <c r="B375">
        <v>5.2458999999999998</v>
      </c>
      <c r="D375" s="28"/>
      <c r="E375" s="7"/>
    </row>
    <row r="376" spans="1:5" x14ac:dyDescent="0.35">
      <c r="A376" s="7">
        <v>44396</v>
      </c>
      <c r="B376">
        <v>5.1971999999999996</v>
      </c>
      <c r="D376" s="28"/>
      <c r="E376" s="7"/>
    </row>
    <row r="377" spans="1:5" x14ac:dyDescent="0.35">
      <c r="A377" s="7">
        <v>44393</v>
      </c>
      <c r="B377">
        <v>5.0934999999999997</v>
      </c>
      <c r="D377" s="28"/>
      <c r="E377" s="7"/>
    </row>
    <row r="378" spans="1:5" x14ac:dyDescent="0.35">
      <c r="A378" s="7">
        <v>44392</v>
      </c>
      <c r="B378">
        <v>5.0994000000000002</v>
      </c>
      <c r="D378" s="28"/>
      <c r="E378" s="7"/>
    </row>
    <row r="379" spans="1:5" x14ac:dyDescent="0.35">
      <c r="A379" s="7">
        <v>44391</v>
      </c>
      <c r="B379">
        <v>5.0873999999999997</v>
      </c>
      <c r="D379" s="28"/>
      <c r="E379" s="7"/>
    </row>
    <row r="380" spans="1:5" x14ac:dyDescent="0.35">
      <c r="A380" s="7">
        <v>44390</v>
      </c>
      <c r="B380">
        <v>5.1764000000000001</v>
      </c>
      <c r="D380" s="28"/>
      <c r="E380" s="7"/>
    </row>
    <row r="381" spans="1:5" x14ac:dyDescent="0.35">
      <c r="A381" s="7">
        <v>44389</v>
      </c>
      <c r="B381">
        <v>5.2233000000000001</v>
      </c>
      <c r="D381" s="28"/>
      <c r="E381" s="7"/>
    </row>
    <row r="382" spans="1:5" x14ac:dyDescent="0.35">
      <c r="A382" s="7">
        <v>44386</v>
      </c>
      <c r="B382">
        <v>5.2370000000000001</v>
      </c>
      <c r="D382" s="28"/>
      <c r="E382" s="7"/>
    </row>
    <row r="383" spans="1:5" x14ac:dyDescent="0.35">
      <c r="A383" s="7">
        <v>44385</v>
      </c>
      <c r="B383">
        <v>5.2580999999999998</v>
      </c>
      <c r="D383" s="28"/>
      <c r="E383" s="7"/>
    </row>
    <row r="384" spans="1:5" x14ac:dyDescent="0.35">
      <c r="A384" s="7">
        <v>44384</v>
      </c>
      <c r="B384">
        <v>5.2321999999999997</v>
      </c>
      <c r="D384" s="28"/>
      <c r="E384" s="7"/>
    </row>
    <row r="385" spans="1:5" x14ac:dyDescent="0.35">
      <c r="A385" s="7">
        <v>44383</v>
      </c>
      <c r="B385">
        <v>5.1638999999999999</v>
      </c>
      <c r="D385" s="28"/>
      <c r="E385" s="7"/>
    </row>
    <row r="386" spans="1:5" x14ac:dyDescent="0.35">
      <c r="A386" s="7">
        <v>44382</v>
      </c>
      <c r="B386">
        <v>5.0743</v>
      </c>
      <c r="D386" s="28"/>
      <c r="E386" s="7"/>
    </row>
    <row r="387" spans="1:5" x14ac:dyDescent="0.35">
      <c r="A387" s="7">
        <v>44379</v>
      </c>
      <c r="B387">
        <v>5.0286999999999997</v>
      </c>
      <c r="D387" s="28"/>
      <c r="E387" s="7"/>
    </row>
    <row r="388" spans="1:5" x14ac:dyDescent="0.35">
      <c r="A388" s="7">
        <v>44378</v>
      </c>
      <c r="B388">
        <v>5.0049000000000001</v>
      </c>
      <c r="D388" s="28"/>
      <c r="E388" s="7"/>
    </row>
    <row r="389" spans="1:5" x14ac:dyDescent="0.35">
      <c r="A389" s="7">
        <v>44377</v>
      </c>
      <c r="B389">
        <v>5.0015999999999998</v>
      </c>
      <c r="D389" s="28"/>
      <c r="E389" s="7"/>
    </row>
    <row r="390" spans="1:5" x14ac:dyDescent="0.35">
      <c r="A390" s="7">
        <v>44375</v>
      </c>
      <c r="B390">
        <v>4.9413999999999998</v>
      </c>
      <c r="D390" s="28"/>
      <c r="E390" s="7"/>
    </row>
    <row r="391" spans="1:5" x14ac:dyDescent="0.35">
      <c r="A391" s="7">
        <v>44372</v>
      </c>
      <c r="B391">
        <v>4.92</v>
      </c>
      <c r="D391" s="28"/>
      <c r="E391" s="7"/>
    </row>
    <row r="392" spans="1:5" x14ac:dyDescent="0.35">
      <c r="A392" s="7">
        <v>44371</v>
      </c>
      <c r="B392">
        <v>4.9271000000000003</v>
      </c>
      <c r="D392" s="28"/>
      <c r="E392" s="7"/>
    </row>
    <row r="393" spans="1:5" x14ac:dyDescent="0.35">
      <c r="A393" s="7">
        <v>44370</v>
      </c>
      <c r="B393">
        <v>4.9512999999999998</v>
      </c>
      <c r="D393" s="28"/>
      <c r="E393" s="7"/>
    </row>
    <row r="394" spans="1:5" x14ac:dyDescent="0.35">
      <c r="A394" s="7">
        <v>44365</v>
      </c>
      <c r="B394">
        <v>5.0313999999999997</v>
      </c>
      <c r="D394" s="28"/>
      <c r="E394" s="7"/>
    </row>
    <row r="395" spans="1:5" x14ac:dyDescent="0.35">
      <c r="A395" s="7">
        <v>44364</v>
      </c>
      <c r="B395">
        <v>5.0358999999999998</v>
      </c>
      <c r="D395" s="28"/>
      <c r="E395" s="7"/>
    </row>
    <row r="396" spans="1:5" x14ac:dyDescent="0.35">
      <c r="A396" s="7">
        <v>44363</v>
      </c>
      <c r="B396">
        <v>5.0206999999999997</v>
      </c>
      <c r="D396" s="28"/>
      <c r="E396" s="7"/>
    </row>
    <row r="397" spans="1:5" x14ac:dyDescent="0.35">
      <c r="A397" s="7">
        <v>44362</v>
      </c>
      <c r="B397">
        <v>5.0873999999999997</v>
      </c>
      <c r="D397" s="28"/>
      <c r="E397" s="7"/>
    </row>
    <row r="398" spans="1:5" x14ac:dyDescent="0.35">
      <c r="A398" s="7">
        <v>44361</v>
      </c>
      <c r="B398">
        <v>5.0707000000000004</v>
      </c>
      <c r="D398" s="28"/>
      <c r="E398" s="7"/>
    </row>
    <row r="399" spans="1:5" x14ac:dyDescent="0.35">
      <c r="A399" s="7">
        <v>44358</v>
      </c>
      <c r="B399">
        <v>5.1189999999999998</v>
      </c>
      <c r="D399" s="28"/>
      <c r="E399" s="7"/>
    </row>
    <row r="400" spans="1:5" x14ac:dyDescent="0.35">
      <c r="A400" s="7">
        <v>44357</v>
      </c>
      <c r="B400">
        <v>5.0635000000000003</v>
      </c>
      <c r="D400" s="28"/>
      <c r="E400" s="7"/>
    </row>
    <row r="401" spans="1:5" x14ac:dyDescent="0.35">
      <c r="A401" s="7">
        <v>44356</v>
      </c>
      <c r="B401">
        <v>5.0533000000000001</v>
      </c>
      <c r="D401" s="28"/>
      <c r="E401" s="7"/>
    </row>
    <row r="402" spans="1:5" x14ac:dyDescent="0.35">
      <c r="A402" s="7">
        <v>44355</v>
      </c>
      <c r="B402">
        <v>5.0488999999999997</v>
      </c>
      <c r="D402" s="28"/>
      <c r="E402" s="7"/>
    </row>
    <row r="403" spans="1:5" x14ac:dyDescent="0.35">
      <c r="A403" s="7">
        <v>44354</v>
      </c>
      <c r="B403">
        <v>5.0498000000000003</v>
      </c>
      <c r="D403" s="28"/>
      <c r="E403" s="7"/>
    </row>
    <row r="404" spans="1:5" x14ac:dyDescent="0.35">
      <c r="A404" s="7">
        <v>44351</v>
      </c>
      <c r="B404">
        <v>5.0666000000000002</v>
      </c>
      <c r="D404" s="28"/>
      <c r="E404" s="7"/>
    </row>
    <row r="405" spans="1:5" x14ac:dyDescent="0.35">
      <c r="A405" s="7">
        <v>44349</v>
      </c>
      <c r="B405">
        <v>5.1147</v>
      </c>
      <c r="D405" s="28"/>
      <c r="E405" s="7"/>
    </row>
    <row r="406" spans="1:5" x14ac:dyDescent="0.35">
      <c r="A406" s="7">
        <v>44348</v>
      </c>
      <c r="B406">
        <v>5.1635999999999997</v>
      </c>
      <c r="D406" s="28"/>
      <c r="E406" s="7"/>
    </row>
    <row r="407" spans="1:5" x14ac:dyDescent="0.35">
      <c r="A407" s="7">
        <v>44347</v>
      </c>
      <c r="B407">
        <v>5.2321999999999997</v>
      </c>
      <c r="D407" s="28"/>
      <c r="E407" s="7"/>
    </row>
    <row r="408" spans="1:5" x14ac:dyDescent="0.35">
      <c r="A408" s="7">
        <v>44344</v>
      </c>
      <c r="B408">
        <v>5.2281000000000004</v>
      </c>
      <c r="D408" s="28"/>
      <c r="E408" s="7"/>
    </row>
    <row r="409" spans="1:5" x14ac:dyDescent="0.35">
      <c r="A409" s="7">
        <v>44343</v>
      </c>
      <c r="B409">
        <v>5.2839999999999998</v>
      </c>
      <c r="D409" s="28"/>
      <c r="E409" s="7"/>
    </row>
    <row r="410" spans="1:5" x14ac:dyDescent="0.35">
      <c r="A410" s="7">
        <v>44342</v>
      </c>
      <c r="B410">
        <v>5.3163999999999998</v>
      </c>
      <c r="D410" s="28"/>
      <c r="E410" s="7"/>
    </row>
    <row r="411" spans="1:5" x14ac:dyDescent="0.35">
      <c r="A411" s="7">
        <v>44341</v>
      </c>
      <c r="B411">
        <v>5.3143000000000002</v>
      </c>
      <c r="D411" s="28"/>
      <c r="E411" s="7"/>
    </row>
    <row r="412" spans="1:5" x14ac:dyDescent="0.35">
      <c r="A412" s="7">
        <v>44340</v>
      </c>
      <c r="B412">
        <v>5.3197999999999999</v>
      </c>
      <c r="D412" s="28"/>
      <c r="E412" s="7"/>
    </row>
    <row r="413" spans="1:5" x14ac:dyDescent="0.35">
      <c r="A413" s="7">
        <v>44337</v>
      </c>
      <c r="B413">
        <v>5.3026999999999997</v>
      </c>
      <c r="D413" s="28"/>
      <c r="E413" s="7"/>
    </row>
    <row r="414" spans="1:5" x14ac:dyDescent="0.35">
      <c r="A414" s="7">
        <v>44336</v>
      </c>
      <c r="B414">
        <v>5.2904999999999998</v>
      </c>
      <c r="D414" s="28"/>
      <c r="E414" s="7"/>
    </row>
    <row r="415" spans="1:5" x14ac:dyDescent="0.35">
      <c r="A415" s="7">
        <v>44335</v>
      </c>
      <c r="B415">
        <v>5.2821999999999996</v>
      </c>
      <c r="D415" s="28"/>
      <c r="E415" s="7"/>
    </row>
    <row r="416" spans="1:5" x14ac:dyDescent="0.35">
      <c r="A416" s="7">
        <v>44334</v>
      </c>
      <c r="B416">
        <v>5.2587999999999999</v>
      </c>
      <c r="D416" s="28"/>
      <c r="E416" s="7"/>
    </row>
    <row r="417" spans="1:5" x14ac:dyDescent="0.35">
      <c r="A417" s="7">
        <v>44333</v>
      </c>
      <c r="B417">
        <v>5.2748999999999997</v>
      </c>
      <c r="D417" s="28"/>
      <c r="E417" s="7"/>
    </row>
    <row r="418" spans="1:5" x14ac:dyDescent="0.35">
      <c r="A418" s="7">
        <v>44330</v>
      </c>
      <c r="B418">
        <v>5.2694999999999999</v>
      </c>
      <c r="D418" s="28"/>
      <c r="E418" s="7"/>
    </row>
    <row r="419" spans="1:5" x14ac:dyDescent="0.35">
      <c r="A419" s="7">
        <v>44329</v>
      </c>
      <c r="B419">
        <v>5.2808999999999999</v>
      </c>
      <c r="D419" s="28"/>
      <c r="E419" s="7"/>
    </row>
    <row r="420" spans="1:5" x14ac:dyDescent="0.35">
      <c r="A420" s="7">
        <v>44328</v>
      </c>
      <c r="B420">
        <v>5.2347000000000001</v>
      </c>
      <c r="D420" s="28"/>
      <c r="E420" s="7"/>
    </row>
    <row r="421" spans="1:5" x14ac:dyDescent="0.35">
      <c r="A421" s="7">
        <v>44327</v>
      </c>
      <c r="B421">
        <v>5.2397</v>
      </c>
      <c r="D421" s="28"/>
      <c r="E421" s="7"/>
    </row>
    <row r="422" spans="1:5" x14ac:dyDescent="0.35">
      <c r="A422" s="7">
        <v>44326</v>
      </c>
      <c r="B422">
        <v>5.2221000000000002</v>
      </c>
      <c r="D422" s="28"/>
      <c r="E422" s="7"/>
    </row>
    <row r="423" spans="1:5" x14ac:dyDescent="0.35">
      <c r="A423" s="7">
        <v>44323</v>
      </c>
      <c r="B423">
        <v>5.2210999999999999</v>
      </c>
      <c r="D423" s="28"/>
      <c r="E423" s="7"/>
    </row>
    <row r="424" spans="1:5" x14ac:dyDescent="0.35">
      <c r="A424" s="7">
        <v>44322</v>
      </c>
      <c r="B424">
        <v>5.2891000000000004</v>
      </c>
      <c r="D424" s="28"/>
      <c r="E424" s="7"/>
    </row>
    <row r="425" spans="1:5" x14ac:dyDescent="0.35">
      <c r="A425" s="7">
        <v>44321</v>
      </c>
      <c r="B425">
        <v>5.3865999999999996</v>
      </c>
      <c r="D425" s="28"/>
      <c r="E425" s="7"/>
    </row>
    <row r="426" spans="1:5" x14ac:dyDescent="0.35">
      <c r="A426" s="7">
        <v>44320</v>
      </c>
      <c r="B426">
        <v>5.4499000000000004</v>
      </c>
      <c r="D426" s="28"/>
      <c r="E426" s="7"/>
    </row>
    <row r="427" spans="1:5" x14ac:dyDescent="0.35">
      <c r="A427" s="7">
        <v>44319</v>
      </c>
      <c r="B427">
        <v>5.4081000000000001</v>
      </c>
      <c r="D427" s="28"/>
      <c r="E427" s="7"/>
    </row>
    <row r="428" spans="1:5" x14ac:dyDescent="0.35">
      <c r="A428" s="7">
        <v>44316</v>
      </c>
      <c r="B428">
        <v>5.4029999999999996</v>
      </c>
      <c r="D428" s="28"/>
      <c r="E428" s="7"/>
    </row>
    <row r="429" spans="1:5" x14ac:dyDescent="0.35">
      <c r="A429" s="7">
        <v>44315</v>
      </c>
      <c r="B429">
        <v>5.3655999999999997</v>
      </c>
      <c r="D429" s="28"/>
      <c r="E429" s="7"/>
    </row>
    <row r="430" spans="1:5" x14ac:dyDescent="0.35">
      <c r="A430" s="7">
        <v>44314</v>
      </c>
      <c r="B430">
        <v>5.3998999999999997</v>
      </c>
      <c r="D430" s="28"/>
      <c r="E430" s="7"/>
    </row>
    <row r="431" spans="1:5" x14ac:dyDescent="0.35">
      <c r="A431" s="7">
        <v>44313</v>
      </c>
      <c r="B431">
        <v>5.4417999999999997</v>
      </c>
      <c r="D431" s="28"/>
      <c r="E431" s="7"/>
    </row>
    <row r="432" spans="1:5" x14ac:dyDescent="0.35">
      <c r="A432" s="7">
        <v>44312</v>
      </c>
      <c r="B432">
        <v>5.4560000000000004</v>
      </c>
      <c r="D432" s="28"/>
      <c r="E432" s="7"/>
    </row>
    <row r="433" spans="1:5" x14ac:dyDescent="0.35">
      <c r="A433" s="7">
        <v>44309</v>
      </c>
      <c r="B433">
        <v>5.4781000000000004</v>
      </c>
      <c r="D433" s="28"/>
      <c r="E433" s="7"/>
    </row>
    <row r="434" spans="1:5" x14ac:dyDescent="0.35">
      <c r="A434" s="7">
        <v>44308</v>
      </c>
      <c r="B434">
        <v>5.4964000000000004</v>
      </c>
      <c r="D434" s="28"/>
      <c r="E434" s="7"/>
    </row>
    <row r="435" spans="1:5" x14ac:dyDescent="0.35">
      <c r="A435" s="7">
        <v>44306</v>
      </c>
      <c r="B435">
        <v>5.5259999999999998</v>
      </c>
      <c r="D435" s="28"/>
      <c r="E435" s="7"/>
    </row>
    <row r="436" spans="1:5" x14ac:dyDescent="0.35">
      <c r="A436" s="7">
        <v>44305</v>
      </c>
      <c r="B436">
        <v>5.5743999999999998</v>
      </c>
      <c r="D436" s="28"/>
      <c r="E436" s="7"/>
    </row>
    <row r="437" spans="1:5" x14ac:dyDescent="0.35">
      <c r="A437" s="7">
        <v>44302</v>
      </c>
      <c r="B437">
        <v>5.6322000000000001</v>
      </c>
      <c r="D437" s="28"/>
      <c r="E437" s="7"/>
    </row>
    <row r="438" spans="1:5" x14ac:dyDescent="0.35">
      <c r="A438" s="7">
        <v>44301</v>
      </c>
      <c r="B438">
        <v>5.6227999999999998</v>
      </c>
      <c r="D438" s="28"/>
      <c r="E438" s="7"/>
    </row>
    <row r="439" spans="1:5" x14ac:dyDescent="0.35">
      <c r="A439" s="7">
        <v>44300</v>
      </c>
      <c r="B439">
        <v>5.6929999999999996</v>
      </c>
      <c r="D439" s="28"/>
      <c r="E439" s="7"/>
    </row>
    <row r="440" spans="1:5" x14ac:dyDescent="0.35">
      <c r="A440" s="7">
        <v>44299</v>
      </c>
      <c r="B440">
        <v>5.7058</v>
      </c>
      <c r="D440" s="28"/>
      <c r="E440" s="7"/>
    </row>
    <row r="441" spans="1:5" x14ac:dyDescent="0.35">
      <c r="A441" s="7">
        <v>44298</v>
      </c>
      <c r="B441">
        <v>5.6576000000000004</v>
      </c>
      <c r="D441" s="28"/>
      <c r="E441" s="7"/>
    </row>
    <row r="442" spans="1:5" x14ac:dyDescent="0.35">
      <c r="A442" s="7">
        <v>44295</v>
      </c>
      <c r="B442">
        <v>5.6439000000000004</v>
      </c>
      <c r="D442" s="28"/>
      <c r="E442" s="7"/>
    </row>
    <row r="443" spans="1:5" x14ac:dyDescent="0.35">
      <c r="A443" s="7">
        <v>44294</v>
      </c>
      <c r="B443">
        <v>5.5811000000000002</v>
      </c>
      <c r="D443" s="28"/>
      <c r="E443" s="7"/>
    </row>
    <row r="444" spans="1:5" x14ac:dyDescent="0.35">
      <c r="A444" s="7">
        <v>44293</v>
      </c>
      <c r="B444">
        <v>5.5857999999999999</v>
      </c>
      <c r="D444" s="28"/>
      <c r="E444" s="7"/>
    </row>
    <row r="445" spans="1:5" x14ac:dyDescent="0.35">
      <c r="A445" s="7">
        <v>44292</v>
      </c>
      <c r="B445">
        <v>5.6257000000000001</v>
      </c>
      <c r="D445" s="28"/>
      <c r="E445" s="7"/>
    </row>
    <row r="446" spans="1:5" x14ac:dyDescent="0.35">
      <c r="A446" s="7">
        <v>44291</v>
      </c>
      <c r="B446">
        <v>5.6573000000000002</v>
      </c>
      <c r="D446" s="28"/>
      <c r="E446" s="7"/>
    </row>
    <row r="447" spans="1:5" x14ac:dyDescent="0.35">
      <c r="A447" s="7">
        <v>44287</v>
      </c>
      <c r="B447">
        <v>5.6843000000000004</v>
      </c>
      <c r="D447" s="28"/>
      <c r="E447" s="7"/>
    </row>
    <row r="448" spans="1:5" x14ac:dyDescent="0.35">
      <c r="A448" s="7">
        <v>44286</v>
      </c>
      <c r="B448">
        <v>5.6966999999999999</v>
      </c>
      <c r="D448" s="28"/>
      <c r="E448" s="7"/>
    </row>
    <row r="449" spans="1:5" x14ac:dyDescent="0.35">
      <c r="A449" s="7">
        <v>44285</v>
      </c>
      <c r="B449">
        <v>5.7636000000000003</v>
      </c>
      <c r="D449" s="28"/>
      <c r="E449" s="7"/>
    </row>
    <row r="450" spans="1:5" x14ac:dyDescent="0.35">
      <c r="A450" s="7">
        <v>44284</v>
      </c>
      <c r="B450">
        <v>5.7919</v>
      </c>
      <c r="D450" s="28"/>
      <c r="E450" s="7"/>
    </row>
    <row r="451" spans="1:5" x14ac:dyDescent="0.35">
      <c r="A451" s="7">
        <v>44281</v>
      </c>
      <c r="B451">
        <v>5.7035999999999998</v>
      </c>
      <c r="D451" s="28"/>
      <c r="E451" s="7"/>
    </row>
    <row r="452" spans="1:5" x14ac:dyDescent="0.35">
      <c r="A452" s="7">
        <v>44280</v>
      </c>
      <c r="B452">
        <v>5.6578999999999997</v>
      </c>
      <c r="D452" s="28"/>
      <c r="E452" s="7"/>
    </row>
    <row r="453" spans="1:5" x14ac:dyDescent="0.35">
      <c r="A453" s="7">
        <v>44279</v>
      </c>
      <c r="B453">
        <v>5.5324</v>
      </c>
      <c r="D453" s="28"/>
      <c r="E453" s="7"/>
    </row>
    <row r="454" spans="1:5" x14ac:dyDescent="0.35">
      <c r="A454" s="7">
        <v>44278</v>
      </c>
      <c r="B454">
        <v>5.4945000000000004</v>
      </c>
      <c r="D454" s="28"/>
      <c r="E454" s="7"/>
    </row>
    <row r="455" spans="1:5" x14ac:dyDescent="0.35">
      <c r="A455" s="7">
        <v>44277</v>
      </c>
      <c r="B455">
        <v>5.5263</v>
      </c>
      <c r="D455" s="28"/>
      <c r="E455" s="7"/>
    </row>
    <row r="456" spans="1:5" x14ac:dyDescent="0.35">
      <c r="A456" s="7">
        <v>44274</v>
      </c>
      <c r="B456">
        <v>5.5076000000000001</v>
      </c>
      <c r="D456" s="28"/>
      <c r="E456" s="7"/>
    </row>
    <row r="457" spans="1:5" x14ac:dyDescent="0.35">
      <c r="A457" s="7">
        <v>44273</v>
      </c>
      <c r="B457">
        <v>5.5468000000000002</v>
      </c>
      <c r="D457" s="28"/>
      <c r="E457" s="7"/>
    </row>
    <row r="458" spans="1:5" x14ac:dyDescent="0.35">
      <c r="A458" s="7">
        <v>44272</v>
      </c>
      <c r="B458">
        <v>5.6573000000000002</v>
      </c>
      <c r="D458" s="28"/>
      <c r="E458" s="7"/>
    </row>
    <row r="459" spans="1:5" x14ac:dyDescent="0.35">
      <c r="A459" s="7">
        <v>44271</v>
      </c>
      <c r="B459">
        <v>5.5845000000000002</v>
      </c>
      <c r="D459" s="28"/>
      <c r="E459" s="7"/>
    </row>
    <row r="460" spans="1:5" x14ac:dyDescent="0.35">
      <c r="A460" s="7">
        <v>44270</v>
      </c>
      <c r="B460">
        <v>5.6289999999999996</v>
      </c>
      <c r="D460" s="28"/>
      <c r="E460" s="7"/>
    </row>
    <row r="461" spans="1:5" x14ac:dyDescent="0.35">
      <c r="A461" s="7">
        <v>44267</v>
      </c>
      <c r="B461">
        <v>5.5633999999999997</v>
      </c>
      <c r="D461" s="28"/>
      <c r="E461" s="7"/>
    </row>
    <row r="462" spans="1:5" x14ac:dyDescent="0.35">
      <c r="A462" s="7">
        <v>44266</v>
      </c>
      <c r="B462">
        <v>5.5884</v>
      </c>
      <c r="D462" s="28"/>
      <c r="E462" s="7"/>
    </row>
    <row r="463" spans="1:5" x14ac:dyDescent="0.35">
      <c r="A463" s="7">
        <v>44265</v>
      </c>
      <c r="B463">
        <v>5.7443</v>
      </c>
      <c r="D463" s="28"/>
      <c r="E463" s="7"/>
    </row>
    <row r="464" spans="1:5" x14ac:dyDescent="0.35">
      <c r="A464" s="7">
        <v>44264</v>
      </c>
      <c r="B464">
        <v>5.8391000000000002</v>
      </c>
      <c r="D464" s="28"/>
      <c r="E464" s="7"/>
    </row>
    <row r="465" spans="1:5" x14ac:dyDescent="0.35">
      <c r="A465" s="7">
        <v>44263</v>
      </c>
      <c r="B465">
        <v>5.7336999999999998</v>
      </c>
      <c r="D465" s="28"/>
      <c r="E465" s="7"/>
    </row>
    <row r="466" spans="1:5" x14ac:dyDescent="0.35">
      <c r="A466" s="7">
        <v>44260</v>
      </c>
      <c r="B466">
        <v>5.6863999999999999</v>
      </c>
      <c r="D466" s="28"/>
      <c r="E466" s="7"/>
    </row>
    <row r="467" spans="1:5" x14ac:dyDescent="0.35">
      <c r="A467" s="7">
        <v>44259</v>
      </c>
      <c r="B467">
        <v>5.6002000000000001</v>
      </c>
      <c r="D467" s="28"/>
      <c r="E467" s="7"/>
    </row>
    <row r="468" spans="1:5" x14ac:dyDescent="0.35">
      <c r="A468" s="7">
        <v>44258</v>
      </c>
      <c r="B468">
        <v>5.7336</v>
      </c>
      <c r="D468" s="28"/>
      <c r="E468" s="7"/>
    </row>
    <row r="469" spans="1:5" x14ac:dyDescent="0.35">
      <c r="A469" s="7">
        <v>44257</v>
      </c>
      <c r="B469">
        <v>5.6837999999999997</v>
      </c>
      <c r="D469" s="28"/>
      <c r="E469" s="7"/>
    </row>
    <row r="470" spans="1:5" x14ac:dyDescent="0.35">
      <c r="A470" s="7">
        <v>44256</v>
      </c>
      <c r="B470">
        <v>5.5826000000000002</v>
      </c>
      <c r="D470" s="28"/>
      <c r="E470" s="7"/>
    </row>
    <row r="471" spans="1:5" x14ac:dyDescent="0.35">
      <c r="A471" s="7">
        <v>44253</v>
      </c>
      <c r="B471">
        <v>5.5296000000000003</v>
      </c>
      <c r="D471" s="28"/>
      <c r="E471" s="7"/>
    </row>
    <row r="472" spans="1:5" x14ac:dyDescent="0.35">
      <c r="A472" s="7">
        <v>44252</v>
      </c>
      <c r="B472">
        <v>5.4593999999999996</v>
      </c>
      <c r="D472" s="28"/>
      <c r="E472" s="7"/>
    </row>
    <row r="473" spans="1:5" x14ac:dyDescent="0.35">
      <c r="A473" s="7">
        <v>44251</v>
      </c>
      <c r="B473">
        <v>5.4176000000000002</v>
      </c>
      <c r="D473" s="28"/>
      <c r="E473" s="7"/>
    </row>
    <row r="474" spans="1:5" x14ac:dyDescent="0.35">
      <c r="A474" s="7">
        <v>44250</v>
      </c>
      <c r="B474">
        <v>5.4484000000000004</v>
      </c>
      <c r="D474" s="28"/>
      <c r="E474" s="7"/>
    </row>
    <row r="475" spans="1:5" x14ac:dyDescent="0.35">
      <c r="A475" s="7">
        <v>44249</v>
      </c>
      <c r="B475">
        <v>5.5038</v>
      </c>
      <c r="D475" s="28"/>
      <c r="E475" s="7"/>
    </row>
    <row r="476" spans="1:5" x14ac:dyDescent="0.35">
      <c r="A476" s="7">
        <v>44246</v>
      </c>
      <c r="B476">
        <v>5.3917999999999999</v>
      </c>
      <c r="D476" s="28"/>
      <c r="E476" s="7"/>
    </row>
    <row r="477" spans="1:5" x14ac:dyDescent="0.35">
      <c r="A477" s="7">
        <v>44245</v>
      </c>
      <c r="B477">
        <v>5.4231999999999996</v>
      </c>
      <c r="D477" s="28"/>
      <c r="E477" s="7"/>
    </row>
    <row r="478" spans="1:5" x14ac:dyDescent="0.35">
      <c r="A478" s="7">
        <v>44244</v>
      </c>
      <c r="B478">
        <v>5.4131999999999998</v>
      </c>
      <c r="D478" s="28"/>
      <c r="E478" s="7"/>
    </row>
    <row r="479" spans="1:5" x14ac:dyDescent="0.35">
      <c r="A479" s="7">
        <v>44239</v>
      </c>
      <c r="B479">
        <v>5.3808999999999996</v>
      </c>
      <c r="D479" s="28"/>
      <c r="E479" s="7"/>
    </row>
    <row r="480" spans="1:5" x14ac:dyDescent="0.35">
      <c r="A480" s="7">
        <v>44238</v>
      </c>
      <c r="B480">
        <v>5.3620000000000001</v>
      </c>
      <c r="D480" s="28"/>
      <c r="E480" s="7"/>
    </row>
    <row r="481" spans="1:5" x14ac:dyDescent="0.35">
      <c r="A481" s="7">
        <v>44237</v>
      </c>
      <c r="B481">
        <v>5.4017999999999997</v>
      </c>
      <c r="D481" s="28"/>
      <c r="E481" s="7"/>
    </row>
    <row r="482" spans="1:5" x14ac:dyDescent="0.35">
      <c r="A482" s="7">
        <v>44236</v>
      </c>
      <c r="B482">
        <v>5.4210000000000003</v>
      </c>
      <c r="D482" s="28"/>
      <c r="E482" s="7"/>
    </row>
    <row r="483" spans="1:5" x14ac:dyDescent="0.35">
      <c r="A483" s="7">
        <v>44235</v>
      </c>
      <c r="B483">
        <v>5.3663999999999996</v>
      </c>
      <c r="D483" s="28"/>
      <c r="E483" s="7"/>
    </row>
    <row r="484" spans="1:5" x14ac:dyDescent="0.35">
      <c r="A484" s="7">
        <v>44232</v>
      </c>
      <c r="B484">
        <v>5.3878000000000004</v>
      </c>
      <c r="D484" s="28"/>
      <c r="E484" s="7"/>
    </row>
    <row r="485" spans="1:5" x14ac:dyDescent="0.35">
      <c r="A485" s="7">
        <v>44231</v>
      </c>
      <c r="B485">
        <v>5.3903999999999996</v>
      </c>
      <c r="D485" s="28"/>
      <c r="E485" s="7"/>
    </row>
    <row r="486" spans="1:5" x14ac:dyDescent="0.35">
      <c r="A486" s="7">
        <v>44230</v>
      </c>
      <c r="B486">
        <v>5.3417000000000003</v>
      </c>
      <c r="D486" s="28"/>
      <c r="E486" s="7"/>
    </row>
    <row r="487" spans="1:5" x14ac:dyDescent="0.35">
      <c r="A487" s="7">
        <v>44229</v>
      </c>
      <c r="B487">
        <v>5.3868999999999998</v>
      </c>
      <c r="D487" s="28"/>
      <c r="E487" s="7"/>
    </row>
    <row r="488" spans="1:5" x14ac:dyDescent="0.35">
      <c r="A488" s="7">
        <v>44228</v>
      </c>
      <c r="B488">
        <v>5.4602000000000004</v>
      </c>
      <c r="D488" s="28"/>
      <c r="E488" s="7"/>
    </row>
    <row r="489" spans="1:5" x14ac:dyDescent="0.35">
      <c r="A489" s="7">
        <v>44225</v>
      </c>
      <c r="B489">
        <v>5.4752999999999998</v>
      </c>
      <c r="D489" s="28"/>
      <c r="E489" s="7"/>
    </row>
    <row r="490" spans="1:5" x14ac:dyDescent="0.35">
      <c r="A490" s="7">
        <v>44224</v>
      </c>
      <c r="B490">
        <v>5.4276</v>
      </c>
      <c r="D490" s="28"/>
      <c r="E490" s="7"/>
    </row>
    <row r="491" spans="1:5" x14ac:dyDescent="0.35">
      <c r="A491" s="7">
        <v>44223</v>
      </c>
      <c r="B491">
        <v>5.3818000000000001</v>
      </c>
      <c r="D491" s="28"/>
      <c r="E491" s="7"/>
    </row>
    <row r="492" spans="1:5" x14ac:dyDescent="0.35">
      <c r="A492" s="7">
        <v>44222</v>
      </c>
      <c r="B492">
        <v>5.3859000000000004</v>
      </c>
      <c r="D492" s="28"/>
      <c r="E492" s="7"/>
    </row>
    <row r="493" spans="1:5" x14ac:dyDescent="0.35">
      <c r="A493" s="7">
        <v>44221</v>
      </c>
      <c r="B493">
        <v>5.5073999999999996</v>
      </c>
      <c r="D493" s="28"/>
      <c r="E493" s="7"/>
    </row>
    <row r="494" spans="1:5" x14ac:dyDescent="0.35">
      <c r="A494" s="7">
        <v>44218</v>
      </c>
      <c r="B494">
        <v>5.4295</v>
      </c>
      <c r="D494" s="28"/>
      <c r="E494" s="7"/>
    </row>
    <row r="495" spans="1:5" x14ac:dyDescent="0.35">
      <c r="A495" s="7">
        <v>44217</v>
      </c>
      <c r="B495">
        <v>5.3159999999999998</v>
      </c>
      <c r="D495" s="28"/>
      <c r="E495" s="7"/>
    </row>
    <row r="496" spans="1:5" x14ac:dyDescent="0.35">
      <c r="A496" s="7">
        <v>44216</v>
      </c>
      <c r="B496">
        <v>5.3026999999999997</v>
      </c>
      <c r="D496" s="28"/>
      <c r="E496" s="7"/>
    </row>
    <row r="497" spans="1:5" x14ac:dyDescent="0.35">
      <c r="A497" s="7">
        <v>44215</v>
      </c>
      <c r="B497">
        <v>5.2938999999999998</v>
      </c>
      <c r="D497" s="28"/>
      <c r="E497" s="7"/>
    </row>
    <row r="498" spans="1:5" x14ac:dyDescent="0.35">
      <c r="A498" s="7">
        <v>44214</v>
      </c>
      <c r="B498">
        <v>5.2782</v>
      </c>
      <c r="D498" s="28"/>
      <c r="E498" s="7"/>
    </row>
    <row r="499" spans="1:5" x14ac:dyDescent="0.35">
      <c r="A499" s="7">
        <v>44211</v>
      </c>
      <c r="B499">
        <v>5.2708000000000004</v>
      </c>
      <c r="D499" s="28"/>
      <c r="E499" s="7"/>
    </row>
    <row r="500" spans="1:5" x14ac:dyDescent="0.35">
      <c r="A500" s="7">
        <v>44210</v>
      </c>
      <c r="B500">
        <v>5.2610999999999999</v>
      </c>
      <c r="D500" s="28"/>
      <c r="E500" s="7"/>
    </row>
    <row r="501" spans="1:5" x14ac:dyDescent="0.35">
      <c r="A501" s="7">
        <v>44209</v>
      </c>
      <c r="B501">
        <v>5.3064</v>
      </c>
      <c r="D501" s="28"/>
      <c r="E501" s="7"/>
    </row>
    <row r="502" spans="1:5" x14ac:dyDescent="0.35">
      <c r="A502" s="7">
        <v>44208</v>
      </c>
      <c r="B502">
        <v>5.4630999999999998</v>
      </c>
      <c r="D502" s="28"/>
      <c r="E502" s="7"/>
    </row>
    <row r="503" spans="1:5" x14ac:dyDescent="0.35">
      <c r="A503" s="7">
        <v>44207</v>
      </c>
      <c r="B503">
        <v>5.4960000000000004</v>
      </c>
      <c r="D503" s="28"/>
      <c r="E503" s="7"/>
    </row>
    <row r="504" spans="1:5" x14ac:dyDescent="0.35">
      <c r="A504" s="7">
        <v>44204</v>
      </c>
      <c r="B504">
        <v>5.3677000000000001</v>
      </c>
      <c r="D504" s="28"/>
      <c r="E504" s="7"/>
    </row>
    <row r="505" spans="1:5" x14ac:dyDescent="0.35">
      <c r="A505" s="7">
        <v>44203</v>
      </c>
      <c r="B505">
        <v>5.3426999999999998</v>
      </c>
      <c r="D505" s="28"/>
      <c r="E505" s="7"/>
    </row>
    <row r="506" spans="1:5" x14ac:dyDescent="0.35">
      <c r="A506" s="7">
        <v>44202</v>
      </c>
      <c r="B506">
        <v>5.3175999999999997</v>
      </c>
      <c r="D506" s="28"/>
      <c r="E506" s="7"/>
    </row>
    <row r="507" spans="1:5" x14ac:dyDescent="0.35">
      <c r="A507" s="7">
        <v>44201</v>
      </c>
      <c r="B507">
        <v>5.3262999999999998</v>
      </c>
      <c r="D507" s="28"/>
      <c r="E507" s="7"/>
    </row>
    <row r="508" spans="1:5" x14ac:dyDescent="0.35">
      <c r="A508" s="7">
        <v>44200</v>
      </c>
      <c r="B508">
        <v>5.1619999999999999</v>
      </c>
      <c r="D508" s="28"/>
      <c r="E508" s="7"/>
    </row>
    <row r="509" spans="1:5" x14ac:dyDescent="0.35">
      <c r="A509" s="7">
        <v>44196</v>
      </c>
      <c r="B509">
        <v>5.1961000000000004</v>
      </c>
      <c r="D509" s="28"/>
      <c r="E509" s="7"/>
    </row>
    <row r="510" spans="1:5" x14ac:dyDescent="0.35">
      <c r="A510" s="7">
        <v>44195</v>
      </c>
      <c r="B510">
        <v>5.1961000000000004</v>
      </c>
      <c r="D510" s="28"/>
      <c r="E510" s="7"/>
    </row>
    <row r="511" spans="1:5" x14ac:dyDescent="0.35">
      <c r="A511" s="7">
        <v>44194</v>
      </c>
      <c r="B511">
        <v>5.1936</v>
      </c>
      <c r="D511" s="28"/>
      <c r="E511" s="7"/>
    </row>
    <row r="512" spans="1:5" x14ac:dyDescent="0.35">
      <c r="A512" s="7">
        <v>44193</v>
      </c>
      <c r="B512">
        <v>5.2384000000000004</v>
      </c>
      <c r="D512" s="28"/>
      <c r="E512" s="7"/>
    </row>
    <row r="513" spans="1:5" x14ac:dyDescent="0.35">
      <c r="A513" s="7">
        <v>44189</v>
      </c>
      <c r="B513">
        <v>5.1784999999999997</v>
      </c>
      <c r="D513" s="28"/>
      <c r="E513" s="7"/>
    </row>
    <row r="514" spans="1:5" x14ac:dyDescent="0.35">
      <c r="A514" s="7">
        <v>44188</v>
      </c>
      <c r="B514">
        <v>5.1734</v>
      </c>
      <c r="D514" s="28"/>
      <c r="E514" s="7"/>
    </row>
    <row r="515" spans="1:5" x14ac:dyDescent="0.35">
      <c r="A515" s="7">
        <v>44187</v>
      </c>
      <c r="B515">
        <v>5.1467000000000001</v>
      </c>
      <c r="D515" s="28"/>
      <c r="E515" s="7"/>
    </row>
    <row r="516" spans="1:5" x14ac:dyDescent="0.35">
      <c r="A516" s="7">
        <v>44186</v>
      </c>
      <c r="B516">
        <v>5.1566000000000001</v>
      </c>
      <c r="D516" s="28"/>
      <c r="E516" s="7"/>
    </row>
    <row r="517" spans="1:5" x14ac:dyDescent="0.35">
      <c r="A517" s="7">
        <v>44183</v>
      </c>
      <c r="B517">
        <v>5.0979999999999999</v>
      </c>
      <c r="D517" s="28"/>
      <c r="E517" s="7"/>
    </row>
    <row r="518" spans="1:5" x14ac:dyDescent="0.35">
      <c r="A518" s="7">
        <v>44182</v>
      </c>
      <c r="B518">
        <v>5.0606</v>
      </c>
      <c r="D518" s="28"/>
      <c r="E518" s="7"/>
    </row>
    <row r="519" spans="1:5" x14ac:dyDescent="0.35">
      <c r="A519" s="7">
        <v>44181</v>
      </c>
      <c r="B519">
        <v>5.1051000000000002</v>
      </c>
      <c r="D519" s="28"/>
      <c r="E519" s="7"/>
    </row>
    <row r="520" spans="1:5" x14ac:dyDescent="0.35">
      <c r="A520" s="7">
        <v>44180</v>
      </c>
      <c r="B520">
        <v>5.0961999999999996</v>
      </c>
      <c r="D520" s="28"/>
      <c r="E520" s="7"/>
    </row>
    <row r="521" spans="1:5" x14ac:dyDescent="0.35">
      <c r="A521" s="7">
        <v>44179</v>
      </c>
      <c r="B521">
        <v>5.0571999999999999</v>
      </c>
      <c r="D521" s="28"/>
      <c r="E521" s="7"/>
    </row>
    <row r="522" spans="1:5" x14ac:dyDescent="0.35">
      <c r="A522" s="7">
        <v>44176</v>
      </c>
      <c r="B522">
        <v>5.0685000000000002</v>
      </c>
      <c r="D522" s="28"/>
      <c r="E522" s="7"/>
    </row>
    <row r="523" spans="1:5" x14ac:dyDescent="0.35">
      <c r="A523" s="7">
        <v>44175</v>
      </c>
      <c r="B523">
        <v>5.0846</v>
      </c>
      <c r="D523" s="28"/>
      <c r="E523" s="7"/>
    </row>
    <row r="524" spans="1:5" x14ac:dyDescent="0.35">
      <c r="A524" s="7">
        <v>44174</v>
      </c>
      <c r="B524">
        <v>5.1102999999999996</v>
      </c>
      <c r="D524" s="28"/>
      <c r="E524" s="7"/>
    </row>
    <row r="525" spans="1:5" x14ac:dyDescent="0.35">
      <c r="A525" s="7">
        <v>44173</v>
      </c>
      <c r="B525">
        <v>5.0914000000000001</v>
      </c>
      <c r="D525" s="28"/>
      <c r="E525" s="7"/>
    </row>
    <row r="526" spans="1:5" x14ac:dyDescent="0.35">
      <c r="A526" s="7">
        <v>44172</v>
      </c>
      <c r="B526">
        <v>5.1012000000000004</v>
      </c>
      <c r="D526" s="28"/>
      <c r="E526" s="7"/>
    </row>
    <row r="527" spans="1:5" x14ac:dyDescent="0.35">
      <c r="A527" s="7">
        <v>44169</v>
      </c>
      <c r="B527">
        <v>5.17</v>
      </c>
      <c r="D527" s="28"/>
      <c r="E527" s="7"/>
    </row>
    <row r="528" spans="1:5" x14ac:dyDescent="0.35">
      <c r="A528" s="7">
        <v>44168</v>
      </c>
      <c r="B528">
        <v>5.1619000000000002</v>
      </c>
      <c r="D528" s="28"/>
      <c r="E528" s="7"/>
    </row>
    <row r="529" spans="1:5" x14ac:dyDescent="0.35">
      <c r="A529" s="7">
        <v>44167</v>
      </c>
      <c r="B529">
        <v>5.2260999999999997</v>
      </c>
      <c r="D529" s="28"/>
      <c r="E529" s="7"/>
    </row>
    <row r="530" spans="1:5" x14ac:dyDescent="0.35">
      <c r="A530" s="7">
        <v>44166</v>
      </c>
      <c r="B530">
        <v>5.2782999999999998</v>
      </c>
      <c r="D530" s="28"/>
      <c r="E530" s="7"/>
    </row>
    <row r="531" spans="1:5" x14ac:dyDescent="0.35">
      <c r="A531" s="7">
        <v>44165</v>
      </c>
      <c r="B531">
        <v>5.3311000000000002</v>
      </c>
      <c r="D531" s="28"/>
      <c r="E531" s="7"/>
    </row>
    <row r="532" spans="1:5" x14ac:dyDescent="0.35">
      <c r="A532" s="7">
        <v>44162</v>
      </c>
      <c r="B532">
        <v>5.3487999999999998</v>
      </c>
      <c r="D532" s="28"/>
      <c r="E532" s="7"/>
    </row>
    <row r="533" spans="1:5" x14ac:dyDescent="0.35">
      <c r="A533" s="7">
        <v>44161</v>
      </c>
      <c r="B533">
        <v>5.3194999999999997</v>
      </c>
      <c r="D533" s="28"/>
      <c r="E533" s="7"/>
    </row>
    <row r="534" spans="1:5" x14ac:dyDescent="0.35">
      <c r="A534" s="7">
        <v>44160</v>
      </c>
      <c r="B534">
        <v>5.3502000000000001</v>
      </c>
      <c r="D534" s="28"/>
      <c r="E534" s="7"/>
    </row>
    <row r="535" spans="1:5" x14ac:dyDescent="0.35">
      <c r="A535" s="7">
        <v>44159</v>
      </c>
      <c r="B535">
        <v>5.4031000000000002</v>
      </c>
      <c r="D535" s="28"/>
      <c r="E535" s="7"/>
    </row>
    <row r="536" spans="1:5" x14ac:dyDescent="0.35">
      <c r="A536" s="7">
        <v>44158</v>
      </c>
      <c r="B536">
        <v>5.3822000000000001</v>
      </c>
      <c r="D536" s="28"/>
      <c r="E536" s="7"/>
    </row>
    <row r="537" spans="1:5" x14ac:dyDescent="0.35">
      <c r="A537" s="7">
        <v>44155</v>
      </c>
      <c r="B537">
        <v>5.3498999999999999</v>
      </c>
      <c r="D537" s="28"/>
      <c r="E537" s="7"/>
    </row>
    <row r="538" spans="1:5" x14ac:dyDescent="0.35">
      <c r="A538" s="7">
        <v>44154</v>
      </c>
      <c r="B538">
        <v>5.3323999999999998</v>
      </c>
      <c r="D538" s="28"/>
      <c r="E538" s="7"/>
    </row>
    <row r="539" spans="1:5" x14ac:dyDescent="0.35">
      <c r="A539" s="7">
        <v>44153</v>
      </c>
      <c r="B539">
        <v>5.2926000000000002</v>
      </c>
      <c r="D539" s="28"/>
      <c r="E539" s="7"/>
    </row>
    <row r="540" spans="1:5" x14ac:dyDescent="0.35">
      <c r="A540" s="7">
        <v>44152</v>
      </c>
      <c r="B540">
        <v>5.3962000000000003</v>
      </c>
      <c r="D540" s="28"/>
      <c r="E540" s="7"/>
    </row>
    <row r="541" spans="1:5" x14ac:dyDescent="0.35">
      <c r="A541" s="7">
        <v>44151</v>
      </c>
      <c r="B541">
        <v>5.4192</v>
      </c>
      <c r="D541" s="28"/>
      <c r="E541" s="7"/>
    </row>
    <row r="542" spans="1:5" x14ac:dyDescent="0.35">
      <c r="A542" s="7">
        <v>44148</v>
      </c>
      <c r="B542">
        <v>5.4847999999999999</v>
      </c>
      <c r="D542" s="28"/>
      <c r="E542" s="7"/>
    </row>
    <row r="543" spans="1:5" x14ac:dyDescent="0.35">
      <c r="A543" s="7">
        <v>44147</v>
      </c>
      <c r="B543">
        <v>5.4088000000000003</v>
      </c>
      <c r="D543" s="28"/>
      <c r="E543" s="7"/>
    </row>
    <row r="544" spans="1:5" x14ac:dyDescent="0.35">
      <c r="A544" s="7">
        <v>44146</v>
      </c>
      <c r="B544">
        <v>5.4013999999999998</v>
      </c>
      <c r="D544" s="28"/>
      <c r="E544" s="7"/>
    </row>
    <row r="545" spans="1:5" x14ac:dyDescent="0.35">
      <c r="A545" s="7">
        <v>44145</v>
      </c>
      <c r="B545">
        <v>5.3689999999999998</v>
      </c>
      <c r="D545" s="28"/>
      <c r="E545" s="7"/>
    </row>
    <row r="546" spans="1:5" x14ac:dyDescent="0.35">
      <c r="A546" s="7">
        <v>44144</v>
      </c>
      <c r="B546">
        <v>5.2815000000000003</v>
      </c>
      <c r="D546" s="28"/>
      <c r="E546" s="7"/>
    </row>
    <row r="547" spans="1:5" x14ac:dyDescent="0.35">
      <c r="A547" s="7">
        <v>44141</v>
      </c>
      <c r="B547">
        <v>5.5307000000000004</v>
      </c>
      <c r="D547" s="28"/>
      <c r="E547" s="7"/>
    </row>
    <row r="548" spans="1:5" x14ac:dyDescent="0.35">
      <c r="A548" s="7">
        <v>44140</v>
      </c>
      <c r="B548">
        <v>5.5617999999999999</v>
      </c>
      <c r="D548" s="28"/>
      <c r="E548" s="7"/>
    </row>
    <row r="549" spans="1:5" x14ac:dyDescent="0.35">
      <c r="A549" s="7">
        <v>44139</v>
      </c>
      <c r="B549">
        <v>5.6925999999999997</v>
      </c>
      <c r="D549" s="28"/>
      <c r="E549" s="7"/>
    </row>
    <row r="550" spans="1:5" x14ac:dyDescent="0.35">
      <c r="A550" s="7">
        <v>44138</v>
      </c>
      <c r="B550">
        <v>5.6889000000000003</v>
      </c>
      <c r="D550" s="28"/>
      <c r="E550" s="7"/>
    </row>
    <row r="551" spans="1:5" x14ac:dyDescent="0.35">
      <c r="A551" s="7">
        <v>44134</v>
      </c>
      <c r="B551">
        <v>5.7712000000000003</v>
      </c>
      <c r="D551" s="28"/>
      <c r="E551" s="7"/>
    </row>
    <row r="552" spans="1:5" x14ac:dyDescent="0.35">
      <c r="A552" s="7">
        <v>44133</v>
      </c>
      <c r="B552">
        <v>5.7797000000000001</v>
      </c>
      <c r="D552" s="28"/>
      <c r="E552" s="7"/>
    </row>
    <row r="553" spans="1:5" x14ac:dyDescent="0.35">
      <c r="A553" s="7">
        <v>44132</v>
      </c>
      <c r="B553">
        <v>5.7319000000000004</v>
      </c>
      <c r="D553" s="28"/>
      <c r="E553" s="7"/>
    </row>
    <row r="554" spans="1:5" x14ac:dyDescent="0.35">
      <c r="A554" s="7">
        <v>44131</v>
      </c>
      <c r="B554">
        <v>5.6483999999999996</v>
      </c>
      <c r="D554" s="28"/>
      <c r="E554" s="7"/>
    </row>
    <row r="555" spans="1:5" x14ac:dyDescent="0.35">
      <c r="A555" s="7">
        <v>44130</v>
      </c>
      <c r="B555">
        <v>5.6322000000000001</v>
      </c>
      <c r="D555" s="28"/>
      <c r="E555" s="7"/>
    </row>
    <row r="556" spans="1:5" x14ac:dyDescent="0.35">
      <c r="A556" s="7">
        <v>44127</v>
      </c>
      <c r="B556">
        <v>5.6113999999999997</v>
      </c>
      <c r="D556" s="28"/>
      <c r="E556" s="7"/>
    </row>
    <row r="557" spans="1:5" x14ac:dyDescent="0.35">
      <c r="A557" s="7">
        <v>44126</v>
      </c>
      <c r="B557">
        <v>5.5814000000000004</v>
      </c>
    </row>
    <row r="558" spans="1:5" x14ac:dyDescent="0.35">
      <c r="A558" s="7">
        <v>44125</v>
      </c>
      <c r="B558">
        <v>5.6</v>
      </c>
    </row>
    <row r="559" spans="1:5" x14ac:dyDescent="0.35">
      <c r="A559" s="7">
        <v>44124</v>
      </c>
      <c r="B559">
        <v>5.5823999999999998</v>
      </c>
    </row>
    <row r="560" spans="1:5" x14ac:dyDescent="0.35">
      <c r="A560" s="7">
        <v>44123</v>
      </c>
      <c r="B560">
        <v>5.6017000000000001</v>
      </c>
    </row>
    <row r="561" spans="1:2" x14ac:dyDescent="0.35">
      <c r="A561" s="7">
        <v>44120</v>
      </c>
      <c r="B561">
        <v>5.6219999999999999</v>
      </c>
    </row>
    <row r="562" spans="1:2" x14ac:dyDescent="0.35">
      <c r="A562" s="7">
        <v>44119</v>
      </c>
      <c r="B562">
        <v>5.6166</v>
      </c>
    </row>
    <row r="563" spans="1:2" x14ac:dyDescent="0.35">
      <c r="A563" s="7">
        <v>44118</v>
      </c>
      <c r="B563">
        <v>5.5669000000000004</v>
      </c>
    </row>
    <row r="564" spans="1:2" x14ac:dyDescent="0.35">
      <c r="A564" s="7">
        <v>44117</v>
      </c>
      <c r="B564">
        <v>5.5853999999999999</v>
      </c>
    </row>
    <row r="565" spans="1:2" x14ac:dyDescent="0.35">
      <c r="A565" s="7">
        <v>44113</v>
      </c>
      <c r="B565">
        <v>5.5387000000000004</v>
      </c>
    </row>
    <row r="566" spans="1:2" x14ac:dyDescent="0.35">
      <c r="A566" s="7">
        <v>44112</v>
      </c>
      <c r="B566">
        <v>5.6193999999999997</v>
      </c>
    </row>
    <row r="567" spans="1:2" x14ac:dyDescent="0.35">
      <c r="A567" s="7">
        <v>44111</v>
      </c>
      <c r="B567">
        <v>5.6012000000000004</v>
      </c>
    </row>
    <row r="568" spans="1:2" x14ac:dyDescent="0.35">
      <c r="A568" s="7">
        <v>44110</v>
      </c>
      <c r="B568">
        <v>5.5198999999999998</v>
      </c>
    </row>
    <row r="569" spans="1:2" x14ac:dyDescent="0.35">
      <c r="A569" s="7">
        <v>44109</v>
      </c>
      <c r="B569">
        <v>5.6292999999999997</v>
      </c>
    </row>
    <row r="570" spans="1:2" x14ac:dyDescent="0.35">
      <c r="A570" s="7">
        <v>44106</v>
      </c>
      <c r="B570">
        <v>5.6458000000000004</v>
      </c>
    </row>
    <row r="571" spans="1:2" x14ac:dyDescent="0.35">
      <c r="A571" s="7">
        <v>44105</v>
      </c>
      <c r="B571">
        <v>5.6435000000000004</v>
      </c>
    </row>
    <row r="572" spans="1:2" x14ac:dyDescent="0.35">
      <c r="A572" s="7">
        <v>44104</v>
      </c>
      <c r="B572">
        <v>5.6401000000000003</v>
      </c>
    </row>
    <row r="573" spans="1:2" x14ac:dyDescent="0.35">
      <c r="A573" s="7">
        <v>44103</v>
      </c>
      <c r="B573">
        <v>5.6520999999999999</v>
      </c>
    </row>
    <row r="574" spans="1:2" x14ac:dyDescent="0.35">
      <c r="A574" s="7">
        <v>44102</v>
      </c>
      <c r="B574">
        <v>5.5852000000000004</v>
      </c>
    </row>
    <row r="575" spans="1:2" x14ac:dyDescent="0.35">
      <c r="A575" s="7">
        <v>44099</v>
      </c>
      <c r="B575">
        <v>5.5660999999999996</v>
      </c>
    </row>
    <row r="576" spans="1:2" x14ac:dyDescent="0.35">
      <c r="A576" s="7">
        <v>44098</v>
      </c>
      <c r="B576">
        <v>5.5708000000000002</v>
      </c>
    </row>
    <row r="577" spans="1:2" x14ac:dyDescent="0.35">
      <c r="A577" s="7">
        <v>44097</v>
      </c>
      <c r="B577">
        <v>5.5305</v>
      </c>
    </row>
    <row r="578" spans="1:2" x14ac:dyDescent="0.35">
      <c r="A578" s="7">
        <v>44096</v>
      </c>
      <c r="B578">
        <v>5.4322999999999997</v>
      </c>
    </row>
    <row r="579" spans="1:2" x14ac:dyDescent="0.35">
      <c r="A579" s="7">
        <v>44095</v>
      </c>
      <c r="B579">
        <v>5.4433999999999996</v>
      </c>
    </row>
    <row r="580" spans="1:2" x14ac:dyDescent="0.35">
      <c r="A580" s="7">
        <v>44092</v>
      </c>
      <c r="B580">
        <v>5.2882999999999996</v>
      </c>
    </row>
    <row r="581" spans="1:2" x14ac:dyDescent="0.35">
      <c r="A581" s="7">
        <v>44091</v>
      </c>
      <c r="B581">
        <v>5.2587000000000002</v>
      </c>
    </row>
    <row r="582" spans="1:2" x14ac:dyDescent="0.35">
      <c r="A582" s="7">
        <v>44090</v>
      </c>
      <c r="B582">
        <v>5.2526000000000002</v>
      </c>
    </row>
    <row r="583" spans="1:2" x14ac:dyDescent="0.35">
      <c r="A583" s="7">
        <v>44089</v>
      </c>
      <c r="B583">
        <v>5.2721999999999998</v>
      </c>
    </row>
    <row r="584" spans="1:2" x14ac:dyDescent="0.35">
      <c r="A584" s="7">
        <v>44088</v>
      </c>
      <c r="B584">
        <v>5.2977999999999996</v>
      </c>
    </row>
    <row r="585" spans="1:2" x14ac:dyDescent="0.35">
      <c r="A585" s="7">
        <v>44085</v>
      </c>
      <c r="B585">
        <v>5.2847999999999997</v>
      </c>
    </row>
    <row r="586" spans="1:2" x14ac:dyDescent="0.35">
      <c r="A586" s="7">
        <v>44084</v>
      </c>
      <c r="B586">
        <v>5.2930000000000001</v>
      </c>
    </row>
    <row r="587" spans="1:2" x14ac:dyDescent="0.35">
      <c r="A587" s="7">
        <v>44083</v>
      </c>
      <c r="B587">
        <v>5.3018000000000001</v>
      </c>
    </row>
    <row r="588" spans="1:2" x14ac:dyDescent="0.35">
      <c r="A588" s="7">
        <v>44082</v>
      </c>
      <c r="B588">
        <v>5.3692000000000002</v>
      </c>
    </row>
    <row r="589" spans="1:2" x14ac:dyDescent="0.35">
      <c r="A589" s="7">
        <v>44078</v>
      </c>
      <c r="B589">
        <v>5.2842000000000002</v>
      </c>
    </row>
    <row r="590" spans="1:2" x14ac:dyDescent="0.35">
      <c r="A590" s="7">
        <v>44077</v>
      </c>
      <c r="B590">
        <v>5.3072999999999997</v>
      </c>
    </row>
    <row r="591" spans="1:2" x14ac:dyDescent="0.35">
      <c r="A591" s="7">
        <v>44076</v>
      </c>
      <c r="B591">
        <v>5.3734999999999999</v>
      </c>
    </row>
    <row r="592" spans="1:2" x14ac:dyDescent="0.35">
      <c r="A592" s="7">
        <v>44075</v>
      </c>
      <c r="B592">
        <v>5.3726000000000003</v>
      </c>
    </row>
    <row r="593" spans="1:2" x14ac:dyDescent="0.35">
      <c r="A593" s="7">
        <v>44074</v>
      </c>
      <c r="B593">
        <v>5.4706999999999999</v>
      </c>
    </row>
    <row r="594" spans="1:2" x14ac:dyDescent="0.35">
      <c r="A594" s="7">
        <v>44071</v>
      </c>
      <c r="B594">
        <v>5.4672999999999998</v>
      </c>
    </row>
    <row r="595" spans="1:2" x14ac:dyDescent="0.35">
      <c r="A595" s="7">
        <v>44070</v>
      </c>
      <c r="B595">
        <v>5.5949999999999998</v>
      </c>
    </row>
    <row r="596" spans="1:2" x14ac:dyDescent="0.35">
      <c r="A596" s="7">
        <v>44069</v>
      </c>
      <c r="B596">
        <v>5.5674000000000001</v>
      </c>
    </row>
    <row r="597" spans="1:2" x14ac:dyDescent="0.35">
      <c r="A597" s="7">
        <v>44068</v>
      </c>
      <c r="B597">
        <v>5.5991</v>
      </c>
    </row>
    <row r="598" spans="1:2" x14ac:dyDescent="0.35">
      <c r="A598" s="7">
        <v>44067</v>
      </c>
      <c r="B598">
        <v>5.5948000000000002</v>
      </c>
    </row>
    <row r="599" spans="1:2" x14ac:dyDescent="0.35">
      <c r="A599" s="7">
        <v>44064</v>
      </c>
      <c r="B599">
        <v>5.6058000000000003</v>
      </c>
    </row>
    <row r="600" spans="1:2" x14ac:dyDescent="0.35">
      <c r="A600" s="7">
        <v>44063</v>
      </c>
      <c r="B600">
        <v>5.6504000000000003</v>
      </c>
    </row>
    <row r="601" spans="1:2" x14ac:dyDescent="0.35">
      <c r="A601" s="7">
        <v>44062</v>
      </c>
      <c r="B601">
        <v>5.49</v>
      </c>
    </row>
    <row r="602" spans="1:2" x14ac:dyDescent="0.35">
      <c r="A602" s="7">
        <v>44061</v>
      </c>
      <c r="B602">
        <v>5.4653</v>
      </c>
    </row>
    <row r="603" spans="1:2" x14ac:dyDescent="0.35">
      <c r="A603" s="7">
        <v>44060</v>
      </c>
      <c r="B603">
        <v>5.4490999999999996</v>
      </c>
    </row>
    <row r="604" spans="1:2" x14ac:dyDescent="0.35">
      <c r="A604" s="7">
        <v>44057</v>
      </c>
      <c r="B604">
        <v>5.3845999999999998</v>
      </c>
    </row>
    <row r="605" spans="1:2" x14ac:dyDescent="0.35">
      <c r="A605" s="7">
        <v>44056</v>
      </c>
      <c r="B605">
        <v>5.3795000000000002</v>
      </c>
    </row>
    <row r="606" spans="1:2" x14ac:dyDescent="0.35">
      <c r="A606" s="7">
        <v>44055</v>
      </c>
      <c r="B606">
        <v>5.4545000000000003</v>
      </c>
    </row>
    <row r="607" spans="1:2" x14ac:dyDescent="0.35">
      <c r="A607" s="7">
        <v>44054</v>
      </c>
      <c r="B607">
        <v>5.4279000000000002</v>
      </c>
    </row>
    <row r="608" spans="1:2" x14ac:dyDescent="0.35">
      <c r="A608" s="7">
        <v>44053</v>
      </c>
      <c r="B608">
        <v>5.3926999999999996</v>
      </c>
    </row>
    <row r="609" spans="1:2" x14ac:dyDescent="0.35">
      <c r="A609" s="7">
        <v>44050</v>
      </c>
      <c r="B609">
        <v>5.4221000000000004</v>
      </c>
    </row>
    <row r="610" spans="1:2" x14ac:dyDescent="0.35">
      <c r="A610" s="7">
        <v>44049</v>
      </c>
      <c r="B610">
        <v>5.3425000000000002</v>
      </c>
    </row>
    <row r="611" spans="1:2" x14ac:dyDescent="0.35">
      <c r="A611" s="7">
        <v>44048</v>
      </c>
      <c r="B611">
        <v>5.2754000000000003</v>
      </c>
    </row>
    <row r="612" spans="1:2" x14ac:dyDescent="0.35">
      <c r="A612" s="7">
        <v>44047</v>
      </c>
      <c r="B612">
        <v>5.3323</v>
      </c>
    </row>
    <row r="613" spans="1:2" x14ac:dyDescent="0.35">
      <c r="A613" s="7">
        <v>44046</v>
      </c>
      <c r="B613">
        <v>5.3068999999999997</v>
      </c>
    </row>
    <row r="614" spans="1:2" x14ac:dyDescent="0.35">
      <c r="A614" s="7">
        <v>44043</v>
      </c>
      <c r="B614">
        <v>5.2027000000000001</v>
      </c>
    </row>
    <row r="615" spans="1:2" x14ac:dyDescent="0.35">
      <c r="A615" s="7">
        <v>44042</v>
      </c>
      <c r="B615">
        <v>5.1830999999999996</v>
      </c>
    </row>
    <row r="616" spans="1:2" x14ac:dyDescent="0.35">
      <c r="A616" s="7">
        <v>44041</v>
      </c>
      <c r="B616">
        <v>5.1388999999999996</v>
      </c>
    </row>
    <row r="617" spans="1:2" x14ac:dyDescent="0.35">
      <c r="A617" s="7">
        <v>44040</v>
      </c>
      <c r="B617">
        <v>5.1771000000000003</v>
      </c>
    </row>
    <row r="618" spans="1:2" x14ac:dyDescent="0.35">
      <c r="A618" s="7">
        <v>44039</v>
      </c>
      <c r="B618">
        <v>5.1882999999999999</v>
      </c>
    </row>
    <row r="619" spans="1:2" x14ac:dyDescent="0.35">
      <c r="A619" s="7">
        <v>44036</v>
      </c>
      <c r="B619">
        <v>5.2140000000000004</v>
      </c>
    </row>
    <row r="620" spans="1:2" x14ac:dyDescent="0.35">
      <c r="A620" s="7">
        <v>44035</v>
      </c>
      <c r="B620">
        <v>5.1641000000000004</v>
      </c>
    </row>
    <row r="621" spans="1:2" x14ac:dyDescent="0.35">
      <c r="A621" s="7">
        <v>44034</v>
      </c>
      <c r="B621">
        <v>5.1105</v>
      </c>
    </row>
    <row r="622" spans="1:2" x14ac:dyDescent="0.35">
      <c r="A622" s="7">
        <v>44033</v>
      </c>
      <c r="B622">
        <v>5.2276999999999996</v>
      </c>
    </row>
    <row r="623" spans="1:2" x14ac:dyDescent="0.35">
      <c r="A623" s="7">
        <v>44032</v>
      </c>
      <c r="B623">
        <v>5.3628999999999998</v>
      </c>
    </row>
    <row r="624" spans="1:2" x14ac:dyDescent="0.35">
      <c r="A624" s="7">
        <v>44029</v>
      </c>
      <c r="B624">
        <v>5.3503999999999996</v>
      </c>
    </row>
    <row r="625" spans="1:2" x14ac:dyDescent="0.35">
      <c r="A625" s="7">
        <v>44028</v>
      </c>
      <c r="B625">
        <v>5.3554000000000004</v>
      </c>
    </row>
    <row r="626" spans="1:2" x14ac:dyDescent="0.35">
      <c r="A626" s="7">
        <v>44027</v>
      </c>
      <c r="B626">
        <v>5.3484999999999996</v>
      </c>
    </row>
    <row r="627" spans="1:2" x14ac:dyDescent="0.35">
      <c r="A627" s="7">
        <v>44026</v>
      </c>
      <c r="B627">
        <v>5.4282000000000004</v>
      </c>
    </row>
    <row r="628" spans="1:2" x14ac:dyDescent="0.35">
      <c r="A628" s="7">
        <v>44025</v>
      </c>
      <c r="B628">
        <v>5.3479999999999999</v>
      </c>
    </row>
    <row r="629" spans="1:2" x14ac:dyDescent="0.35">
      <c r="A629" s="7">
        <v>44022</v>
      </c>
      <c r="B629">
        <v>5.3433999999999999</v>
      </c>
    </row>
    <row r="630" spans="1:2" x14ac:dyDescent="0.35">
      <c r="A630" s="7">
        <v>44021</v>
      </c>
      <c r="B630">
        <v>5.2972000000000001</v>
      </c>
    </row>
    <row r="631" spans="1:2" x14ac:dyDescent="0.35">
      <c r="A631" s="7">
        <v>44020</v>
      </c>
      <c r="B631">
        <v>5.3475999999999999</v>
      </c>
    </row>
    <row r="632" spans="1:2" x14ac:dyDescent="0.35">
      <c r="A632" s="7">
        <v>44019</v>
      </c>
      <c r="B632">
        <v>5.3311999999999999</v>
      </c>
    </row>
    <row r="633" spans="1:2" x14ac:dyDescent="0.35">
      <c r="A633" s="7">
        <v>44018</v>
      </c>
      <c r="B633">
        <v>5.3079000000000001</v>
      </c>
    </row>
    <row r="634" spans="1:2" x14ac:dyDescent="0.35">
      <c r="A634" s="7">
        <v>44015</v>
      </c>
      <c r="B634">
        <v>5.3368000000000002</v>
      </c>
    </row>
    <row r="635" spans="1:2" x14ac:dyDescent="0.35">
      <c r="A635" s="7">
        <v>44014</v>
      </c>
      <c r="B635">
        <v>5.3022</v>
      </c>
    </row>
    <row r="636" spans="1:2" x14ac:dyDescent="0.35">
      <c r="A636" s="7">
        <v>44013</v>
      </c>
      <c r="B636">
        <v>5.3646000000000003</v>
      </c>
    </row>
    <row r="637" spans="1:2" x14ac:dyDescent="0.35">
      <c r="A637" s="7">
        <v>44012</v>
      </c>
      <c r="B637">
        <v>5.4753999999999996</v>
      </c>
    </row>
    <row r="638" spans="1:2" x14ac:dyDescent="0.35">
      <c r="A638" s="7">
        <v>44011</v>
      </c>
      <c r="B638">
        <v>5.4409999999999998</v>
      </c>
    </row>
    <row r="639" spans="1:2" x14ac:dyDescent="0.35">
      <c r="A639" s="7">
        <v>44008</v>
      </c>
      <c r="B639">
        <v>5.4622999999999999</v>
      </c>
    </row>
    <row r="640" spans="1:2" x14ac:dyDescent="0.35">
      <c r="A640" s="7">
        <v>44007</v>
      </c>
      <c r="B640">
        <v>5.3281000000000001</v>
      </c>
    </row>
    <row r="641" spans="1:2" x14ac:dyDescent="0.35">
      <c r="A641" s="7">
        <v>44006</v>
      </c>
      <c r="B641">
        <v>5.2428999999999997</v>
      </c>
    </row>
    <row r="642" spans="1:2" x14ac:dyDescent="0.35">
      <c r="A642" s="7">
        <v>44005</v>
      </c>
      <c r="B642">
        <v>5.1699000000000002</v>
      </c>
    </row>
    <row r="643" spans="1:2" x14ac:dyDescent="0.35">
      <c r="A643" s="7">
        <v>44004</v>
      </c>
      <c r="B643">
        <v>5.2220000000000004</v>
      </c>
    </row>
    <row r="644" spans="1:2" x14ac:dyDescent="0.35">
      <c r="A644" s="7">
        <v>44001</v>
      </c>
      <c r="B644">
        <v>5.3460000000000001</v>
      </c>
    </row>
    <row r="645" spans="1:2" x14ac:dyDescent="0.35">
      <c r="A645" s="7">
        <v>44000</v>
      </c>
      <c r="B645">
        <v>5.3461999999999996</v>
      </c>
    </row>
    <row r="646" spans="1:2" x14ac:dyDescent="0.35">
      <c r="A646" s="7">
        <v>43999</v>
      </c>
      <c r="B646">
        <v>5.2492000000000001</v>
      </c>
    </row>
    <row r="647" spans="1:2" x14ac:dyDescent="0.35">
      <c r="A647" s="7">
        <v>43998</v>
      </c>
      <c r="B647">
        <v>5.1279000000000003</v>
      </c>
    </row>
    <row r="648" spans="1:2" x14ac:dyDescent="0.35">
      <c r="A648" s="7">
        <v>43997</v>
      </c>
      <c r="B648">
        <v>5.1877000000000004</v>
      </c>
    </row>
    <row r="649" spans="1:2" x14ac:dyDescent="0.35">
      <c r="A649" s="7">
        <v>43994</v>
      </c>
      <c r="B649">
        <v>5.0366999999999997</v>
      </c>
    </row>
    <row r="650" spans="1:2" x14ac:dyDescent="0.35">
      <c r="A650" s="7">
        <v>43992</v>
      </c>
      <c r="B650">
        <v>4.8887999999999998</v>
      </c>
    </row>
    <row r="651" spans="1:2" x14ac:dyDescent="0.35">
      <c r="A651" s="7">
        <v>43991</v>
      </c>
      <c r="B651">
        <v>4.9051</v>
      </c>
    </row>
    <row r="652" spans="1:2" x14ac:dyDescent="0.35">
      <c r="A652" s="7">
        <v>43990</v>
      </c>
      <c r="B652">
        <v>4.9325000000000001</v>
      </c>
    </row>
    <row r="653" spans="1:2" x14ac:dyDescent="0.35">
      <c r="A653" s="7">
        <v>43987</v>
      </c>
      <c r="B653">
        <v>4.9768999999999997</v>
      </c>
    </row>
    <row r="654" spans="1:2" x14ac:dyDescent="0.35">
      <c r="A654" s="7">
        <v>43986</v>
      </c>
      <c r="B654">
        <v>5.1035000000000004</v>
      </c>
    </row>
    <row r="655" spans="1:2" x14ac:dyDescent="0.35">
      <c r="A655" s="7">
        <v>43985</v>
      </c>
      <c r="B655">
        <v>5.0510000000000002</v>
      </c>
    </row>
    <row r="656" spans="1:2" x14ac:dyDescent="0.35">
      <c r="A656" s="7">
        <v>43984</v>
      </c>
      <c r="B656">
        <v>5.2595000000000001</v>
      </c>
    </row>
    <row r="657" spans="1:2" x14ac:dyDescent="0.35">
      <c r="A657" s="7">
        <v>43983</v>
      </c>
      <c r="B657">
        <v>5.3632999999999997</v>
      </c>
    </row>
    <row r="658" spans="1:2" x14ac:dyDescent="0.35">
      <c r="A658" s="7">
        <v>43980</v>
      </c>
      <c r="B658">
        <v>5.4257</v>
      </c>
    </row>
    <row r="659" spans="1:2" x14ac:dyDescent="0.35">
      <c r="A659" s="7">
        <v>43979</v>
      </c>
      <c r="B659">
        <v>5.3399000000000001</v>
      </c>
    </row>
    <row r="660" spans="1:2" x14ac:dyDescent="0.35">
      <c r="A660" s="7">
        <v>43978</v>
      </c>
      <c r="B660">
        <v>5.2986000000000004</v>
      </c>
    </row>
    <row r="661" spans="1:2" x14ac:dyDescent="0.35">
      <c r="A661" s="7">
        <v>43977</v>
      </c>
      <c r="B661">
        <v>5.3700999999999999</v>
      </c>
    </row>
    <row r="662" spans="1:2" x14ac:dyDescent="0.35">
      <c r="A662" s="7">
        <v>43976</v>
      </c>
      <c r="B662">
        <v>5.4766000000000004</v>
      </c>
    </row>
    <row r="663" spans="1:2" x14ac:dyDescent="0.35">
      <c r="A663" s="7">
        <v>43973</v>
      </c>
      <c r="B663">
        <v>5.5801999999999996</v>
      </c>
    </row>
    <row r="664" spans="1:2" x14ac:dyDescent="0.35">
      <c r="A664" s="7">
        <v>43972</v>
      </c>
      <c r="B664">
        <v>5.6013000000000002</v>
      </c>
    </row>
    <row r="665" spans="1:2" x14ac:dyDescent="0.35">
      <c r="A665" s="7">
        <v>43971</v>
      </c>
      <c r="B665">
        <v>5.6962000000000002</v>
      </c>
    </row>
    <row r="666" spans="1:2" x14ac:dyDescent="0.35">
      <c r="A666" s="7">
        <v>43970</v>
      </c>
      <c r="B666">
        <v>5.7210000000000001</v>
      </c>
    </row>
    <row r="667" spans="1:2" x14ac:dyDescent="0.35">
      <c r="A667" s="7">
        <v>43969</v>
      </c>
      <c r="B667">
        <v>5.7369000000000003</v>
      </c>
    </row>
    <row r="668" spans="1:2" x14ac:dyDescent="0.35">
      <c r="A668" s="7">
        <v>43966</v>
      </c>
      <c r="B668">
        <v>5.8223000000000003</v>
      </c>
    </row>
    <row r="669" spans="1:2" x14ac:dyDescent="0.35">
      <c r="A669" s="7">
        <v>43965</v>
      </c>
      <c r="B669">
        <v>5.9366000000000003</v>
      </c>
    </row>
    <row r="670" spans="1:2" x14ac:dyDescent="0.35">
      <c r="A670" s="7">
        <v>43964</v>
      </c>
      <c r="B670">
        <v>5.9016000000000002</v>
      </c>
    </row>
    <row r="671" spans="1:2" x14ac:dyDescent="0.35">
      <c r="A671" s="7">
        <v>43963</v>
      </c>
      <c r="B671">
        <v>5.7717000000000001</v>
      </c>
    </row>
    <row r="672" spans="1:2" x14ac:dyDescent="0.35">
      <c r="A672" s="7">
        <v>43962</v>
      </c>
      <c r="B672">
        <v>5.7948000000000004</v>
      </c>
    </row>
    <row r="673" spans="1:2" x14ac:dyDescent="0.35">
      <c r="A673" s="7">
        <v>43959</v>
      </c>
      <c r="B673">
        <v>5.7647000000000004</v>
      </c>
    </row>
    <row r="674" spans="1:2" x14ac:dyDescent="0.35">
      <c r="A674" s="7">
        <v>43958</v>
      </c>
      <c r="B674">
        <v>5.8358999999999996</v>
      </c>
    </row>
    <row r="675" spans="1:2" x14ac:dyDescent="0.35">
      <c r="A675" s="7">
        <v>43957</v>
      </c>
      <c r="B675">
        <v>5.6669999999999998</v>
      </c>
    </row>
    <row r="676" spans="1:2" x14ac:dyDescent="0.35">
      <c r="A676" s="7">
        <v>43956</v>
      </c>
      <c r="B676">
        <v>5.5347999999999997</v>
      </c>
    </row>
    <row r="677" spans="1:2" x14ac:dyDescent="0.35">
      <c r="A677" s="7">
        <v>43955</v>
      </c>
      <c r="B677">
        <v>5.5811000000000002</v>
      </c>
    </row>
    <row r="678" spans="1:2" x14ac:dyDescent="0.35">
      <c r="A678" s="7">
        <v>43951</v>
      </c>
      <c r="B678">
        <v>5.4264000000000001</v>
      </c>
    </row>
    <row r="679" spans="1:2" x14ac:dyDescent="0.35">
      <c r="A679" s="7">
        <v>43950</v>
      </c>
      <c r="B679">
        <v>5.4284999999999997</v>
      </c>
    </row>
    <row r="680" spans="1:2" x14ac:dyDescent="0.35">
      <c r="A680" s="7">
        <v>43949</v>
      </c>
      <c r="B680">
        <v>5.5677000000000003</v>
      </c>
    </row>
    <row r="681" spans="1:2" x14ac:dyDescent="0.35">
      <c r="A681" s="7">
        <v>43948</v>
      </c>
      <c r="B681">
        <v>5.6352000000000002</v>
      </c>
    </row>
    <row r="682" spans="1:2" x14ac:dyDescent="0.35">
      <c r="A682" s="7">
        <v>43945</v>
      </c>
      <c r="B682">
        <v>5.6504000000000003</v>
      </c>
    </row>
    <row r="683" spans="1:2" x14ac:dyDescent="0.35">
      <c r="A683" s="7">
        <v>43944</v>
      </c>
      <c r="B683">
        <v>5.4461000000000004</v>
      </c>
    </row>
    <row r="684" spans="1:2" x14ac:dyDescent="0.35">
      <c r="A684" s="7">
        <v>43943</v>
      </c>
      <c r="B684">
        <v>5.3841000000000001</v>
      </c>
    </row>
    <row r="685" spans="1:2" x14ac:dyDescent="0.35">
      <c r="A685" s="7">
        <v>43941</v>
      </c>
      <c r="B685">
        <v>5.2831000000000001</v>
      </c>
    </row>
    <row r="686" spans="1:2" x14ac:dyDescent="0.35">
      <c r="A686" s="7">
        <v>43938</v>
      </c>
      <c r="B686">
        <v>5.2567000000000004</v>
      </c>
    </row>
    <row r="687" spans="1:2" x14ac:dyDescent="0.35">
      <c r="A687" s="7">
        <v>43937</v>
      </c>
      <c r="B687">
        <v>5.2370999999999999</v>
      </c>
    </row>
    <row r="688" spans="1:2" x14ac:dyDescent="0.35">
      <c r="A688" s="7">
        <v>43936</v>
      </c>
      <c r="B688">
        <v>5.2572999999999999</v>
      </c>
    </row>
    <row r="689" spans="1:2" x14ac:dyDescent="0.35">
      <c r="A689" s="7">
        <v>43935</v>
      </c>
      <c r="B689">
        <v>5.1852</v>
      </c>
    </row>
    <row r="690" spans="1:2" x14ac:dyDescent="0.35">
      <c r="A690" s="7">
        <v>43934</v>
      </c>
      <c r="B690">
        <v>5.1818</v>
      </c>
    </row>
    <row r="691" spans="1:2" x14ac:dyDescent="0.35">
      <c r="A691" s="7">
        <v>43930</v>
      </c>
      <c r="B691">
        <v>5.0773000000000001</v>
      </c>
    </row>
    <row r="692" spans="1:2" x14ac:dyDescent="0.35">
      <c r="A692" s="7">
        <v>43929</v>
      </c>
      <c r="B692">
        <v>5.2117000000000004</v>
      </c>
    </row>
    <row r="693" spans="1:2" x14ac:dyDescent="0.35">
      <c r="A693" s="7">
        <v>43928</v>
      </c>
      <c r="B693">
        <v>5.2210999999999999</v>
      </c>
    </row>
    <row r="694" spans="1:2" x14ac:dyDescent="0.35">
      <c r="A694" s="7">
        <v>43927</v>
      </c>
      <c r="B694">
        <v>5.2465000000000002</v>
      </c>
    </row>
    <row r="695" spans="1:2" x14ac:dyDescent="0.35">
      <c r="A695" s="7">
        <v>43924</v>
      </c>
      <c r="B695">
        <v>5.2991000000000001</v>
      </c>
    </row>
    <row r="696" spans="1:2" x14ac:dyDescent="0.35">
      <c r="A696" s="7">
        <v>43923</v>
      </c>
      <c r="B696">
        <v>5.2645</v>
      </c>
    </row>
    <row r="697" spans="1:2" x14ac:dyDescent="0.35">
      <c r="A697" s="7">
        <v>43922</v>
      </c>
      <c r="B697">
        <v>5.2398999999999996</v>
      </c>
    </row>
    <row r="698" spans="1:2" x14ac:dyDescent="0.35">
      <c r="A698" s="7">
        <v>43921</v>
      </c>
      <c r="B698">
        <v>5.1981000000000002</v>
      </c>
    </row>
    <row r="699" spans="1:2" x14ac:dyDescent="0.35">
      <c r="A699" s="7">
        <v>43920</v>
      </c>
      <c r="B699">
        <v>5.1588000000000003</v>
      </c>
    </row>
    <row r="700" spans="1:2" x14ac:dyDescent="0.35">
      <c r="A700" s="7">
        <v>43917</v>
      </c>
      <c r="B700">
        <v>5.1102999999999996</v>
      </c>
    </row>
    <row r="701" spans="1:2" x14ac:dyDescent="0.35">
      <c r="A701" s="7">
        <v>43916</v>
      </c>
      <c r="B701">
        <v>5.0004</v>
      </c>
    </row>
    <row r="702" spans="1:2" x14ac:dyDescent="0.35">
      <c r="A702" s="7">
        <v>43915</v>
      </c>
      <c r="B702">
        <v>5.07</v>
      </c>
    </row>
    <row r="703" spans="1:2" x14ac:dyDescent="0.35">
      <c r="A703" s="7">
        <v>43914</v>
      </c>
      <c r="B703">
        <v>5.0707000000000004</v>
      </c>
    </row>
    <row r="704" spans="1:2" x14ac:dyDescent="0.35">
      <c r="A704" s="7">
        <v>43913</v>
      </c>
      <c r="B704">
        <v>5.0797999999999996</v>
      </c>
    </row>
    <row r="705" spans="1:2" x14ac:dyDescent="0.35">
      <c r="A705" s="7">
        <v>43910</v>
      </c>
      <c r="B705">
        <v>5.0240999999999998</v>
      </c>
    </row>
    <row r="706" spans="1:2" x14ac:dyDescent="0.35">
      <c r="A706" s="7">
        <v>43909</v>
      </c>
      <c r="B706">
        <v>5.1436999999999999</v>
      </c>
    </row>
    <row r="707" spans="1:2" x14ac:dyDescent="0.35">
      <c r="A707" s="7">
        <v>43908</v>
      </c>
      <c r="B707">
        <v>5.1101000000000001</v>
      </c>
    </row>
    <row r="708" spans="1:2" x14ac:dyDescent="0.35">
      <c r="A708" s="7">
        <v>43907</v>
      </c>
      <c r="B708">
        <v>5.0488999999999997</v>
      </c>
    </row>
    <row r="709" spans="1:2" x14ac:dyDescent="0.35">
      <c r="A709" s="7">
        <v>43906</v>
      </c>
      <c r="B709">
        <v>4.9463999999999997</v>
      </c>
    </row>
    <row r="710" spans="1:2" x14ac:dyDescent="0.35">
      <c r="A710" s="7">
        <v>43903</v>
      </c>
      <c r="B710">
        <v>4.7355</v>
      </c>
    </row>
    <row r="711" spans="1:2" x14ac:dyDescent="0.35">
      <c r="A711" s="7">
        <v>43902</v>
      </c>
      <c r="B711">
        <v>4.8825000000000003</v>
      </c>
    </row>
    <row r="712" spans="1:2" x14ac:dyDescent="0.35">
      <c r="A712" s="7">
        <v>43901</v>
      </c>
      <c r="B712">
        <v>4.6731999999999996</v>
      </c>
    </row>
    <row r="713" spans="1:2" x14ac:dyDescent="0.35">
      <c r="A713" s="7">
        <v>43900</v>
      </c>
      <c r="B713">
        <v>4.6687000000000003</v>
      </c>
    </row>
    <row r="714" spans="1:2" x14ac:dyDescent="0.35">
      <c r="A714" s="7">
        <v>43899</v>
      </c>
      <c r="B714">
        <v>4.7373000000000003</v>
      </c>
    </row>
    <row r="715" spans="1:2" x14ac:dyDescent="0.35">
      <c r="A715" s="7">
        <v>43896</v>
      </c>
      <c r="B715">
        <v>4.6452999999999998</v>
      </c>
    </row>
    <row r="716" spans="1:2" x14ac:dyDescent="0.35">
      <c r="A716" s="7">
        <v>43895</v>
      </c>
      <c r="B716">
        <v>4.6200999999999999</v>
      </c>
    </row>
    <row r="717" spans="1:2" x14ac:dyDescent="0.35">
      <c r="A717" s="7">
        <v>43894</v>
      </c>
      <c r="B717">
        <v>4.5251999999999999</v>
      </c>
    </row>
    <row r="718" spans="1:2" x14ac:dyDescent="0.35">
      <c r="A718" s="7">
        <v>43893</v>
      </c>
      <c r="B718">
        <v>4.4877000000000002</v>
      </c>
    </row>
    <row r="719" spans="1:2" x14ac:dyDescent="0.35">
      <c r="A719" s="7">
        <v>43892</v>
      </c>
      <c r="B719">
        <v>4.4939999999999998</v>
      </c>
    </row>
    <row r="720" spans="1:2" x14ac:dyDescent="0.35">
      <c r="A720" s="7">
        <v>43889</v>
      </c>
      <c r="B720">
        <v>4.4981</v>
      </c>
    </row>
    <row r="721" spans="1:2" x14ac:dyDescent="0.35">
      <c r="A721" s="7">
        <v>43888</v>
      </c>
      <c r="B721">
        <v>4.4757999999999996</v>
      </c>
    </row>
    <row r="722" spans="1:2" x14ac:dyDescent="0.35">
      <c r="A722" s="7">
        <v>43887</v>
      </c>
      <c r="B722">
        <v>4.4352999999999998</v>
      </c>
    </row>
    <row r="723" spans="1:2" x14ac:dyDescent="0.35">
      <c r="A723" s="7">
        <v>43882</v>
      </c>
      <c r="B723">
        <v>4.3917999999999999</v>
      </c>
    </row>
    <row r="724" spans="1:2" x14ac:dyDescent="0.35">
      <c r="A724" s="7">
        <v>43881</v>
      </c>
      <c r="B724">
        <v>4.3867000000000003</v>
      </c>
    </row>
    <row r="725" spans="1:2" x14ac:dyDescent="0.35">
      <c r="A725" s="7">
        <v>43880</v>
      </c>
      <c r="B725">
        <v>4.3722000000000003</v>
      </c>
    </row>
    <row r="726" spans="1:2" x14ac:dyDescent="0.35">
      <c r="A726" s="7">
        <v>43879</v>
      </c>
      <c r="B726">
        <v>4.3464999999999998</v>
      </c>
    </row>
    <row r="727" spans="1:2" x14ac:dyDescent="0.35">
      <c r="A727" s="7">
        <v>43878</v>
      </c>
      <c r="B727">
        <v>4.3151000000000002</v>
      </c>
    </row>
    <row r="728" spans="1:2" x14ac:dyDescent="0.35">
      <c r="A728" s="7">
        <v>43875</v>
      </c>
      <c r="B728">
        <v>4.3156999999999996</v>
      </c>
    </row>
    <row r="729" spans="1:2" x14ac:dyDescent="0.35">
      <c r="A729" s="7">
        <v>43874</v>
      </c>
      <c r="B729">
        <v>4.3383000000000003</v>
      </c>
    </row>
    <row r="730" spans="1:2" x14ac:dyDescent="0.35">
      <c r="A730" s="7">
        <v>43873</v>
      </c>
      <c r="B730">
        <v>4.3360000000000003</v>
      </c>
    </row>
    <row r="731" spans="1:2" x14ac:dyDescent="0.35">
      <c r="A731" s="7">
        <v>43872</v>
      </c>
      <c r="B731">
        <v>4.3141999999999996</v>
      </c>
    </row>
    <row r="732" spans="1:2" x14ac:dyDescent="0.35">
      <c r="A732" s="7">
        <v>43871</v>
      </c>
      <c r="B732">
        <v>4.3189000000000002</v>
      </c>
    </row>
    <row r="733" spans="1:2" x14ac:dyDescent="0.35">
      <c r="A733" s="7">
        <v>43868</v>
      </c>
      <c r="B733">
        <v>4.3070000000000004</v>
      </c>
    </row>
    <row r="734" spans="1:2" x14ac:dyDescent="0.35">
      <c r="A734" s="7">
        <v>43867</v>
      </c>
      <c r="B734">
        <v>4.2470999999999997</v>
      </c>
    </row>
    <row r="735" spans="1:2" x14ac:dyDescent="0.35">
      <c r="A735" s="7">
        <v>43866</v>
      </c>
      <c r="B735">
        <v>4.2443</v>
      </c>
    </row>
    <row r="736" spans="1:2" x14ac:dyDescent="0.35">
      <c r="A736" s="7">
        <v>43865</v>
      </c>
      <c r="B736">
        <v>4.2374999999999998</v>
      </c>
    </row>
    <row r="737" spans="1:2" x14ac:dyDescent="0.35">
      <c r="A737" s="7">
        <v>43864</v>
      </c>
      <c r="B737">
        <v>4.2469000000000001</v>
      </c>
    </row>
    <row r="738" spans="1:2" x14ac:dyDescent="0.35">
      <c r="A738" s="7">
        <v>43861</v>
      </c>
      <c r="B738">
        <v>4.2689000000000004</v>
      </c>
    </row>
    <row r="739" spans="1:2" x14ac:dyDescent="0.35">
      <c r="A739" s="7">
        <v>43860</v>
      </c>
      <c r="B739">
        <v>4.2516999999999996</v>
      </c>
    </row>
    <row r="740" spans="1:2" x14ac:dyDescent="0.35">
      <c r="A740" s="7">
        <v>43859</v>
      </c>
      <c r="B740">
        <v>4.2007000000000003</v>
      </c>
    </row>
    <row r="741" spans="1:2" x14ac:dyDescent="0.35">
      <c r="A741" s="7">
        <v>43858</v>
      </c>
      <c r="B741">
        <v>4.2058</v>
      </c>
    </row>
    <row r="742" spans="1:2" x14ac:dyDescent="0.35">
      <c r="A742" s="7">
        <v>43857</v>
      </c>
      <c r="B742">
        <v>4.2190000000000003</v>
      </c>
    </row>
    <row r="743" spans="1:2" x14ac:dyDescent="0.35">
      <c r="A743" s="7">
        <v>43854</v>
      </c>
      <c r="B743">
        <v>4.1763000000000003</v>
      </c>
    </row>
    <row r="744" spans="1:2" x14ac:dyDescent="0.35">
      <c r="A744" s="7">
        <v>43853</v>
      </c>
      <c r="B744">
        <v>4.1656000000000004</v>
      </c>
    </row>
    <row r="745" spans="1:2" x14ac:dyDescent="0.35">
      <c r="A745" s="7">
        <v>43852</v>
      </c>
      <c r="B745">
        <v>4.1882999999999999</v>
      </c>
    </row>
    <row r="746" spans="1:2" x14ac:dyDescent="0.35">
      <c r="A746" s="7">
        <v>43851</v>
      </c>
      <c r="B746">
        <v>4.2008000000000001</v>
      </c>
    </row>
    <row r="747" spans="1:2" x14ac:dyDescent="0.35">
      <c r="A747" s="7">
        <v>43850</v>
      </c>
      <c r="B747">
        <v>4.1822999999999997</v>
      </c>
    </row>
    <row r="748" spans="1:2" x14ac:dyDescent="0.35">
      <c r="A748" s="7">
        <v>43847</v>
      </c>
      <c r="B748">
        <v>4.1830999999999996</v>
      </c>
    </row>
    <row r="749" spans="1:2" x14ac:dyDescent="0.35">
      <c r="A749" s="7">
        <v>43846</v>
      </c>
      <c r="B749">
        <v>4.1719999999999997</v>
      </c>
    </row>
    <row r="750" spans="1:2" x14ac:dyDescent="0.35">
      <c r="A750" s="7">
        <v>43845</v>
      </c>
      <c r="B750">
        <v>4.1616</v>
      </c>
    </row>
    <row r="751" spans="1:2" x14ac:dyDescent="0.35">
      <c r="A751" s="7">
        <v>43844</v>
      </c>
      <c r="B751">
        <v>4.1436999999999999</v>
      </c>
    </row>
    <row r="752" spans="1:2" x14ac:dyDescent="0.35">
      <c r="A752" s="7">
        <v>43843</v>
      </c>
      <c r="B752">
        <v>4.1303000000000001</v>
      </c>
    </row>
    <row r="753" spans="1:2" x14ac:dyDescent="0.35">
      <c r="A753" s="7">
        <v>43840</v>
      </c>
      <c r="B753">
        <v>4.0739000000000001</v>
      </c>
    </row>
    <row r="754" spans="1:2" x14ac:dyDescent="0.35">
      <c r="A754" s="7">
        <v>43839</v>
      </c>
      <c r="B754">
        <v>4.0738000000000003</v>
      </c>
    </row>
    <row r="755" spans="1:2" x14ac:dyDescent="0.35">
      <c r="A755" s="7">
        <v>43838</v>
      </c>
      <c r="B755">
        <v>4.0666000000000002</v>
      </c>
    </row>
    <row r="756" spans="1:2" x14ac:dyDescent="0.35">
      <c r="A756" s="7">
        <v>43837</v>
      </c>
      <c r="B756">
        <v>4.0834999999999999</v>
      </c>
    </row>
    <row r="757" spans="1:2" x14ac:dyDescent="0.35">
      <c r="A757" s="7">
        <v>43836</v>
      </c>
      <c r="B757">
        <v>4.0548000000000002</v>
      </c>
    </row>
    <row r="758" spans="1:2" x14ac:dyDescent="0.35">
      <c r="A758" s="7">
        <v>43833</v>
      </c>
      <c r="B758">
        <v>4.0515999999999996</v>
      </c>
    </row>
    <row r="759" spans="1:2" x14ac:dyDescent="0.35">
      <c r="A759" s="7">
        <v>43832</v>
      </c>
      <c r="B759">
        <v>4.0206999999999997</v>
      </c>
    </row>
    <row r="760" spans="1:2" x14ac:dyDescent="0.35">
      <c r="A760" s="7">
        <v>43830</v>
      </c>
      <c r="B760">
        <v>4.0301</v>
      </c>
    </row>
    <row r="761" spans="1:2" x14ac:dyDescent="0.35">
      <c r="A761" s="7">
        <v>43829</v>
      </c>
      <c r="B761">
        <v>4.0301</v>
      </c>
    </row>
    <row r="762" spans="1:2" x14ac:dyDescent="0.35">
      <c r="A762" s="7">
        <v>43826</v>
      </c>
      <c r="B762">
        <v>4.0538999999999996</v>
      </c>
    </row>
    <row r="763" spans="1:2" x14ac:dyDescent="0.35">
      <c r="A763" s="7">
        <v>43825</v>
      </c>
      <c r="B763">
        <v>4.0594999999999999</v>
      </c>
    </row>
    <row r="764" spans="1:2" x14ac:dyDescent="0.35">
      <c r="A764" s="7">
        <v>43823</v>
      </c>
      <c r="B764">
        <v>4.0792999999999999</v>
      </c>
    </row>
    <row r="765" spans="1:2" x14ac:dyDescent="0.35">
      <c r="A765" s="7">
        <v>43822</v>
      </c>
      <c r="B765">
        <v>4.0750999999999999</v>
      </c>
    </row>
    <row r="766" spans="1:2" x14ac:dyDescent="0.35">
      <c r="A766" s="7">
        <v>43819</v>
      </c>
      <c r="B766">
        <v>4.0770999999999997</v>
      </c>
    </row>
    <row r="767" spans="1:2" x14ac:dyDescent="0.35">
      <c r="A767" s="7">
        <v>43818</v>
      </c>
      <c r="B767">
        <v>4.0627000000000004</v>
      </c>
    </row>
    <row r="768" spans="1:2" x14ac:dyDescent="0.35">
      <c r="A768" s="7">
        <v>43817</v>
      </c>
      <c r="B768">
        <v>4.0541999999999998</v>
      </c>
    </row>
    <row r="769" spans="1:2" x14ac:dyDescent="0.35">
      <c r="A769" s="7">
        <v>43816</v>
      </c>
      <c r="B769">
        <v>4.0681000000000003</v>
      </c>
    </row>
    <row r="770" spans="1:2" x14ac:dyDescent="0.35">
      <c r="A770" s="7">
        <v>43815</v>
      </c>
      <c r="B770">
        <v>4.0795000000000003</v>
      </c>
    </row>
    <row r="771" spans="1:2" x14ac:dyDescent="0.35">
      <c r="A771" s="7">
        <v>43812</v>
      </c>
      <c r="B771">
        <v>4.0942999999999996</v>
      </c>
    </row>
    <row r="772" spans="1:2" x14ac:dyDescent="0.35">
      <c r="A772" s="7">
        <v>43811</v>
      </c>
      <c r="B772">
        <v>4.1086</v>
      </c>
    </row>
    <row r="773" spans="1:2" x14ac:dyDescent="0.35">
      <c r="A773" s="7">
        <v>43810</v>
      </c>
      <c r="B773">
        <v>4.1147</v>
      </c>
    </row>
    <row r="774" spans="1:2" x14ac:dyDescent="0.35">
      <c r="A774" s="7">
        <v>43809</v>
      </c>
      <c r="B774">
        <v>4.1421000000000001</v>
      </c>
    </row>
    <row r="775" spans="1:2" x14ac:dyDescent="0.35">
      <c r="A775" s="7">
        <v>43808</v>
      </c>
      <c r="B775">
        <v>4.1497000000000002</v>
      </c>
    </row>
    <row r="776" spans="1:2" x14ac:dyDescent="0.35">
      <c r="A776" s="7">
        <v>43805</v>
      </c>
      <c r="B776">
        <v>4.1776999999999997</v>
      </c>
    </row>
    <row r="777" spans="1:2" x14ac:dyDescent="0.35">
      <c r="A777" s="7">
        <v>43804</v>
      </c>
      <c r="B777">
        <v>4.2130000000000001</v>
      </c>
    </row>
    <row r="778" spans="1:2" x14ac:dyDescent="0.35">
      <c r="A778" s="7">
        <v>43803</v>
      </c>
      <c r="B778">
        <v>4.1920000000000002</v>
      </c>
    </row>
    <row r="779" spans="1:2" x14ac:dyDescent="0.35">
      <c r="A779" s="7">
        <v>43802</v>
      </c>
      <c r="B779">
        <v>4.2001999999999997</v>
      </c>
    </row>
    <row r="780" spans="1:2" x14ac:dyDescent="0.35">
      <c r="A780" s="7">
        <v>43801</v>
      </c>
      <c r="B780">
        <v>4.2255000000000003</v>
      </c>
    </row>
    <row r="781" spans="1:2" x14ac:dyDescent="0.35">
      <c r="A781" s="7">
        <v>43798</v>
      </c>
      <c r="B781">
        <v>4.2233999999999998</v>
      </c>
    </row>
    <row r="782" spans="1:2" x14ac:dyDescent="0.35">
      <c r="A782" s="7">
        <v>43797</v>
      </c>
      <c r="B782">
        <v>4.2473999999999998</v>
      </c>
    </row>
    <row r="783" spans="1:2" x14ac:dyDescent="0.35">
      <c r="A783" s="7">
        <v>43796</v>
      </c>
      <c r="B783">
        <v>4.2595999999999998</v>
      </c>
    </row>
    <row r="784" spans="1:2" x14ac:dyDescent="0.35">
      <c r="A784" s="7">
        <v>43795</v>
      </c>
      <c r="B784">
        <v>4.2553000000000001</v>
      </c>
    </row>
    <row r="785" spans="1:2" x14ac:dyDescent="0.35">
      <c r="A785" s="7">
        <v>43794</v>
      </c>
      <c r="B785">
        <v>4.2083000000000004</v>
      </c>
    </row>
    <row r="786" spans="1:2" x14ac:dyDescent="0.35">
      <c r="A786" s="7">
        <v>43791</v>
      </c>
      <c r="B786">
        <v>4.1825999999999999</v>
      </c>
    </row>
    <row r="787" spans="1:2" x14ac:dyDescent="0.35">
      <c r="A787" s="7">
        <v>43790</v>
      </c>
      <c r="B787">
        <v>4.2005999999999997</v>
      </c>
    </row>
    <row r="788" spans="1:2" x14ac:dyDescent="0.35">
      <c r="A788" s="7">
        <v>43789</v>
      </c>
      <c r="B788">
        <v>4.2027000000000001</v>
      </c>
    </row>
    <row r="789" spans="1:2" x14ac:dyDescent="0.35">
      <c r="A789" s="7">
        <v>43788</v>
      </c>
      <c r="B789">
        <v>4.2077999999999998</v>
      </c>
    </row>
    <row r="790" spans="1:2" x14ac:dyDescent="0.35">
      <c r="A790" s="7">
        <v>43787</v>
      </c>
      <c r="B790">
        <v>4.1821000000000002</v>
      </c>
    </row>
    <row r="791" spans="1:2" x14ac:dyDescent="0.35">
      <c r="A791" s="7">
        <v>43783</v>
      </c>
      <c r="B791">
        <v>4.1825000000000001</v>
      </c>
    </row>
    <row r="792" spans="1:2" x14ac:dyDescent="0.35">
      <c r="A792" s="7">
        <v>43782</v>
      </c>
      <c r="B792">
        <v>4.1760999999999999</v>
      </c>
    </row>
    <row r="793" spans="1:2" x14ac:dyDescent="0.35">
      <c r="A793" s="7">
        <v>43781</v>
      </c>
      <c r="B793">
        <v>4.1749999999999998</v>
      </c>
    </row>
    <row r="794" spans="1:2" x14ac:dyDescent="0.35">
      <c r="A794" s="7">
        <v>43780</v>
      </c>
      <c r="B794">
        <v>4.1553000000000004</v>
      </c>
    </row>
    <row r="795" spans="1:2" x14ac:dyDescent="0.35">
      <c r="A795" s="7">
        <v>43777</v>
      </c>
      <c r="B795">
        <v>4.1359000000000004</v>
      </c>
    </row>
    <row r="796" spans="1:2" x14ac:dyDescent="0.35">
      <c r="A796" s="7">
        <v>43776</v>
      </c>
      <c r="B796">
        <v>4.0921000000000003</v>
      </c>
    </row>
    <row r="797" spans="1:2" x14ac:dyDescent="0.35">
      <c r="A797" s="7">
        <v>43775</v>
      </c>
      <c r="B797">
        <v>4.0345000000000004</v>
      </c>
    </row>
    <row r="798" spans="1:2" x14ac:dyDescent="0.35">
      <c r="A798" s="7">
        <v>43774</v>
      </c>
      <c r="B798">
        <v>4.0037000000000003</v>
      </c>
    </row>
    <row r="799" spans="1:2" x14ac:dyDescent="0.35">
      <c r="A799" s="7">
        <v>43773</v>
      </c>
      <c r="B799">
        <v>3.9916</v>
      </c>
    </row>
    <row r="800" spans="1:2" x14ac:dyDescent="0.35">
      <c r="A800" s="7">
        <v>43770</v>
      </c>
      <c r="B800">
        <v>3.9780000000000002</v>
      </c>
    </row>
    <row r="801" spans="1:2" x14ac:dyDescent="0.35">
      <c r="A801" s="7">
        <v>43769</v>
      </c>
      <c r="B801">
        <v>4.0034999999999998</v>
      </c>
    </row>
    <row r="802" spans="1:2" x14ac:dyDescent="0.35">
      <c r="A802" s="7">
        <v>43768</v>
      </c>
      <c r="B802">
        <v>4.0179999999999998</v>
      </c>
    </row>
    <row r="803" spans="1:2" x14ac:dyDescent="0.35">
      <c r="A803" s="7">
        <v>43767</v>
      </c>
      <c r="B803">
        <v>3.9940000000000002</v>
      </c>
    </row>
    <row r="804" spans="1:2" x14ac:dyDescent="0.35">
      <c r="A804" s="7">
        <v>43766</v>
      </c>
      <c r="B804">
        <v>3.9786000000000001</v>
      </c>
    </row>
    <row r="805" spans="1:2" x14ac:dyDescent="0.35">
      <c r="A805" s="7">
        <v>43763</v>
      </c>
      <c r="B805">
        <v>4.0126999999999997</v>
      </c>
    </row>
    <row r="806" spans="1:2" x14ac:dyDescent="0.35">
      <c r="A806" s="7">
        <v>43762</v>
      </c>
      <c r="B806">
        <v>4.0083000000000002</v>
      </c>
    </row>
    <row r="807" spans="1:2" x14ac:dyDescent="0.35">
      <c r="A807" s="7">
        <v>43761</v>
      </c>
      <c r="B807">
        <v>4.0715000000000003</v>
      </c>
    </row>
    <row r="808" spans="1:2" x14ac:dyDescent="0.35">
      <c r="A808" s="7">
        <v>43760</v>
      </c>
      <c r="B808">
        <v>4.0852000000000004</v>
      </c>
    </row>
    <row r="809" spans="1:2" x14ac:dyDescent="0.35">
      <c r="A809" s="7">
        <v>43759</v>
      </c>
      <c r="B809">
        <v>4.1313000000000004</v>
      </c>
    </row>
    <row r="810" spans="1:2" x14ac:dyDescent="0.35">
      <c r="A810" s="7">
        <v>43756</v>
      </c>
      <c r="B810">
        <v>4.1369999999999996</v>
      </c>
    </row>
    <row r="811" spans="1:2" x14ac:dyDescent="0.35">
      <c r="A811" s="7">
        <v>43755</v>
      </c>
      <c r="B811">
        <v>4.1452</v>
      </c>
    </row>
    <row r="812" spans="1:2" x14ac:dyDescent="0.35">
      <c r="A812" s="7">
        <v>43754</v>
      </c>
      <c r="B812">
        <v>4.1707999999999998</v>
      </c>
    </row>
    <row r="813" spans="1:2" x14ac:dyDescent="0.35">
      <c r="A813" s="7">
        <v>43753</v>
      </c>
      <c r="B813">
        <v>4.1482000000000001</v>
      </c>
    </row>
    <row r="814" spans="1:2" x14ac:dyDescent="0.35">
      <c r="A814" s="7">
        <v>43752</v>
      </c>
      <c r="B814">
        <v>4.1257000000000001</v>
      </c>
    </row>
    <row r="815" spans="1:2" x14ac:dyDescent="0.35">
      <c r="A815" s="7">
        <v>43749</v>
      </c>
      <c r="B815">
        <v>4.1054000000000004</v>
      </c>
    </row>
    <row r="816" spans="1:2" x14ac:dyDescent="0.35">
      <c r="A816" s="7">
        <v>43748</v>
      </c>
      <c r="B816">
        <v>4.1139000000000001</v>
      </c>
    </row>
    <row r="817" spans="1:2" x14ac:dyDescent="0.35">
      <c r="A817" s="7">
        <v>43747</v>
      </c>
      <c r="B817">
        <v>4.0948000000000002</v>
      </c>
    </row>
    <row r="818" spans="1:2" x14ac:dyDescent="0.35">
      <c r="A818" s="7">
        <v>43746</v>
      </c>
      <c r="B818">
        <v>4.0861999999999998</v>
      </c>
    </row>
    <row r="819" spans="1:2" x14ac:dyDescent="0.35">
      <c r="A819" s="7">
        <v>43745</v>
      </c>
      <c r="B819">
        <v>4.0682</v>
      </c>
    </row>
    <row r="820" spans="1:2" x14ac:dyDescent="0.35">
      <c r="A820" s="7">
        <v>43742</v>
      </c>
      <c r="B820">
        <v>4.0603999999999996</v>
      </c>
    </row>
    <row r="821" spans="1:2" x14ac:dyDescent="0.35">
      <c r="A821" s="7">
        <v>43741</v>
      </c>
      <c r="B821">
        <v>4.1006</v>
      </c>
    </row>
    <row r="822" spans="1:2" x14ac:dyDescent="0.35">
      <c r="A822" s="7">
        <v>43740</v>
      </c>
      <c r="B822">
        <v>4.1539999999999999</v>
      </c>
    </row>
    <row r="823" spans="1:2" x14ac:dyDescent="0.35">
      <c r="A823" s="7">
        <v>43739</v>
      </c>
      <c r="B823">
        <v>4.1734</v>
      </c>
    </row>
    <row r="824" spans="1:2" x14ac:dyDescent="0.35">
      <c r="A824" s="7">
        <v>43738</v>
      </c>
      <c r="B824">
        <v>4.1638000000000002</v>
      </c>
    </row>
    <row r="825" spans="1:2" x14ac:dyDescent="0.35">
      <c r="A825" s="7">
        <v>43735</v>
      </c>
      <c r="B825">
        <v>4.1581000000000001</v>
      </c>
    </row>
    <row r="826" spans="1:2" x14ac:dyDescent="0.35">
      <c r="A826" s="7">
        <v>43734</v>
      </c>
      <c r="B826">
        <v>4.1463000000000001</v>
      </c>
    </row>
    <row r="827" spans="1:2" x14ac:dyDescent="0.35">
      <c r="A827" s="7">
        <v>43733</v>
      </c>
      <c r="B827">
        <v>4.1821000000000002</v>
      </c>
    </row>
    <row r="828" spans="1:2" x14ac:dyDescent="0.35">
      <c r="A828" s="7">
        <v>43732</v>
      </c>
      <c r="B828">
        <v>4.1715</v>
      </c>
    </row>
    <row r="829" spans="1:2" x14ac:dyDescent="0.35">
      <c r="A829" s="7">
        <v>43731</v>
      </c>
      <c r="B829">
        <v>4.1727999999999996</v>
      </c>
    </row>
    <row r="830" spans="1:2" x14ac:dyDescent="0.35">
      <c r="A830" s="7">
        <v>43728</v>
      </c>
      <c r="B830">
        <v>4.1680999999999999</v>
      </c>
    </row>
    <row r="831" spans="1:2" x14ac:dyDescent="0.35">
      <c r="A831" s="7">
        <v>43727</v>
      </c>
      <c r="B831">
        <v>4.1387</v>
      </c>
    </row>
    <row r="832" spans="1:2" x14ac:dyDescent="0.35">
      <c r="A832" s="7">
        <v>43726</v>
      </c>
      <c r="B832">
        <v>4.0965999999999996</v>
      </c>
    </row>
    <row r="833" spans="1:2" x14ac:dyDescent="0.35">
      <c r="A833" s="7">
        <v>43725</v>
      </c>
      <c r="B833">
        <v>4.0991999999999997</v>
      </c>
    </row>
    <row r="834" spans="1:2" x14ac:dyDescent="0.35">
      <c r="A834" s="7">
        <v>43724</v>
      </c>
      <c r="B834">
        <v>4.0865999999999998</v>
      </c>
    </row>
    <row r="835" spans="1:2" x14ac:dyDescent="0.35">
      <c r="A835" s="7">
        <v>43721</v>
      </c>
      <c r="B835">
        <v>4.0609999999999999</v>
      </c>
    </row>
    <row r="836" spans="1:2" x14ac:dyDescent="0.35">
      <c r="A836" s="7">
        <v>43720</v>
      </c>
      <c r="B836">
        <v>4.0488</v>
      </c>
    </row>
    <row r="837" spans="1:2" x14ac:dyDescent="0.35">
      <c r="A837" s="7">
        <v>43719</v>
      </c>
      <c r="B837">
        <v>4.0625</v>
      </c>
    </row>
    <row r="838" spans="1:2" x14ac:dyDescent="0.35">
      <c r="A838" s="7">
        <v>43718</v>
      </c>
      <c r="B838">
        <v>4.1101999999999999</v>
      </c>
    </row>
    <row r="839" spans="1:2" x14ac:dyDescent="0.35">
      <c r="A839" s="7">
        <v>43717</v>
      </c>
      <c r="B839">
        <v>4.0759999999999996</v>
      </c>
    </row>
    <row r="840" spans="1:2" x14ac:dyDescent="0.35">
      <c r="A840" s="7">
        <v>43714</v>
      </c>
      <c r="B840">
        <v>4.0644</v>
      </c>
    </row>
    <row r="841" spans="1:2" x14ac:dyDescent="0.35">
      <c r="A841" s="7">
        <v>43713</v>
      </c>
      <c r="B841">
        <v>4.0853000000000002</v>
      </c>
    </row>
    <row r="842" spans="1:2" x14ac:dyDescent="0.35">
      <c r="A842" s="7">
        <v>43712</v>
      </c>
      <c r="B842">
        <v>4.1242999999999999</v>
      </c>
    </row>
    <row r="843" spans="1:2" x14ac:dyDescent="0.35">
      <c r="A843" s="7">
        <v>43711</v>
      </c>
      <c r="B843">
        <v>4.1650999999999998</v>
      </c>
    </row>
    <row r="844" spans="1:2" x14ac:dyDescent="0.35">
      <c r="A844" s="7">
        <v>43710</v>
      </c>
      <c r="B844">
        <v>4.1574999999999998</v>
      </c>
    </row>
    <row r="845" spans="1:2" x14ac:dyDescent="0.35">
      <c r="A845" s="7">
        <v>43707</v>
      </c>
      <c r="B845">
        <v>4.1379000000000001</v>
      </c>
    </row>
    <row r="846" spans="1:2" x14ac:dyDescent="0.35">
      <c r="A846" s="7">
        <v>43706</v>
      </c>
      <c r="B846">
        <v>4.1673999999999998</v>
      </c>
    </row>
    <row r="847" spans="1:2" x14ac:dyDescent="0.35">
      <c r="A847" s="7">
        <v>43705</v>
      </c>
      <c r="B847">
        <v>4.1553000000000004</v>
      </c>
    </row>
    <row r="848" spans="1:2" x14ac:dyDescent="0.35">
      <c r="A848" s="7">
        <v>43704</v>
      </c>
      <c r="B848">
        <v>4.1551</v>
      </c>
    </row>
    <row r="849" spans="1:2" x14ac:dyDescent="0.35">
      <c r="A849" s="7">
        <v>43703</v>
      </c>
      <c r="B849">
        <v>4.1360999999999999</v>
      </c>
    </row>
    <row r="850" spans="1:2" x14ac:dyDescent="0.35">
      <c r="A850" s="7">
        <v>43700</v>
      </c>
      <c r="B850">
        <v>4.0845000000000002</v>
      </c>
    </row>
    <row r="851" spans="1:2" x14ac:dyDescent="0.35">
      <c r="A851" s="7">
        <v>43699</v>
      </c>
      <c r="B851">
        <v>4.0438000000000001</v>
      </c>
    </row>
    <row r="852" spans="1:2" x14ac:dyDescent="0.35">
      <c r="A852" s="7">
        <v>43698</v>
      </c>
      <c r="B852">
        <v>4.0247999999999999</v>
      </c>
    </row>
    <row r="853" spans="1:2" x14ac:dyDescent="0.35">
      <c r="A853" s="7">
        <v>43697</v>
      </c>
      <c r="B853">
        <v>4.0419</v>
      </c>
    </row>
    <row r="854" spans="1:2" x14ac:dyDescent="0.35">
      <c r="A854" s="7">
        <v>43696</v>
      </c>
      <c r="B854">
        <v>4.0267999999999997</v>
      </c>
    </row>
    <row r="855" spans="1:2" x14ac:dyDescent="0.35">
      <c r="A855" s="7">
        <v>43693</v>
      </c>
      <c r="B855">
        <v>3.9927000000000001</v>
      </c>
    </row>
    <row r="856" spans="1:2" x14ac:dyDescent="0.35">
      <c r="A856" s="7">
        <v>43692</v>
      </c>
      <c r="B856">
        <v>4.0182000000000002</v>
      </c>
    </row>
    <row r="857" spans="1:2" x14ac:dyDescent="0.35">
      <c r="A857" s="7">
        <v>43691</v>
      </c>
      <c r="B857">
        <v>4.0068000000000001</v>
      </c>
    </row>
    <row r="858" spans="1:2" x14ac:dyDescent="0.35">
      <c r="A858" s="7">
        <v>43690</v>
      </c>
      <c r="B858">
        <v>3.9729999999999999</v>
      </c>
    </row>
    <row r="859" spans="1:2" x14ac:dyDescent="0.35">
      <c r="A859" s="7">
        <v>43689</v>
      </c>
      <c r="B859">
        <v>3.996</v>
      </c>
    </row>
    <row r="860" spans="1:2" x14ac:dyDescent="0.35">
      <c r="A860" s="7">
        <v>43686</v>
      </c>
      <c r="B860">
        <v>3.9356</v>
      </c>
    </row>
    <row r="861" spans="1:2" x14ac:dyDescent="0.35">
      <c r="A861" s="7">
        <v>43685</v>
      </c>
      <c r="B861">
        <v>3.9403000000000001</v>
      </c>
    </row>
    <row r="862" spans="1:2" x14ac:dyDescent="0.35">
      <c r="A862" s="7">
        <v>43684</v>
      </c>
      <c r="B862">
        <v>3.9843999999999999</v>
      </c>
    </row>
    <row r="863" spans="1:2" x14ac:dyDescent="0.35">
      <c r="A863" s="7">
        <v>43683</v>
      </c>
      <c r="B863">
        <v>3.9636999999999998</v>
      </c>
    </row>
    <row r="864" spans="1:2" x14ac:dyDescent="0.35">
      <c r="A864" s="7">
        <v>43682</v>
      </c>
      <c r="B864">
        <v>3.9398</v>
      </c>
    </row>
    <row r="865" spans="1:2" x14ac:dyDescent="0.35">
      <c r="A865" s="7">
        <v>43679</v>
      </c>
      <c r="B865">
        <v>3.8733</v>
      </c>
    </row>
    <row r="866" spans="1:2" x14ac:dyDescent="0.35">
      <c r="A866" s="7">
        <v>43678</v>
      </c>
      <c r="B866">
        <v>3.8290000000000002</v>
      </c>
    </row>
    <row r="867" spans="1:2" x14ac:dyDescent="0.35">
      <c r="A867" s="7">
        <v>43677</v>
      </c>
      <c r="B867">
        <v>3.7643</v>
      </c>
    </row>
    <row r="868" spans="1:2" x14ac:dyDescent="0.35">
      <c r="A868" s="7">
        <v>43676</v>
      </c>
      <c r="B868">
        <v>3.7894000000000001</v>
      </c>
    </row>
    <row r="869" spans="1:2" x14ac:dyDescent="0.35">
      <c r="A869" s="7">
        <v>43675</v>
      </c>
      <c r="B869">
        <v>3.7902999999999998</v>
      </c>
    </row>
    <row r="870" spans="1:2" x14ac:dyDescent="0.35">
      <c r="A870" s="7">
        <v>43672</v>
      </c>
      <c r="B870">
        <v>3.7734999999999999</v>
      </c>
    </row>
    <row r="871" spans="1:2" x14ac:dyDescent="0.35">
      <c r="A871" s="7">
        <v>43671</v>
      </c>
      <c r="B871">
        <v>3.7843</v>
      </c>
    </row>
    <row r="872" spans="1:2" x14ac:dyDescent="0.35">
      <c r="A872" s="7">
        <v>43670</v>
      </c>
      <c r="B872">
        <v>3.7589999999999999</v>
      </c>
    </row>
    <row r="873" spans="1:2" x14ac:dyDescent="0.35">
      <c r="A873" s="7">
        <v>43669</v>
      </c>
      <c r="B873">
        <v>3.7614999999999998</v>
      </c>
    </row>
    <row r="874" spans="1:2" x14ac:dyDescent="0.35">
      <c r="A874" s="7">
        <v>43668</v>
      </c>
      <c r="B874">
        <v>3.7393999999999998</v>
      </c>
    </row>
    <row r="875" spans="1:2" x14ac:dyDescent="0.35">
      <c r="A875" s="7">
        <v>43665</v>
      </c>
      <c r="B875">
        <v>3.7402000000000002</v>
      </c>
    </row>
    <row r="876" spans="1:2" x14ac:dyDescent="0.35">
      <c r="A876" s="7">
        <v>43664</v>
      </c>
      <c r="B876">
        <v>3.7483</v>
      </c>
    </row>
    <row r="877" spans="1:2" x14ac:dyDescent="0.35">
      <c r="A877" s="7">
        <v>43663</v>
      </c>
      <c r="B877">
        <v>3.7612000000000001</v>
      </c>
    </row>
    <row r="878" spans="1:2" x14ac:dyDescent="0.35">
      <c r="A878" s="7">
        <v>43662</v>
      </c>
      <c r="B878">
        <v>3.7618</v>
      </c>
    </row>
    <row r="879" spans="1:2" x14ac:dyDescent="0.35">
      <c r="A879" s="7">
        <v>43661</v>
      </c>
      <c r="B879">
        <v>3.7456999999999998</v>
      </c>
    </row>
    <row r="880" spans="1:2" x14ac:dyDescent="0.35">
      <c r="A880" s="7">
        <v>43658</v>
      </c>
      <c r="B880">
        <v>3.7446000000000002</v>
      </c>
    </row>
    <row r="881" spans="1:2" x14ac:dyDescent="0.35">
      <c r="A881" s="7">
        <v>43657</v>
      </c>
      <c r="B881">
        <v>3.7526999999999999</v>
      </c>
    </row>
    <row r="882" spans="1:2" x14ac:dyDescent="0.35">
      <c r="A882" s="7">
        <v>43656</v>
      </c>
      <c r="B882">
        <v>3.7690999999999999</v>
      </c>
    </row>
    <row r="883" spans="1:2" x14ac:dyDescent="0.35">
      <c r="A883" s="7">
        <v>43655</v>
      </c>
      <c r="B883">
        <v>3.7846000000000002</v>
      </c>
    </row>
    <row r="884" spans="1:2" x14ac:dyDescent="0.35">
      <c r="A884" s="7">
        <v>43654</v>
      </c>
      <c r="B884">
        <v>3.8058999999999998</v>
      </c>
    </row>
    <row r="885" spans="1:2" x14ac:dyDescent="0.35">
      <c r="A885" s="7">
        <v>43651</v>
      </c>
      <c r="B885">
        <v>3.8197999999999999</v>
      </c>
    </row>
    <row r="886" spans="1:2" x14ac:dyDescent="0.35">
      <c r="A886" s="7">
        <v>43650</v>
      </c>
      <c r="B886">
        <v>3.7934000000000001</v>
      </c>
    </row>
    <row r="887" spans="1:2" x14ac:dyDescent="0.35">
      <c r="A887" s="7">
        <v>43649</v>
      </c>
      <c r="B887">
        <v>3.8469000000000002</v>
      </c>
    </row>
    <row r="888" spans="1:2" x14ac:dyDescent="0.35">
      <c r="A888" s="7">
        <v>43648</v>
      </c>
      <c r="B888">
        <v>3.8557999999999999</v>
      </c>
    </row>
    <row r="889" spans="1:2" x14ac:dyDescent="0.35">
      <c r="A889" s="7">
        <v>43647</v>
      </c>
      <c r="B889">
        <v>3.8187000000000002</v>
      </c>
    </row>
    <row r="890" spans="1:2" x14ac:dyDescent="0.35">
      <c r="A890" s="7">
        <v>43644</v>
      </c>
      <c r="B890">
        <v>3.8315999999999999</v>
      </c>
    </row>
    <row r="891" spans="1:2" x14ac:dyDescent="0.35">
      <c r="A891" s="7">
        <v>43643</v>
      </c>
      <c r="B891">
        <v>3.8635999999999999</v>
      </c>
    </row>
    <row r="892" spans="1:2" x14ac:dyDescent="0.35">
      <c r="A892" s="7">
        <v>43642</v>
      </c>
      <c r="B892">
        <v>3.8435000000000001</v>
      </c>
    </row>
    <row r="893" spans="1:2" x14ac:dyDescent="0.35">
      <c r="A893" s="7">
        <v>43641</v>
      </c>
      <c r="B893">
        <v>3.8296999999999999</v>
      </c>
    </row>
    <row r="894" spans="1:2" x14ac:dyDescent="0.35">
      <c r="A894" s="7">
        <v>43640</v>
      </c>
      <c r="B894">
        <v>3.8228</v>
      </c>
    </row>
    <row r="895" spans="1:2" x14ac:dyDescent="0.35">
      <c r="A895" s="7">
        <v>43637</v>
      </c>
      <c r="B895">
        <v>3.8249</v>
      </c>
    </row>
    <row r="896" spans="1:2" x14ac:dyDescent="0.35">
      <c r="A896" s="7">
        <v>43635</v>
      </c>
      <c r="B896">
        <v>3.8717000000000001</v>
      </c>
    </row>
    <row r="897" spans="1:2" x14ac:dyDescent="0.35">
      <c r="A897" s="7">
        <v>43634</v>
      </c>
      <c r="B897">
        <v>3.8601999999999999</v>
      </c>
    </row>
    <row r="898" spans="1:2" x14ac:dyDescent="0.35">
      <c r="A898" s="7">
        <v>43633</v>
      </c>
      <c r="B898">
        <v>3.8889</v>
      </c>
    </row>
    <row r="899" spans="1:2" x14ac:dyDescent="0.35">
      <c r="A899" s="7">
        <v>43630</v>
      </c>
      <c r="B899">
        <v>3.8807</v>
      </c>
    </row>
    <row r="900" spans="1:2" x14ac:dyDescent="0.35">
      <c r="A900" s="7">
        <v>43629</v>
      </c>
      <c r="B900">
        <v>3.8422999999999998</v>
      </c>
    </row>
    <row r="901" spans="1:2" x14ac:dyDescent="0.35">
      <c r="A901" s="7">
        <v>43628</v>
      </c>
      <c r="B901">
        <v>3.8431000000000002</v>
      </c>
    </row>
    <row r="902" spans="1:2" x14ac:dyDescent="0.35">
      <c r="A902" s="7">
        <v>43627</v>
      </c>
      <c r="B902">
        <v>3.8658000000000001</v>
      </c>
    </row>
    <row r="903" spans="1:2" x14ac:dyDescent="0.35">
      <c r="A903" s="7">
        <v>43626</v>
      </c>
      <c r="B903">
        <v>3.8784000000000001</v>
      </c>
    </row>
    <row r="904" spans="1:2" x14ac:dyDescent="0.35">
      <c r="A904" s="7">
        <v>43623</v>
      </c>
      <c r="B904">
        <v>3.8565</v>
      </c>
    </row>
    <row r="905" spans="1:2" x14ac:dyDescent="0.35">
      <c r="A905" s="7">
        <v>43622</v>
      </c>
      <c r="B905">
        <v>3.8719999999999999</v>
      </c>
    </row>
    <row r="906" spans="1:2" x14ac:dyDescent="0.35">
      <c r="A906" s="7">
        <v>43621</v>
      </c>
      <c r="B906">
        <v>3.8605</v>
      </c>
    </row>
    <row r="907" spans="1:2" x14ac:dyDescent="0.35">
      <c r="A907" s="7">
        <v>43620</v>
      </c>
      <c r="B907">
        <v>3.8704000000000001</v>
      </c>
    </row>
    <row r="908" spans="1:2" x14ac:dyDescent="0.35">
      <c r="A908" s="7">
        <v>43619</v>
      </c>
      <c r="B908">
        <v>3.8997000000000002</v>
      </c>
    </row>
    <row r="909" spans="1:2" x14ac:dyDescent="0.35">
      <c r="A909" s="7">
        <v>43616</v>
      </c>
      <c r="B909">
        <v>3.9401000000000002</v>
      </c>
    </row>
    <row r="910" spans="1:2" x14ac:dyDescent="0.35">
      <c r="A910" s="7">
        <v>43615</v>
      </c>
      <c r="B910">
        <v>3.9714</v>
      </c>
    </row>
    <row r="911" spans="1:2" x14ac:dyDescent="0.35">
      <c r="A911" s="7">
        <v>43614</v>
      </c>
      <c r="B911">
        <v>3.9958999999999998</v>
      </c>
    </row>
    <row r="912" spans="1:2" x14ac:dyDescent="0.35">
      <c r="A912" s="7">
        <v>43613</v>
      </c>
      <c r="B912">
        <v>4.0269000000000004</v>
      </c>
    </row>
    <row r="913" spans="1:2" x14ac:dyDescent="0.35">
      <c r="A913" s="7">
        <v>43612</v>
      </c>
      <c r="B913">
        <v>4.0204000000000004</v>
      </c>
    </row>
    <row r="914" spans="1:2" x14ac:dyDescent="0.35">
      <c r="A914" s="7">
        <v>43609</v>
      </c>
      <c r="B914">
        <v>4.0316000000000001</v>
      </c>
    </row>
    <row r="915" spans="1:2" x14ac:dyDescent="0.35">
      <c r="A915" s="7">
        <v>43608</v>
      </c>
      <c r="B915">
        <v>4.0507</v>
      </c>
    </row>
    <row r="916" spans="1:2" x14ac:dyDescent="0.35">
      <c r="A916" s="7">
        <v>43607</v>
      </c>
      <c r="B916">
        <v>4.0221999999999998</v>
      </c>
    </row>
    <row r="917" spans="1:2" x14ac:dyDescent="0.35">
      <c r="A917" s="7">
        <v>43606</v>
      </c>
      <c r="B917">
        <v>4.0804</v>
      </c>
    </row>
    <row r="918" spans="1:2" x14ac:dyDescent="0.35">
      <c r="A918" s="7">
        <v>43605</v>
      </c>
      <c r="B918">
        <v>4.1050000000000004</v>
      </c>
    </row>
    <row r="919" spans="1:2" x14ac:dyDescent="0.35">
      <c r="A919" s="7">
        <v>43602</v>
      </c>
      <c r="B919">
        <v>4.0838000000000001</v>
      </c>
    </row>
    <row r="920" spans="1:2" x14ac:dyDescent="0.35">
      <c r="A920" s="7">
        <v>43601</v>
      </c>
      <c r="B920">
        <v>4.0132000000000003</v>
      </c>
    </row>
    <row r="921" spans="1:2" x14ac:dyDescent="0.35">
      <c r="A921" s="7">
        <v>43600</v>
      </c>
      <c r="B921">
        <v>4.0025000000000004</v>
      </c>
    </row>
    <row r="922" spans="1:2" x14ac:dyDescent="0.35">
      <c r="A922" s="7">
        <v>43599</v>
      </c>
      <c r="B922">
        <v>3.9782000000000002</v>
      </c>
    </row>
    <row r="923" spans="1:2" x14ac:dyDescent="0.35">
      <c r="A923" s="7">
        <v>43598</v>
      </c>
      <c r="B923">
        <v>3.9883999999999999</v>
      </c>
    </row>
    <row r="924" spans="1:2" x14ac:dyDescent="0.35">
      <c r="A924" s="7">
        <v>43595</v>
      </c>
      <c r="B924">
        <v>3.9571999999999998</v>
      </c>
    </row>
    <row r="925" spans="1:2" x14ac:dyDescent="0.35">
      <c r="A925" s="7">
        <v>43594</v>
      </c>
      <c r="B925">
        <v>3.9666999999999999</v>
      </c>
    </row>
    <row r="926" spans="1:2" x14ac:dyDescent="0.35">
      <c r="A926" s="7">
        <v>43593</v>
      </c>
      <c r="B926">
        <v>3.9338000000000002</v>
      </c>
    </row>
    <row r="927" spans="1:2" x14ac:dyDescent="0.35">
      <c r="A927" s="7">
        <v>43592</v>
      </c>
      <c r="B927">
        <v>3.9874000000000001</v>
      </c>
    </row>
    <row r="928" spans="1:2" x14ac:dyDescent="0.35">
      <c r="A928" s="7">
        <v>43591</v>
      </c>
      <c r="B928">
        <v>3.9618000000000002</v>
      </c>
    </row>
    <row r="929" spans="1:2" x14ac:dyDescent="0.35">
      <c r="A929" s="7">
        <v>43588</v>
      </c>
      <c r="B929">
        <v>3.9382000000000001</v>
      </c>
    </row>
    <row r="930" spans="1:2" x14ac:dyDescent="0.35">
      <c r="A930" s="7">
        <v>43587</v>
      </c>
      <c r="B930">
        <v>3.9643999999999999</v>
      </c>
    </row>
    <row r="931" spans="1:2" x14ac:dyDescent="0.35">
      <c r="A931" s="7">
        <v>43585</v>
      </c>
      <c r="B931">
        <v>3.9447000000000001</v>
      </c>
    </row>
    <row r="932" spans="1:2" x14ac:dyDescent="0.35">
      <c r="A932" s="7">
        <v>43584</v>
      </c>
      <c r="B932">
        <v>3.9358</v>
      </c>
    </row>
    <row r="933" spans="1:2" x14ac:dyDescent="0.35">
      <c r="A933" s="7">
        <v>43581</v>
      </c>
      <c r="B933">
        <v>3.9346999999999999</v>
      </c>
    </row>
    <row r="934" spans="1:2" x14ac:dyDescent="0.35">
      <c r="A934" s="7">
        <v>43580</v>
      </c>
      <c r="B934">
        <v>3.9719000000000002</v>
      </c>
    </row>
    <row r="935" spans="1:2" x14ac:dyDescent="0.35">
      <c r="A935" s="7">
        <v>43579</v>
      </c>
      <c r="B935">
        <v>3.9624000000000001</v>
      </c>
    </row>
    <row r="936" spans="1:2" x14ac:dyDescent="0.35">
      <c r="A936" s="7">
        <v>43578</v>
      </c>
      <c r="B936">
        <v>3.9430000000000001</v>
      </c>
    </row>
    <row r="937" spans="1:2" x14ac:dyDescent="0.35">
      <c r="A937" s="7">
        <v>43577</v>
      </c>
      <c r="B937">
        <v>3.9224000000000001</v>
      </c>
    </row>
    <row r="938" spans="1:2" x14ac:dyDescent="0.35">
      <c r="A938" s="7">
        <v>43573</v>
      </c>
      <c r="B938">
        <v>3.9363999999999999</v>
      </c>
    </row>
    <row r="939" spans="1:2" x14ac:dyDescent="0.35">
      <c r="A939" s="7">
        <v>43572</v>
      </c>
      <c r="B939">
        <v>3.9218999999999999</v>
      </c>
    </row>
    <row r="940" spans="1:2" x14ac:dyDescent="0.35">
      <c r="A940" s="7">
        <v>43571</v>
      </c>
      <c r="B940">
        <v>3.8906999999999998</v>
      </c>
    </row>
    <row r="941" spans="1:2" x14ac:dyDescent="0.35">
      <c r="A941" s="7">
        <v>43570</v>
      </c>
      <c r="B941">
        <v>3.8723999999999998</v>
      </c>
    </row>
    <row r="942" spans="1:2" x14ac:dyDescent="0.35">
      <c r="A942" s="7">
        <v>43567</v>
      </c>
      <c r="B942">
        <v>3.8679000000000001</v>
      </c>
    </row>
    <row r="943" spans="1:2" x14ac:dyDescent="0.35">
      <c r="A943" s="7">
        <v>43566</v>
      </c>
      <c r="B943">
        <v>3.8393000000000002</v>
      </c>
    </row>
    <row r="944" spans="1:2" x14ac:dyDescent="0.35">
      <c r="A944" s="7">
        <v>43565</v>
      </c>
      <c r="B944">
        <v>3.8338999999999999</v>
      </c>
    </row>
    <row r="945" spans="1:2" x14ac:dyDescent="0.35">
      <c r="A945" s="7">
        <v>43564</v>
      </c>
      <c r="B945">
        <v>3.8557000000000001</v>
      </c>
    </row>
    <row r="946" spans="1:2" x14ac:dyDescent="0.35">
      <c r="A946" s="7">
        <v>43563</v>
      </c>
      <c r="B946">
        <v>3.8652000000000002</v>
      </c>
    </row>
    <row r="947" spans="1:2" x14ac:dyDescent="0.35">
      <c r="A947" s="7">
        <v>43560</v>
      </c>
      <c r="B947">
        <v>3.8616000000000001</v>
      </c>
    </row>
    <row r="948" spans="1:2" x14ac:dyDescent="0.35">
      <c r="A948" s="7">
        <v>43559</v>
      </c>
      <c r="B948">
        <v>3.8706999999999998</v>
      </c>
    </row>
    <row r="949" spans="1:2" x14ac:dyDescent="0.35">
      <c r="A949" s="7">
        <v>43558</v>
      </c>
      <c r="B949">
        <v>3.843</v>
      </c>
    </row>
    <row r="950" spans="1:2" x14ac:dyDescent="0.35">
      <c r="A950" s="7">
        <v>43557</v>
      </c>
      <c r="B950">
        <v>3.8654999999999999</v>
      </c>
    </row>
    <row r="951" spans="1:2" x14ac:dyDescent="0.35">
      <c r="A951" s="7">
        <v>43556</v>
      </c>
      <c r="B951">
        <v>3.8675999999999999</v>
      </c>
    </row>
    <row r="952" spans="1:2" x14ac:dyDescent="0.35">
      <c r="A952" s="7">
        <v>43553</v>
      </c>
      <c r="B952">
        <v>3.8961000000000001</v>
      </c>
    </row>
    <row r="953" spans="1:2" x14ac:dyDescent="0.35">
      <c r="A953" s="7">
        <v>43552</v>
      </c>
      <c r="B953">
        <v>3.9676</v>
      </c>
    </row>
    <row r="954" spans="1:2" x14ac:dyDescent="0.35">
      <c r="A954" s="7">
        <v>43551</v>
      </c>
      <c r="B954">
        <v>3.9382999999999999</v>
      </c>
    </row>
    <row r="955" spans="1:2" x14ac:dyDescent="0.35">
      <c r="A955" s="7">
        <v>43550</v>
      </c>
      <c r="B955">
        <v>3.8639999999999999</v>
      </c>
    </row>
    <row r="956" spans="1:2" x14ac:dyDescent="0.35">
      <c r="A956" s="7">
        <v>43549</v>
      </c>
      <c r="B956">
        <v>3.8763999999999998</v>
      </c>
    </row>
    <row r="957" spans="1:2" x14ac:dyDescent="0.35">
      <c r="A957" s="7">
        <v>43546</v>
      </c>
      <c r="B957">
        <v>3.8809</v>
      </c>
    </row>
    <row r="958" spans="1:2" x14ac:dyDescent="0.35">
      <c r="A958" s="7">
        <v>43545</v>
      </c>
      <c r="B958">
        <v>3.7961</v>
      </c>
    </row>
    <row r="959" spans="1:2" x14ac:dyDescent="0.35">
      <c r="A959" s="7">
        <v>43544</v>
      </c>
      <c r="B959">
        <v>3.7890999999999999</v>
      </c>
    </row>
    <row r="960" spans="1:2" x14ac:dyDescent="0.35">
      <c r="A960" s="7">
        <v>43543</v>
      </c>
      <c r="B960">
        <v>3.7755999999999998</v>
      </c>
    </row>
    <row r="961" spans="1:2" x14ac:dyDescent="0.35">
      <c r="A961" s="7">
        <v>43542</v>
      </c>
      <c r="B961">
        <v>3.8105000000000002</v>
      </c>
    </row>
    <row r="962" spans="1:2" x14ac:dyDescent="0.35">
      <c r="A962" s="7">
        <v>43539</v>
      </c>
      <c r="B962">
        <v>3.8338000000000001</v>
      </c>
    </row>
    <row r="963" spans="1:2" x14ac:dyDescent="0.35">
      <c r="A963" s="7">
        <v>43538</v>
      </c>
      <c r="B963">
        <v>3.8321000000000001</v>
      </c>
    </row>
    <row r="964" spans="1:2" x14ac:dyDescent="0.35">
      <c r="A964" s="7">
        <v>43537</v>
      </c>
      <c r="B964">
        <v>3.8258999999999999</v>
      </c>
    </row>
    <row r="965" spans="1:2" x14ac:dyDescent="0.35">
      <c r="A965" s="7">
        <v>43536</v>
      </c>
      <c r="B965">
        <v>3.8123</v>
      </c>
    </row>
    <row r="966" spans="1:2" x14ac:dyDescent="0.35">
      <c r="A966" s="7">
        <v>43535</v>
      </c>
      <c r="B966">
        <v>3.8454999999999999</v>
      </c>
    </row>
    <row r="967" spans="1:2" x14ac:dyDescent="0.35">
      <c r="A967" s="7">
        <v>43532</v>
      </c>
      <c r="B967">
        <v>3.8672</v>
      </c>
    </row>
    <row r="968" spans="1:2" x14ac:dyDescent="0.35">
      <c r="A968" s="7">
        <v>43531</v>
      </c>
      <c r="B968">
        <v>3.8481000000000001</v>
      </c>
    </row>
    <row r="969" spans="1:2" x14ac:dyDescent="0.35">
      <c r="A969" s="7">
        <v>43530</v>
      </c>
      <c r="B969">
        <v>3.8296999999999999</v>
      </c>
    </row>
    <row r="970" spans="1:2" x14ac:dyDescent="0.35">
      <c r="A970" s="7">
        <v>43525</v>
      </c>
      <c r="B970">
        <v>3.7826</v>
      </c>
    </row>
    <row r="971" spans="1:2" x14ac:dyDescent="0.35">
      <c r="A971" s="7">
        <v>43524</v>
      </c>
      <c r="B971">
        <v>3.7378999999999998</v>
      </c>
    </row>
    <row r="972" spans="1:2" x14ac:dyDescent="0.35">
      <c r="A972" s="7">
        <v>43523</v>
      </c>
      <c r="B972">
        <v>3.7345000000000002</v>
      </c>
    </row>
    <row r="973" spans="1:2" x14ac:dyDescent="0.35">
      <c r="A973" s="7">
        <v>43522</v>
      </c>
      <c r="B973">
        <v>3.7589000000000001</v>
      </c>
    </row>
    <row r="974" spans="1:2" x14ac:dyDescent="0.35">
      <c r="A974" s="7">
        <v>43521</v>
      </c>
      <c r="B974">
        <v>3.7279</v>
      </c>
    </row>
    <row r="975" spans="1:2" x14ac:dyDescent="0.35">
      <c r="A975" s="7">
        <v>43518</v>
      </c>
      <c r="B975">
        <v>3.7423999999999999</v>
      </c>
    </row>
    <row r="976" spans="1:2" x14ac:dyDescent="0.35">
      <c r="A976" s="7">
        <v>43517</v>
      </c>
      <c r="B976">
        <v>3.7589000000000001</v>
      </c>
    </row>
    <row r="977" spans="1:2" x14ac:dyDescent="0.35">
      <c r="A977" s="7">
        <v>43516</v>
      </c>
      <c r="B977">
        <v>3.7094</v>
      </c>
    </row>
    <row r="978" spans="1:2" x14ac:dyDescent="0.35">
      <c r="A978" s="7">
        <v>43515</v>
      </c>
      <c r="B978">
        <v>3.72</v>
      </c>
    </row>
    <row r="979" spans="1:2" x14ac:dyDescent="0.35">
      <c r="A979" s="7">
        <v>43514</v>
      </c>
      <c r="B979">
        <v>3.7309999999999999</v>
      </c>
    </row>
    <row r="980" spans="1:2" x14ac:dyDescent="0.35">
      <c r="A980" s="7">
        <v>43511</v>
      </c>
      <c r="B980">
        <v>3.7149000000000001</v>
      </c>
    </row>
    <row r="981" spans="1:2" x14ac:dyDescent="0.35">
      <c r="A981" s="7">
        <v>43510</v>
      </c>
      <c r="B981">
        <v>3.7749999999999999</v>
      </c>
    </row>
    <row r="982" spans="1:2" x14ac:dyDescent="0.35">
      <c r="A982" s="7">
        <v>43509</v>
      </c>
      <c r="B982">
        <v>3.7271000000000001</v>
      </c>
    </row>
    <row r="983" spans="1:2" x14ac:dyDescent="0.35">
      <c r="A983" s="7">
        <v>43508</v>
      </c>
      <c r="B983">
        <v>3.7290000000000001</v>
      </c>
    </row>
    <row r="984" spans="1:2" x14ac:dyDescent="0.35">
      <c r="A984" s="7">
        <v>43507</v>
      </c>
      <c r="B984">
        <v>3.7385000000000002</v>
      </c>
    </row>
    <row r="985" spans="1:2" x14ac:dyDescent="0.35">
      <c r="A985" s="7">
        <v>43504</v>
      </c>
      <c r="B985">
        <v>3.7178</v>
      </c>
    </row>
    <row r="986" spans="1:2" x14ac:dyDescent="0.35">
      <c r="A986" s="7">
        <v>43503</v>
      </c>
      <c r="B986">
        <v>3.7187000000000001</v>
      </c>
    </row>
    <row r="987" spans="1:2" x14ac:dyDescent="0.35">
      <c r="A987" s="7">
        <v>43502</v>
      </c>
      <c r="B987">
        <v>3.7012999999999998</v>
      </c>
    </row>
    <row r="988" spans="1:2" x14ac:dyDescent="0.35">
      <c r="A988" s="7">
        <v>43501</v>
      </c>
      <c r="B988">
        <v>3.6735000000000002</v>
      </c>
    </row>
    <row r="989" spans="1:2" x14ac:dyDescent="0.35">
      <c r="A989" s="7">
        <v>43500</v>
      </c>
      <c r="B989">
        <v>3.6749999999999998</v>
      </c>
    </row>
    <row r="990" spans="1:2" x14ac:dyDescent="0.35">
      <c r="A990" s="7">
        <v>43497</v>
      </c>
      <c r="B990">
        <v>3.6688000000000001</v>
      </c>
    </row>
    <row r="991" spans="1:2" x14ac:dyDescent="0.35">
      <c r="A991" s="7">
        <v>43496</v>
      </c>
      <c r="B991">
        <v>3.6513</v>
      </c>
    </row>
    <row r="992" spans="1:2" x14ac:dyDescent="0.35">
      <c r="A992" s="7">
        <v>43495</v>
      </c>
      <c r="B992">
        <v>3.7145000000000001</v>
      </c>
    </row>
    <row r="993" spans="1:2" x14ac:dyDescent="0.35">
      <c r="A993" s="7">
        <v>43494</v>
      </c>
      <c r="B993">
        <v>3.7364000000000002</v>
      </c>
    </row>
    <row r="994" spans="1:2" x14ac:dyDescent="0.35">
      <c r="A994" s="7">
        <v>43493</v>
      </c>
      <c r="B994">
        <v>3.7669999999999999</v>
      </c>
    </row>
    <row r="995" spans="1:2" x14ac:dyDescent="0.35">
      <c r="A995" s="7">
        <v>43490</v>
      </c>
      <c r="B995">
        <v>3.7612999999999999</v>
      </c>
    </row>
    <row r="996" spans="1:2" x14ac:dyDescent="0.35">
      <c r="A996" s="7">
        <v>43489</v>
      </c>
      <c r="B996">
        <v>3.7808999999999999</v>
      </c>
    </row>
    <row r="997" spans="1:2" x14ac:dyDescent="0.35">
      <c r="A997" s="7">
        <v>43488</v>
      </c>
      <c r="B997">
        <v>3.7988</v>
      </c>
    </row>
    <row r="998" spans="1:2" x14ac:dyDescent="0.35">
      <c r="A998" s="7">
        <v>43487</v>
      </c>
      <c r="B998">
        <v>3.7608999999999999</v>
      </c>
    </row>
    <row r="999" spans="1:2" x14ac:dyDescent="0.35">
      <c r="A999" s="7">
        <v>43486</v>
      </c>
      <c r="B999">
        <v>3.7698999999999998</v>
      </c>
    </row>
    <row r="1000" spans="1:2" x14ac:dyDescent="0.35">
      <c r="A1000" s="7">
        <v>43483</v>
      </c>
      <c r="B1000">
        <v>3.7480000000000002</v>
      </c>
    </row>
    <row r="1001" spans="1:2" x14ac:dyDescent="0.35">
      <c r="A1001" s="7">
        <v>43482</v>
      </c>
      <c r="B1001">
        <v>3.7585000000000002</v>
      </c>
    </row>
    <row r="1002" spans="1:2" x14ac:dyDescent="0.35">
      <c r="A1002" s="7">
        <v>43481</v>
      </c>
      <c r="B1002">
        <v>3.7191000000000001</v>
      </c>
    </row>
    <row r="1003" spans="1:2" x14ac:dyDescent="0.35">
      <c r="A1003" s="7">
        <v>43480</v>
      </c>
      <c r="B1003">
        <v>3.7042999999999999</v>
      </c>
    </row>
    <row r="1004" spans="1:2" x14ac:dyDescent="0.35">
      <c r="A1004" s="7">
        <v>43479</v>
      </c>
      <c r="B1004">
        <v>3.7254999999999998</v>
      </c>
    </row>
    <row r="1005" spans="1:2" x14ac:dyDescent="0.35">
      <c r="A1005" s="7">
        <v>43476</v>
      </c>
      <c r="B1005">
        <v>3.7134999999999998</v>
      </c>
    </row>
    <row r="1006" spans="1:2" x14ac:dyDescent="0.35">
      <c r="A1006" s="7">
        <v>43475</v>
      </c>
      <c r="B1006">
        <v>3.6863000000000001</v>
      </c>
    </row>
    <row r="1007" spans="1:2" x14ac:dyDescent="0.35">
      <c r="A1007" s="7">
        <v>43474</v>
      </c>
      <c r="B1007">
        <v>3.6924999999999999</v>
      </c>
    </row>
    <row r="1008" spans="1:2" x14ac:dyDescent="0.35">
      <c r="A1008" s="7">
        <v>43473</v>
      </c>
      <c r="B1008">
        <v>3.7202000000000002</v>
      </c>
    </row>
    <row r="1009" spans="1:2" x14ac:dyDescent="0.35">
      <c r="A1009" s="7">
        <v>43472</v>
      </c>
      <c r="B1009">
        <v>3.7056</v>
      </c>
    </row>
    <row r="1010" spans="1:2" x14ac:dyDescent="0.35">
      <c r="A1010" s="7">
        <v>43469</v>
      </c>
      <c r="B1010">
        <v>3.7621000000000002</v>
      </c>
    </row>
    <row r="1011" spans="1:2" x14ac:dyDescent="0.35">
      <c r="A1011" s="7">
        <v>43468</v>
      </c>
      <c r="B1011">
        <v>3.7677</v>
      </c>
    </row>
    <row r="1012" spans="1:2" x14ac:dyDescent="0.35">
      <c r="A1012" s="7">
        <v>43467</v>
      </c>
      <c r="B1012">
        <v>3.8589000000000002</v>
      </c>
    </row>
    <row r="1013" spans="1:2" x14ac:dyDescent="0.35">
      <c r="A1013" s="7">
        <v>43465</v>
      </c>
      <c r="B1013">
        <v>3.8742000000000001</v>
      </c>
    </row>
    <row r="1014" spans="1:2" x14ac:dyDescent="0.35">
      <c r="A1014" s="7">
        <v>43462</v>
      </c>
      <c r="B1014">
        <v>3.8742000000000001</v>
      </c>
    </row>
    <row r="1015" spans="1:2" x14ac:dyDescent="0.35">
      <c r="A1015" s="7">
        <v>43461</v>
      </c>
      <c r="B1015">
        <v>3.9323999999999999</v>
      </c>
    </row>
    <row r="1016" spans="1:2" x14ac:dyDescent="0.35">
      <c r="A1016" s="7">
        <v>43460</v>
      </c>
      <c r="B1016">
        <v>3.9251999999999998</v>
      </c>
    </row>
    <row r="1017" spans="1:2" x14ac:dyDescent="0.35">
      <c r="A1017" s="7">
        <v>43458</v>
      </c>
      <c r="B1017">
        <v>3.8839000000000001</v>
      </c>
    </row>
    <row r="1018" spans="1:2" x14ac:dyDescent="0.35">
      <c r="A1018" s="7">
        <v>43455</v>
      </c>
      <c r="B1018">
        <v>3.8664999999999998</v>
      </c>
    </row>
    <row r="1019" spans="1:2" x14ac:dyDescent="0.35">
      <c r="A1019" s="7">
        <v>43454</v>
      </c>
      <c r="B1019">
        <v>3.8437000000000001</v>
      </c>
    </row>
    <row r="1020" spans="1:2" x14ac:dyDescent="0.35">
      <c r="A1020" s="7">
        <v>43453</v>
      </c>
      <c r="B1020">
        <v>3.8900999999999999</v>
      </c>
    </row>
    <row r="1021" spans="1:2" x14ac:dyDescent="0.35">
      <c r="A1021" s="7">
        <v>43452</v>
      </c>
      <c r="B1021">
        <v>3.8990999999999998</v>
      </c>
    </row>
    <row r="1022" spans="1:2" x14ac:dyDescent="0.35">
      <c r="A1022" s="7">
        <v>43451</v>
      </c>
      <c r="B1022">
        <v>3.9115000000000002</v>
      </c>
    </row>
    <row r="1023" spans="1:2" x14ac:dyDescent="0.35">
      <c r="A1023" s="7">
        <v>43448</v>
      </c>
      <c r="B1023">
        <v>3.9083999999999999</v>
      </c>
    </row>
    <row r="1024" spans="1:2" x14ac:dyDescent="0.35">
      <c r="A1024" s="7">
        <v>43447</v>
      </c>
      <c r="B1024">
        <v>3.8784000000000001</v>
      </c>
    </row>
    <row r="1025" spans="1:2" x14ac:dyDescent="0.35">
      <c r="A1025" s="7">
        <v>43446</v>
      </c>
      <c r="B1025">
        <v>3.8622999999999998</v>
      </c>
    </row>
    <row r="1026" spans="1:2" x14ac:dyDescent="0.35">
      <c r="A1026" s="7">
        <v>43445</v>
      </c>
      <c r="B1026">
        <v>3.9007000000000001</v>
      </c>
    </row>
    <row r="1027" spans="1:2" x14ac:dyDescent="0.35">
      <c r="A1027" s="7">
        <v>43444</v>
      </c>
      <c r="B1027">
        <v>3.9104000000000001</v>
      </c>
    </row>
    <row r="1028" spans="1:2" x14ac:dyDescent="0.35">
      <c r="A1028" s="7">
        <v>43441</v>
      </c>
      <c r="B1028">
        <v>3.8957999999999999</v>
      </c>
    </row>
    <row r="1029" spans="1:2" x14ac:dyDescent="0.35">
      <c r="A1029" s="7">
        <v>43440</v>
      </c>
      <c r="B1029">
        <v>3.9171999999999998</v>
      </c>
    </row>
    <row r="1030" spans="1:2" x14ac:dyDescent="0.35">
      <c r="A1030" s="7">
        <v>43439</v>
      </c>
      <c r="B1030">
        <v>3.8555000000000001</v>
      </c>
    </row>
    <row r="1031" spans="1:2" x14ac:dyDescent="0.35">
      <c r="A1031" s="7">
        <v>43438</v>
      </c>
      <c r="B1031">
        <v>3.8307000000000002</v>
      </c>
    </row>
    <row r="1032" spans="1:2" x14ac:dyDescent="0.35">
      <c r="A1032" s="7">
        <v>43437</v>
      </c>
      <c r="B1032">
        <v>3.8279000000000001</v>
      </c>
    </row>
    <row r="1033" spans="1:2" x14ac:dyDescent="0.35">
      <c r="A1033" s="7">
        <v>43434</v>
      </c>
      <c r="B1033">
        <v>3.8626999999999998</v>
      </c>
    </row>
    <row r="1034" spans="1:2" x14ac:dyDescent="0.35">
      <c r="A1034" s="7">
        <v>43433</v>
      </c>
      <c r="B1034">
        <v>3.8561999999999999</v>
      </c>
    </row>
    <row r="1035" spans="1:2" x14ac:dyDescent="0.35">
      <c r="A1035" s="7">
        <v>43432</v>
      </c>
      <c r="B1035">
        <v>3.8624999999999998</v>
      </c>
    </row>
    <row r="1036" spans="1:2" x14ac:dyDescent="0.35">
      <c r="A1036" s="7">
        <v>43431</v>
      </c>
      <c r="B1036">
        <v>3.8919000000000001</v>
      </c>
    </row>
    <row r="1037" spans="1:2" x14ac:dyDescent="0.35">
      <c r="A1037" s="7">
        <v>43430</v>
      </c>
      <c r="B1037">
        <v>3.8649</v>
      </c>
    </row>
    <row r="1038" spans="1:2" x14ac:dyDescent="0.35">
      <c r="A1038" s="7">
        <v>43427</v>
      </c>
      <c r="B1038">
        <v>3.8075000000000001</v>
      </c>
    </row>
    <row r="1039" spans="1:2" x14ac:dyDescent="0.35">
      <c r="A1039" s="7">
        <v>43426</v>
      </c>
      <c r="B1039">
        <v>3.8096999999999999</v>
      </c>
    </row>
    <row r="1040" spans="1:2" x14ac:dyDescent="0.35">
      <c r="A1040" s="7">
        <v>43425</v>
      </c>
      <c r="B1040">
        <v>3.7866</v>
      </c>
    </row>
    <row r="1041" spans="1:2" x14ac:dyDescent="0.35">
      <c r="A1041" s="7">
        <v>43424</v>
      </c>
      <c r="B1041">
        <v>3.7574000000000001</v>
      </c>
    </row>
    <row r="1042" spans="1:2" x14ac:dyDescent="0.35">
      <c r="A1042" s="7">
        <v>43423</v>
      </c>
      <c r="B1042">
        <v>3.7547000000000001</v>
      </c>
    </row>
    <row r="1043" spans="1:2" x14ac:dyDescent="0.35">
      <c r="A1043" s="7">
        <v>43420</v>
      </c>
      <c r="B1043">
        <v>3.7519</v>
      </c>
    </row>
    <row r="1044" spans="1:2" x14ac:dyDescent="0.35">
      <c r="A1044" s="7">
        <v>43418</v>
      </c>
      <c r="B1044">
        <v>3.7917999999999998</v>
      </c>
    </row>
    <row r="1045" spans="1:2" x14ac:dyDescent="0.35">
      <c r="A1045" s="7">
        <v>43417</v>
      </c>
      <c r="B1045">
        <v>3.7786</v>
      </c>
    </row>
    <row r="1046" spans="1:2" x14ac:dyDescent="0.35">
      <c r="A1046" s="7">
        <v>43416</v>
      </c>
      <c r="B1046">
        <v>3.7471999999999999</v>
      </c>
    </row>
    <row r="1047" spans="1:2" x14ac:dyDescent="0.35">
      <c r="A1047" s="7">
        <v>43413</v>
      </c>
      <c r="B1047">
        <v>3.75</v>
      </c>
    </row>
    <row r="1048" spans="1:2" x14ac:dyDescent="0.35">
      <c r="A1048" s="7">
        <v>43412</v>
      </c>
      <c r="B1048">
        <v>3.7385000000000002</v>
      </c>
    </row>
    <row r="1049" spans="1:2" x14ac:dyDescent="0.35">
      <c r="A1049" s="7">
        <v>43411</v>
      </c>
      <c r="B1049">
        <v>3.7585999999999999</v>
      </c>
    </row>
    <row r="1050" spans="1:2" x14ac:dyDescent="0.35">
      <c r="A1050" s="7">
        <v>43410</v>
      </c>
      <c r="B1050">
        <v>3.7486000000000002</v>
      </c>
    </row>
    <row r="1051" spans="1:2" x14ac:dyDescent="0.35">
      <c r="A1051" s="7">
        <v>43409</v>
      </c>
      <c r="B1051">
        <v>3.7042000000000002</v>
      </c>
    </row>
    <row r="1052" spans="1:2" x14ac:dyDescent="0.35">
      <c r="A1052" s="7">
        <v>43405</v>
      </c>
      <c r="B1052">
        <v>3.6968000000000001</v>
      </c>
    </row>
    <row r="1053" spans="1:2" x14ac:dyDescent="0.35">
      <c r="A1053" s="7">
        <v>43404</v>
      </c>
      <c r="B1053">
        <v>3.7170999999999998</v>
      </c>
    </row>
    <row r="1054" spans="1:2" x14ac:dyDescent="0.35">
      <c r="A1054" s="7">
        <v>43403</v>
      </c>
      <c r="B1054">
        <v>3.7012999999999998</v>
      </c>
    </row>
    <row r="1055" spans="1:2" x14ac:dyDescent="0.35">
      <c r="A1055" s="7">
        <v>43402</v>
      </c>
      <c r="B1055">
        <v>3.6362000000000001</v>
      </c>
    </row>
    <row r="1056" spans="1:2" x14ac:dyDescent="0.35">
      <c r="A1056" s="7">
        <v>43399</v>
      </c>
      <c r="B1056">
        <v>3.6745999999999999</v>
      </c>
    </row>
    <row r="1057" spans="1:2" x14ac:dyDescent="0.35">
      <c r="A1057" s="7">
        <v>43398</v>
      </c>
      <c r="B1057">
        <v>3.7008000000000001</v>
      </c>
    </row>
    <row r="1058" spans="1:2" x14ac:dyDescent="0.35">
      <c r="A1058" s="7">
        <v>43397</v>
      </c>
      <c r="B1058">
        <v>3.7054</v>
      </c>
    </row>
    <row r="1059" spans="1:2" x14ac:dyDescent="0.35">
      <c r="A1059" s="7">
        <v>43396</v>
      </c>
      <c r="B1059">
        <v>3.7073999999999998</v>
      </c>
    </row>
    <row r="1060" spans="1:2" x14ac:dyDescent="0.35">
      <c r="A1060" s="7">
        <v>43395</v>
      </c>
      <c r="B1060">
        <v>3.6897000000000002</v>
      </c>
    </row>
    <row r="1061" spans="1:2" x14ac:dyDescent="0.35">
      <c r="A1061" s="7">
        <v>43392</v>
      </c>
      <c r="B1061">
        <v>3.7073</v>
      </c>
    </row>
    <row r="1062" spans="1:2" x14ac:dyDescent="0.35">
      <c r="A1062" s="7">
        <v>43391</v>
      </c>
      <c r="B1062">
        <v>3.6957</v>
      </c>
    </row>
    <row r="1063" spans="1:2" x14ac:dyDescent="0.35">
      <c r="A1063" s="7">
        <v>43390</v>
      </c>
      <c r="B1063">
        <v>3.7002000000000002</v>
      </c>
    </row>
    <row r="1064" spans="1:2" x14ac:dyDescent="0.35">
      <c r="A1064" s="7">
        <v>43389</v>
      </c>
      <c r="B1064">
        <v>3.7073</v>
      </c>
    </row>
    <row r="1065" spans="1:2" x14ac:dyDescent="0.35">
      <c r="A1065" s="7">
        <v>43388</v>
      </c>
      <c r="B1065">
        <v>3.7326000000000001</v>
      </c>
    </row>
    <row r="1066" spans="1:2" x14ac:dyDescent="0.35">
      <c r="A1066" s="7">
        <v>43384</v>
      </c>
      <c r="B1066">
        <v>3.7454000000000001</v>
      </c>
    </row>
    <row r="1067" spans="1:2" x14ac:dyDescent="0.35">
      <c r="A1067" s="7">
        <v>43383</v>
      </c>
      <c r="B1067">
        <v>3.7504</v>
      </c>
    </row>
    <row r="1068" spans="1:2" x14ac:dyDescent="0.35">
      <c r="A1068" s="7">
        <v>43382</v>
      </c>
      <c r="B1068">
        <v>3.7385000000000002</v>
      </c>
    </row>
    <row r="1069" spans="1:2" x14ac:dyDescent="0.35">
      <c r="A1069" s="7">
        <v>43381</v>
      </c>
      <c r="B1069">
        <v>3.7582</v>
      </c>
    </row>
    <row r="1070" spans="1:2" x14ac:dyDescent="0.35">
      <c r="A1070" s="7">
        <v>43378</v>
      </c>
      <c r="B1070">
        <v>3.8693</v>
      </c>
    </row>
    <row r="1071" spans="1:2" x14ac:dyDescent="0.35">
      <c r="A1071" s="7">
        <v>43377</v>
      </c>
      <c r="B1071">
        <v>3.9041000000000001</v>
      </c>
    </row>
    <row r="1072" spans="1:2" x14ac:dyDescent="0.35">
      <c r="A1072" s="7">
        <v>43376</v>
      </c>
      <c r="B1072">
        <v>3.8536000000000001</v>
      </c>
    </row>
    <row r="1073" spans="1:2" x14ac:dyDescent="0.35">
      <c r="A1073" s="7">
        <v>43375</v>
      </c>
      <c r="B1073">
        <v>3.9499</v>
      </c>
    </row>
    <row r="1074" spans="1:2" x14ac:dyDescent="0.35">
      <c r="A1074" s="7">
        <v>43374</v>
      </c>
      <c r="B1074">
        <v>4.0266999999999999</v>
      </c>
    </row>
    <row r="1075" spans="1:2" x14ac:dyDescent="0.35">
      <c r="A1075" s="7">
        <v>43371</v>
      </c>
      <c r="B1075">
        <v>4.0033000000000003</v>
      </c>
    </row>
    <row r="1076" spans="1:2" x14ac:dyDescent="0.35">
      <c r="A1076" s="7">
        <v>43370</v>
      </c>
      <c r="B1076">
        <v>4.0086000000000004</v>
      </c>
    </row>
    <row r="1077" spans="1:2" x14ac:dyDescent="0.35">
      <c r="A1077" s="7">
        <v>43369</v>
      </c>
      <c r="B1077">
        <v>4.0564</v>
      </c>
    </row>
    <row r="1078" spans="1:2" x14ac:dyDescent="0.35">
      <c r="A1078" s="7">
        <v>43368</v>
      </c>
      <c r="B1078">
        <v>4.1280000000000001</v>
      </c>
    </row>
    <row r="1079" spans="1:2" x14ac:dyDescent="0.35">
      <c r="A1079" s="7">
        <v>43367</v>
      </c>
      <c r="B1079">
        <v>4.0587999999999997</v>
      </c>
    </row>
    <row r="1080" spans="1:2" x14ac:dyDescent="0.35">
      <c r="A1080" s="7">
        <v>43364</v>
      </c>
      <c r="B1080">
        <v>4.0721999999999996</v>
      </c>
    </row>
    <row r="1081" spans="1:2" x14ac:dyDescent="0.35">
      <c r="A1081" s="7">
        <v>43363</v>
      </c>
      <c r="B1081">
        <v>4.0991</v>
      </c>
    </row>
    <row r="1082" spans="1:2" x14ac:dyDescent="0.35">
      <c r="A1082" s="7">
        <v>43362</v>
      </c>
      <c r="B1082">
        <v>4.1345000000000001</v>
      </c>
    </row>
    <row r="1083" spans="1:2" x14ac:dyDescent="0.35">
      <c r="A1083" s="7">
        <v>43361</v>
      </c>
      <c r="B1083">
        <v>4.1363000000000003</v>
      </c>
    </row>
    <row r="1084" spans="1:2" x14ac:dyDescent="0.35">
      <c r="A1084" s="7">
        <v>43360</v>
      </c>
      <c r="B1084">
        <v>4.1688999999999998</v>
      </c>
    </row>
    <row r="1085" spans="1:2" x14ac:dyDescent="0.35">
      <c r="A1085" s="7">
        <v>43357</v>
      </c>
      <c r="B1085">
        <v>4.1872999999999996</v>
      </c>
    </row>
    <row r="1086" spans="1:2" x14ac:dyDescent="0.35">
      <c r="A1086" s="7">
        <v>43356</v>
      </c>
      <c r="B1086">
        <v>4.1631</v>
      </c>
    </row>
    <row r="1087" spans="1:2" x14ac:dyDescent="0.35">
      <c r="A1087" s="7">
        <v>43355</v>
      </c>
      <c r="B1087">
        <v>4.1253000000000002</v>
      </c>
    </row>
    <row r="1088" spans="1:2" x14ac:dyDescent="0.35">
      <c r="A1088" s="7">
        <v>43354</v>
      </c>
      <c r="B1088">
        <v>4.1635</v>
      </c>
    </row>
    <row r="1089" spans="1:2" x14ac:dyDescent="0.35">
      <c r="A1089" s="7">
        <v>43353</v>
      </c>
      <c r="B1089">
        <v>4.1001000000000003</v>
      </c>
    </row>
    <row r="1090" spans="1:2" x14ac:dyDescent="0.35">
      <c r="A1090" s="7">
        <v>43349</v>
      </c>
      <c r="B1090">
        <v>4.1454000000000004</v>
      </c>
    </row>
    <row r="1091" spans="1:2" x14ac:dyDescent="0.35">
      <c r="A1091" s="7">
        <v>43348</v>
      </c>
      <c r="B1091">
        <v>4.1603000000000003</v>
      </c>
    </row>
    <row r="1092" spans="1:2" x14ac:dyDescent="0.35">
      <c r="A1092" s="7">
        <v>43347</v>
      </c>
      <c r="B1092">
        <v>4.1646000000000001</v>
      </c>
    </row>
    <row r="1093" spans="1:2" x14ac:dyDescent="0.35">
      <c r="A1093" s="7">
        <v>43346</v>
      </c>
      <c r="B1093">
        <v>4.1273</v>
      </c>
    </row>
    <row r="1094" spans="1:2" x14ac:dyDescent="0.35">
      <c r="A1094" s="7">
        <v>43343</v>
      </c>
      <c r="B1094">
        <v>4.1346999999999996</v>
      </c>
    </row>
    <row r="1095" spans="1:2" x14ac:dyDescent="0.35">
      <c r="A1095" s="7">
        <v>43342</v>
      </c>
      <c r="B1095">
        <v>4.1806000000000001</v>
      </c>
    </row>
    <row r="1096" spans="1:2" x14ac:dyDescent="0.35">
      <c r="A1096" s="7">
        <v>43341</v>
      </c>
      <c r="B1096">
        <v>4.1346999999999996</v>
      </c>
    </row>
    <row r="1097" spans="1:2" x14ac:dyDescent="0.35">
      <c r="A1097" s="7">
        <v>43340</v>
      </c>
      <c r="B1097">
        <v>4.1185999999999998</v>
      </c>
    </row>
    <row r="1098" spans="1:2" x14ac:dyDescent="0.35">
      <c r="A1098" s="7">
        <v>43339</v>
      </c>
      <c r="B1098">
        <v>4.0681000000000003</v>
      </c>
    </row>
    <row r="1099" spans="1:2" x14ac:dyDescent="0.35">
      <c r="A1099" s="7">
        <v>43336</v>
      </c>
      <c r="B1099">
        <v>4.0848000000000004</v>
      </c>
    </row>
    <row r="1100" spans="1:2" x14ac:dyDescent="0.35">
      <c r="A1100" s="7">
        <v>43335</v>
      </c>
      <c r="B1100">
        <v>4.0720999999999998</v>
      </c>
    </row>
    <row r="1101" spans="1:2" x14ac:dyDescent="0.35">
      <c r="A1101" s="7">
        <v>43334</v>
      </c>
      <c r="B1101">
        <v>4.0734000000000004</v>
      </c>
    </row>
    <row r="1102" spans="1:2" x14ac:dyDescent="0.35">
      <c r="A1102" s="7">
        <v>43333</v>
      </c>
      <c r="B1102">
        <v>3.9866999999999999</v>
      </c>
    </row>
    <row r="1103" spans="1:2" x14ac:dyDescent="0.35">
      <c r="A1103" s="7">
        <v>43332</v>
      </c>
      <c r="B1103">
        <v>3.9424000000000001</v>
      </c>
    </row>
    <row r="1104" spans="1:2" x14ac:dyDescent="0.35">
      <c r="A1104" s="7">
        <v>43329</v>
      </c>
      <c r="B1104">
        <v>3.9382999999999999</v>
      </c>
    </row>
    <row r="1105" spans="1:2" x14ac:dyDescent="0.35">
      <c r="A1105" s="7">
        <v>43328</v>
      </c>
      <c r="B1105">
        <v>3.8803999999999998</v>
      </c>
    </row>
    <row r="1106" spans="1:2" x14ac:dyDescent="0.35">
      <c r="A1106" s="7">
        <v>43327</v>
      </c>
      <c r="B1106">
        <v>3.9127999999999998</v>
      </c>
    </row>
    <row r="1107" spans="1:2" x14ac:dyDescent="0.35">
      <c r="A1107" s="7">
        <v>43326</v>
      </c>
      <c r="B1107">
        <v>3.8805999999999998</v>
      </c>
    </row>
    <row r="1108" spans="1:2" x14ac:dyDescent="0.35">
      <c r="A1108" s="7">
        <v>43325</v>
      </c>
      <c r="B1108">
        <v>3.8982000000000001</v>
      </c>
    </row>
    <row r="1109" spans="1:2" x14ac:dyDescent="0.35">
      <c r="A1109" s="7">
        <v>43322</v>
      </c>
      <c r="B1109">
        <v>3.8466</v>
      </c>
    </row>
    <row r="1110" spans="1:2" x14ac:dyDescent="0.35">
      <c r="A1110" s="7">
        <v>43321</v>
      </c>
      <c r="B1110">
        <v>3.8024</v>
      </c>
    </row>
    <row r="1111" spans="1:2" x14ac:dyDescent="0.35">
      <c r="A1111" s="7">
        <v>43320</v>
      </c>
      <c r="B1111">
        <v>3.7513000000000001</v>
      </c>
    </row>
    <row r="1112" spans="1:2" x14ac:dyDescent="0.35">
      <c r="A1112" s="7">
        <v>43319</v>
      </c>
      <c r="B1112">
        <v>3.7111999999999998</v>
      </c>
    </row>
    <row r="1113" spans="1:2" x14ac:dyDescent="0.35">
      <c r="A1113" s="7">
        <v>43318</v>
      </c>
      <c r="B1113">
        <v>3.7208000000000001</v>
      </c>
    </row>
    <row r="1114" spans="1:2" x14ac:dyDescent="0.35">
      <c r="A1114" s="7">
        <v>43315</v>
      </c>
      <c r="B1114">
        <v>3.7195</v>
      </c>
    </row>
    <row r="1115" spans="1:2" x14ac:dyDescent="0.35">
      <c r="A1115" s="7">
        <v>43314</v>
      </c>
      <c r="B1115">
        <v>3.7639</v>
      </c>
    </row>
    <row r="1116" spans="1:2" x14ac:dyDescent="0.35">
      <c r="A1116" s="7">
        <v>43313</v>
      </c>
      <c r="B1116">
        <v>3.7484999999999999</v>
      </c>
    </row>
    <row r="1117" spans="1:2" x14ac:dyDescent="0.35">
      <c r="A1117" s="7">
        <v>43312</v>
      </c>
      <c r="B1117">
        <v>3.7543000000000002</v>
      </c>
    </row>
    <row r="1118" spans="1:2" x14ac:dyDescent="0.35">
      <c r="A1118" s="7">
        <v>43311</v>
      </c>
      <c r="B1118">
        <v>3.7149000000000001</v>
      </c>
    </row>
    <row r="1119" spans="1:2" x14ac:dyDescent="0.35">
      <c r="A1119" s="7">
        <v>43308</v>
      </c>
      <c r="B1119">
        <v>3.7158000000000002</v>
      </c>
    </row>
    <row r="1120" spans="1:2" x14ac:dyDescent="0.35">
      <c r="A1120" s="7">
        <v>43307</v>
      </c>
      <c r="B1120">
        <v>3.7237</v>
      </c>
    </row>
    <row r="1121" spans="1:2" x14ac:dyDescent="0.35">
      <c r="A1121" s="7">
        <v>43306</v>
      </c>
      <c r="B1121">
        <v>3.7113999999999998</v>
      </c>
    </row>
    <row r="1122" spans="1:2" x14ac:dyDescent="0.35">
      <c r="A1122" s="7">
        <v>43305</v>
      </c>
      <c r="B1122">
        <v>3.7452999999999999</v>
      </c>
    </row>
    <row r="1123" spans="1:2" x14ac:dyDescent="0.35">
      <c r="A1123" s="7">
        <v>43304</v>
      </c>
      <c r="B1123">
        <v>3.7909000000000002</v>
      </c>
    </row>
    <row r="1124" spans="1:2" x14ac:dyDescent="0.35">
      <c r="A1124" s="7">
        <v>43301</v>
      </c>
      <c r="B1124">
        <v>3.7787000000000002</v>
      </c>
    </row>
    <row r="1125" spans="1:2" x14ac:dyDescent="0.35">
      <c r="A1125" s="7">
        <v>43300</v>
      </c>
      <c r="B1125">
        <v>3.8841000000000001</v>
      </c>
    </row>
    <row r="1126" spans="1:2" x14ac:dyDescent="0.35">
      <c r="A1126" s="7">
        <v>43299</v>
      </c>
      <c r="B1126">
        <v>3.8468</v>
      </c>
    </row>
    <row r="1127" spans="1:2" x14ac:dyDescent="0.35">
      <c r="A1127" s="7">
        <v>43298</v>
      </c>
      <c r="B1127">
        <v>3.8664999999999998</v>
      </c>
    </row>
    <row r="1128" spans="1:2" x14ac:dyDescent="0.35">
      <c r="A1128" s="7">
        <v>43297</v>
      </c>
      <c r="B1128">
        <v>3.8573</v>
      </c>
    </row>
    <row r="1129" spans="1:2" x14ac:dyDescent="0.35">
      <c r="A1129" s="7">
        <v>43294</v>
      </c>
      <c r="B1129">
        <v>3.8738999999999999</v>
      </c>
    </row>
    <row r="1130" spans="1:2" x14ac:dyDescent="0.35">
      <c r="A1130" s="7">
        <v>43293</v>
      </c>
      <c r="B1130">
        <v>3.8557999999999999</v>
      </c>
    </row>
    <row r="1131" spans="1:2" x14ac:dyDescent="0.35">
      <c r="A1131" s="7">
        <v>43292</v>
      </c>
      <c r="B1131">
        <v>3.8411</v>
      </c>
    </row>
    <row r="1132" spans="1:2" x14ac:dyDescent="0.35">
      <c r="A1132" s="7">
        <v>43291</v>
      </c>
      <c r="B1132">
        <v>3.8445999999999998</v>
      </c>
    </row>
    <row r="1133" spans="1:2" x14ac:dyDescent="0.35">
      <c r="A1133" s="7">
        <v>43290</v>
      </c>
      <c r="B1133">
        <v>3.8679999999999999</v>
      </c>
    </row>
    <row r="1134" spans="1:2" x14ac:dyDescent="0.35">
      <c r="A1134" s="7">
        <v>43287</v>
      </c>
      <c r="B1134">
        <v>3.9258000000000002</v>
      </c>
    </row>
    <row r="1135" spans="1:2" x14ac:dyDescent="0.35">
      <c r="A1135" s="7">
        <v>43286</v>
      </c>
      <c r="B1135">
        <v>3.9186000000000001</v>
      </c>
    </row>
    <row r="1136" spans="1:2" x14ac:dyDescent="0.35">
      <c r="A1136" s="7">
        <v>43285</v>
      </c>
      <c r="B1136">
        <v>3.9051999999999998</v>
      </c>
    </row>
    <row r="1137" spans="1:2" x14ac:dyDescent="0.35">
      <c r="A1137" s="7">
        <v>43284</v>
      </c>
      <c r="B1137">
        <v>3.8914</v>
      </c>
    </row>
    <row r="1138" spans="1:2" x14ac:dyDescent="0.35">
      <c r="A1138" s="7">
        <v>43283</v>
      </c>
      <c r="B1138">
        <v>3.9049</v>
      </c>
    </row>
    <row r="1139" spans="1:2" x14ac:dyDescent="0.35">
      <c r="A1139" s="7">
        <v>43280</v>
      </c>
      <c r="B1139">
        <v>3.8552</v>
      </c>
    </row>
    <row r="1140" spans="1:2" x14ac:dyDescent="0.35">
      <c r="A1140" s="7">
        <v>43279</v>
      </c>
      <c r="B1140">
        <v>3.8515000000000001</v>
      </c>
    </row>
    <row r="1141" spans="1:2" x14ac:dyDescent="0.35">
      <c r="A1141" s="7">
        <v>43278</v>
      </c>
      <c r="B1141">
        <v>3.8351999999999999</v>
      </c>
    </row>
    <row r="1142" spans="1:2" x14ac:dyDescent="0.35">
      <c r="A1142" s="7">
        <v>43277</v>
      </c>
      <c r="B1142">
        <v>3.7715000000000001</v>
      </c>
    </row>
    <row r="1143" spans="1:2" x14ac:dyDescent="0.35">
      <c r="A1143" s="7">
        <v>43276</v>
      </c>
      <c r="B1143">
        <v>3.7753999999999999</v>
      </c>
    </row>
    <row r="1144" spans="1:2" x14ac:dyDescent="0.35">
      <c r="A1144" s="7">
        <v>43273</v>
      </c>
      <c r="B1144">
        <v>3.7656999999999998</v>
      </c>
    </row>
    <row r="1145" spans="1:2" x14ac:dyDescent="0.35">
      <c r="A1145" s="7">
        <v>43272</v>
      </c>
      <c r="B1145">
        <v>3.7888000000000002</v>
      </c>
    </row>
    <row r="1146" spans="1:2" x14ac:dyDescent="0.35">
      <c r="A1146" s="7">
        <v>43271</v>
      </c>
      <c r="B1146">
        <v>3.7328999999999999</v>
      </c>
    </row>
    <row r="1147" spans="1:2" x14ac:dyDescent="0.35">
      <c r="A1147" s="7">
        <v>43270</v>
      </c>
      <c r="B1147">
        <v>3.7559999999999998</v>
      </c>
    </row>
    <row r="1148" spans="1:2" x14ac:dyDescent="0.35">
      <c r="A1148" s="7">
        <v>43269</v>
      </c>
      <c r="B1148">
        <v>3.7536999999999998</v>
      </c>
    </row>
    <row r="1149" spans="1:2" x14ac:dyDescent="0.35">
      <c r="A1149" s="7">
        <v>43266</v>
      </c>
      <c r="B1149">
        <v>3.7732000000000001</v>
      </c>
    </row>
    <row r="1150" spans="1:2" x14ac:dyDescent="0.35">
      <c r="A1150" s="7">
        <v>43265</v>
      </c>
      <c r="B1150">
        <v>3.7050999999999998</v>
      </c>
    </row>
    <row r="1151" spans="1:2" x14ac:dyDescent="0.35">
      <c r="A1151" s="7">
        <v>43264</v>
      </c>
      <c r="B1151">
        <v>3.7048000000000001</v>
      </c>
    </row>
    <row r="1152" spans="1:2" x14ac:dyDescent="0.35">
      <c r="A1152" s="7">
        <v>43263</v>
      </c>
      <c r="B1152">
        <v>3.7038000000000002</v>
      </c>
    </row>
    <row r="1153" spans="1:2" x14ac:dyDescent="0.35">
      <c r="A1153" s="7">
        <v>43262</v>
      </c>
      <c r="B1153">
        <v>3.6907000000000001</v>
      </c>
    </row>
    <row r="1154" spans="1:2" x14ac:dyDescent="0.35">
      <c r="A1154" s="7">
        <v>43259</v>
      </c>
      <c r="B1154">
        <v>3.7852999999999999</v>
      </c>
    </row>
    <row r="1155" spans="1:2" x14ac:dyDescent="0.35">
      <c r="A1155" s="7">
        <v>43258</v>
      </c>
      <c r="B1155">
        <v>3.8994</v>
      </c>
    </row>
    <row r="1156" spans="1:2" x14ac:dyDescent="0.35">
      <c r="A1156" s="7">
        <v>43257</v>
      </c>
      <c r="B1156">
        <v>3.8187000000000002</v>
      </c>
    </row>
    <row r="1157" spans="1:2" x14ac:dyDescent="0.35">
      <c r="A1157" s="7">
        <v>43256</v>
      </c>
      <c r="B1157">
        <v>3.7746</v>
      </c>
    </row>
    <row r="1158" spans="1:2" x14ac:dyDescent="0.35">
      <c r="A1158" s="7">
        <v>43255</v>
      </c>
      <c r="B1158">
        <v>3.7418</v>
      </c>
    </row>
    <row r="1159" spans="1:2" x14ac:dyDescent="0.35">
      <c r="A1159" s="7">
        <v>43252</v>
      </c>
      <c r="B1159">
        <v>3.7406999999999999</v>
      </c>
    </row>
    <row r="1160" spans="1:2" x14ac:dyDescent="0.35">
      <c r="A1160" s="7">
        <v>43250</v>
      </c>
      <c r="B1160">
        <v>3.7364000000000002</v>
      </c>
    </row>
    <row r="1161" spans="1:2" x14ac:dyDescent="0.35">
      <c r="A1161" s="7">
        <v>43249</v>
      </c>
      <c r="B1161">
        <v>3.7282999999999999</v>
      </c>
    </row>
    <row r="1162" spans="1:2" x14ac:dyDescent="0.35">
      <c r="A1162" s="7">
        <v>43248</v>
      </c>
      <c r="B1162">
        <v>3.7086000000000001</v>
      </c>
    </row>
    <row r="1163" spans="1:2" x14ac:dyDescent="0.35">
      <c r="A1163" s="7">
        <v>43245</v>
      </c>
      <c r="B1163">
        <v>3.6581000000000001</v>
      </c>
    </row>
    <row r="1164" spans="1:2" x14ac:dyDescent="0.35">
      <c r="A1164" s="7">
        <v>43244</v>
      </c>
      <c r="B1164">
        <v>3.6429999999999998</v>
      </c>
    </row>
    <row r="1165" spans="1:2" x14ac:dyDescent="0.35">
      <c r="A1165" s="7">
        <v>43243</v>
      </c>
      <c r="B1165">
        <v>3.6501000000000001</v>
      </c>
    </row>
    <row r="1166" spans="1:2" x14ac:dyDescent="0.35">
      <c r="A1166" s="7">
        <v>43242</v>
      </c>
      <c r="B1166">
        <v>3.6496</v>
      </c>
    </row>
    <row r="1167" spans="1:2" x14ac:dyDescent="0.35">
      <c r="A1167" s="7">
        <v>43241</v>
      </c>
      <c r="B1167">
        <v>3.7065999999999999</v>
      </c>
    </row>
    <row r="1168" spans="1:2" x14ac:dyDescent="0.35">
      <c r="A1168" s="7">
        <v>43238</v>
      </c>
      <c r="B1168">
        <v>3.7496999999999998</v>
      </c>
    </row>
    <row r="1169" spans="1:2" x14ac:dyDescent="0.35">
      <c r="A1169" s="7">
        <v>43237</v>
      </c>
      <c r="B1169">
        <v>3.6867999999999999</v>
      </c>
    </row>
    <row r="1170" spans="1:2" x14ac:dyDescent="0.35">
      <c r="A1170" s="7">
        <v>43236</v>
      </c>
      <c r="B1170">
        <v>3.6797</v>
      </c>
    </row>
    <row r="1171" spans="1:2" x14ac:dyDescent="0.35">
      <c r="A1171" s="7">
        <v>43235</v>
      </c>
      <c r="B1171">
        <v>3.6747000000000001</v>
      </c>
    </row>
    <row r="1172" spans="1:2" x14ac:dyDescent="0.35">
      <c r="A1172" s="7">
        <v>43234</v>
      </c>
      <c r="B1172">
        <v>3.6091000000000002</v>
      </c>
    </row>
    <row r="1173" spans="1:2" x14ac:dyDescent="0.35">
      <c r="A1173" s="7">
        <v>43231</v>
      </c>
      <c r="B1173">
        <v>3.5710000000000002</v>
      </c>
    </row>
    <row r="1174" spans="1:2" x14ac:dyDescent="0.35">
      <c r="A1174" s="7">
        <v>43230</v>
      </c>
      <c r="B1174">
        <v>3.5560999999999998</v>
      </c>
    </row>
    <row r="1175" spans="1:2" x14ac:dyDescent="0.35">
      <c r="A1175" s="7">
        <v>43229</v>
      </c>
      <c r="B1175">
        <v>3.5937000000000001</v>
      </c>
    </row>
    <row r="1176" spans="1:2" x14ac:dyDescent="0.35">
      <c r="A1176" s="7">
        <v>43228</v>
      </c>
      <c r="B1176">
        <v>3.5781999999999998</v>
      </c>
    </row>
    <row r="1177" spans="1:2" x14ac:dyDescent="0.35">
      <c r="A1177" s="7">
        <v>43227</v>
      </c>
      <c r="B1177">
        <v>3.5451999999999999</v>
      </c>
    </row>
    <row r="1178" spans="1:2" x14ac:dyDescent="0.35">
      <c r="A1178" s="7">
        <v>43224</v>
      </c>
      <c r="B1178">
        <v>3.5301999999999998</v>
      </c>
    </row>
    <row r="1179" spans="1:2" x14ac:dyDescent="0.35">
      <c r="A1179" s="7">
        <v>43223</v>
      </c>
      <c r="B1179">
        <v>3.5478000000000001</v>
      </c>
    </row>
    <row r="1180" spans="1:2" x14ac:dyDescent="0.35">
      <c r="A1180" s="7">
        <v>43222</v>
      </c>
      <c r="B1180">
        <v>3.5417999999999998</v>
      </c>
    </row>
    <row r="1181" spans="1:2" x14ac:dyDescent="0.35">
      <c r="A1181" s="7">
        <v>43220</v>
      </c>
      <c r="B1181">
        <v>3.4805000000000001</v>
      </c>
    </row>
    <row r="1182" spans="1:2" x14ac:dyDescent="0.35">
      <c r="A1182" s="7">
        <v>43217</v>
      </c>
      <c r="B1182">
        <v>3.4670000000000001</v>
      </c>
    </row>
    <row r="1183" spans="1:2" x14ac:dyDescent="0.35">
      <c r="A1183" s="7">
        <v>43216</v>
      </c>
      <c r="B1183">
        <v>3.4971000000000001</v>
      </c>
    </row>
    <row r="1184" spans="1:2" x14ac:dyDescent="0.35">
      <c r="A1184" s="7">
        <v>43215</v>
      </c>
      <c r="B1184">
        <v>3.5034000000000001</v>
      </c>
    </row>
    <row r="1185" spans="1:2" x14ac:dyDescent="0.35">
      <c r="A1185" s="7">
        <v>43214</v>
      </c>
      <c r="B1185">
        <v>3.4661</v>
      </c>
    </row>
    <row r="1186" spans="1:2" x14ac:dyDescent="0.35">
      <c r="A1186" s="7">
        <v>43213</v>
      </c>
      <c r="B1186">
        <v>3.4415</v>
      </c>
    </row>
    <row r="1187" spans="1:2" x14ac:dyDescent="0.35">
      <c r="A1187" s="7">
        <v>43210</v>
      </c>
      <c r="B1187">
        <v>3.4096000000000002</v>
      </c>
    </row>
    <row r="1188" spans="1:2" x14ac:dyDescent="0.35">
      <c r="A1188" s="7">
        <v>43209</v>
      </c>
      <c r="B1188">
        <v>3.3971</v>
      </c>
    </row>
    <row r="1189" spans="1:2" x14ac:dyDescent="0.35">
      <c r="A1189" s="7">
        <v>43208</v>
      </c>
      <c r="B1189">
        <v>3.3837999999999999</v>
      </c>
    </row>
    <row r="1190" spans="1:2" x14ac:dyDescent="0.35">
      <c r="A1190" s="7">
        <v>43207</v>
      </c>
      <c r="B1190">
        <v>3.4035000000000002</v>
      </c>
    </row>
    <row r="1191" spans="1:2" x14ac:dyDescent="0.35">
      <c r="A1191" s="7">
        <v>43206</v>
      </c>
      <c r="B1191">
        <v>3.4257</v>
      </c>
    </row>
    <row r="1192" spans="1:2" x14ac:dyDescent="0.35">
      <c r="A1192" s="7">
        <v>43203</v>
      </c>
      <c r="B1192">
        <v>3.4098999999999999</v>
      </c>
    </row>
    <row r="1193" spans="1:2" x14ac:dyDescent="0.35">
      <c r="A1193" s="7">
        <v>43202</v>
      </c>
      <c r="B1193">
        <v>3.3852000000000002</v>
      </c>
    </row>
    <row r="1194" spans="1:2" x14ac:dyDescent="0.35">
      <c r="A1194" s="7">
        <v>43201</v>
      </c>
      <c r="B1194">
        <v>3.4045999999999998</v>
      </c>
    </row>
    <row r="1195" spans="1:2" x14ac:dyDescent="0.35">
      <c r="A1195" s="7">
        <v>43200</v>
      </c>
      <c r="B1195">
        <v>3.4188999999999998</v>
      </c>
    </row>
    <row r="1196" spans="1:2" x14ac:dyDescent="0.35">
      <c r="A1196" s="7">
        <v>43199</v>
      </c>
      <c r="B1196">
        <v>3.3896999999999999</v>
      </c>
    </row>
    <row r="1197" spans="1:2" x14ac:dyDescent="0.35">
      <c r="A1197" s="7">
        <v>43196</v>
      </c>
      <c r="B1197">
        <v>3.3660000000000001</v>
      </c>
    </row>
    <row r="1198" spans="1:2" x14ac:dyDescent="0.35">
      <c r="A1198" s="7">
        <v>43195</v>
      </c>
      <c r="B1198">
        <v>3.319</v>
      </c>
    </row>
    <row r="1199" spans="1:2" x14ac:dyDescent="0.35">
      <c r="A1199" s="7">
        <v>43194</v>
      </c>
      <c r="B1199">
        <v>3.3532000000000002</v>
      </c>
    </row>
    <row r="1200" spans="1:2" x14ac:dyDescent="0.35">
      <c r="A1200" s="7">
        <v>43193</v>
      </c>
      <c r="B1200">
        <v>3.3132999999999999</v>
      </c>
    </row>
    <row r="1201" spans="1:2" x14ac:dyDescent="0.35">
      <c r="A1201" s="7">
        <v>43192</v>
      </c>
      <c r="B1201">
        <v>3.3098000000000001</v>
      </c>
    </row>
    <row r="1202" spans="1:2" x14ac:dyDescent="0.35">
      <c r="A1202" s="7">
        <v>43188</v>
      </c>
      <c r="B1202">
        <v>3.3231999999999999</v>
      </c>
    </row>
    <row r="1203" spans="1:2" x14ac:dyDescent="0.35">
      <c r="A1203" s="7">
        <v>43187</v>
      </c>
      <c r="B1203">
        <v>3.3374000000000001</v>
      </c>
    </row>
    <row r="1204" spans="1:2" x14ac:dyDescent="0.35">
      <c r="A1204" s="7">
        <v>43186</v>
      </c>
      <c r="B1204">
        <v>3.3250000000000002</v>
      </c>
    </row>
    <row r="1205" spans="1:2" x14ac:dyDescent="0.35">
      <c r="A1205" s="7">
        <v>43185</v>
      </c>
      <c r="B1205">
        <v>3.3028</v>
      </c>
    </row>
    <row r="1206" spans="1:2" x14ac:dyDescent="0.35">
      <c r="A1206" s="7">
        <v>43182</v>
      </c>
      <c r="B1206">
        <v>3.3035000000000001</v>
      </c>
    </row>
    <row r="1207" spans="1:2" x14ac:dyDescent="0.35">
      <c r="A1207" s="7">
        <v>43181</v>
      </c>
      <c r="B1207">
        <v>3.3027000000000002</v>
      </c>
    </row>
    <row r="1208" spans="1:2" x14ac:dyDescent="0.35">
      <c r="A1208" s="7">
        <v>43180</v>
      </c>
      <c r="B1208">
        <v>3.2915000000000001</v>
      </c>
    </row>
    <row r="1209" spans="1:2" x14ac:dyDescent="0.35">
      <c r="A1209" s="7">
        <v>43179</v>
      </c>
      <c r="B1209">
        <v>3.2974999999999999</v>
      </c>
    </row>
    <row r="1210" spans="1:2" x14ac:dyDescent="0.35">
      <c r="A1210" s="7">
        <v>43178</v>
      </c>
      <c r="B1210">
        <v>3.2905000000000002</v>
      </c>
    </row>
    <row r="1211" spans="1:2" x14ac:dyDescent="0.35">
      <c r="A1211" s="7">
        <v>43175</v>
      </c>
      <c r="B1211">
        <v>3.2898999999999998</v>
      </c>
    </row>
    <row r="1212" spans="1:2" x14ac:dyDescent="0.35">
      <c r="A1212" s="7">
        <v>43174</v>
      </c>
      <c r="B1212">
        <v>3.2852999999999999</v>
      </c>
    </row>
    <row r="1213" spans="1:2" x14ac:dyDescent="0.35">
      <c r="A1213" s="7">
        <v>43173</v>
      </c>
      <c r="B1213">
        <v>3.2578</v>
      </c>
    </row>
    <row r="1214" spans="1:2" x14ac:dyDescent="0.35">
      <c r="A1214" s="7">
        <v>43172</v>
      </c>
      <c r="B1214">
        <v>3.2486000000000002</v>
      </c>
    </row>
    <row r="1215" spans="1:2" x14ac:dyDescent="0.35">
      <c r="A1215" s="7">
        <v>43171</v>
      </c>
      <c r="B1215">
        <v>3.26</v>
      </c>
    </row>
    <row r="1216" spans="1:2" x14ac:dyDescent="0.35">
      <c r="A1216" s="7">
        <v>43168</v>
      </c>
      <c r="B1216">
        <v>3.2490000000000001</v>
      </c>
    </row>
    <row r="1217" spans="1:2" x14ac:dyDescent="0.35">
      <c r="A1217" s="7">
        <v>43167</v>
      </c>
      <c r="B1217">
        <v>3.2511999999999999</v>
      </c>
    </row>
    <row r="1218" spans="1:2" x14ac:dyDescent="0.35">
      <c r="A1218" s="7">
        <v>43166</v>
      </c>
      <c r="B1218">
        <v>3.2311999999999999</v>
      </c>
    </row>
    <row r="1219" spans="1:2" x14ac:dyDescent="0.35">
      <c r="A1219" s="7">
        <v>43165</v>
      </c>
      <c r="B1219">
        <v>3.2240000000000002</v>
      </c>
    </row>
    <row r="1220" spans="1:2" x14ac:dyDescent="0.35">
      <c r="A1220" s="7">
        <v>43164</v>
      </c>
      <c r="B1220">
        <v>3.2576000000000001</v>
      </c>
    </row>
    <row r="1221" spans="1:2" x14ac:dyDescent="0.35">
      <c r="A1221" s="7">
        <v>43161</v>
      </c>
      <c r="B1221">
        <v>3.2608000000000001</v>
      </c>
    </row>
    <row r="1222" spans="1:2" x14ac:dyDescent="0.35">
      <c r="A1222" s="7">
        <v>43160</v>
      </c>
      <c r="B1222">
        <v>3.2614000000000001</v>
      </c>
    </row>
    <row r="1223" spans="1:2" x14ac:dyDescent="0.35">
      <c r="A1223" s="7">
        <v>43159</v>
      </c>
      <c r="B1223">
        <v>3.2443</v>
      </c>
    </row>
    <row r="1224" spans="1:2" x14ac:dyDescent="0.35">
      <c r="A1224" s="7">
        <v>43158</v>
      </c>
      <c r="B1224">
        <v>3.2376999999999998</v>
      </c>
    </row>
    <row r="1225" spans="1:2" x14ac:dyDescent="0.35">
      <c r="A1225" s="7">
        <v>43157</v>
      </c>
      <c r="B1225">
        <v>3.2345000000000002</v>
      </c>
    </row>
    <row r="1226" spans="1:2" x14ac:dyDescent="0.35">
      <c r="A1226" s="7">
        <v>43154</v>
      </c>
      <c r="B1226">
        <v>3.2410999999999999</v>
      </c>
    </row>
    <row r="1227" spans="1:2" x14ac:dyDescent="0.35">
      <c r="A1227" s="7">
        <v>43153</v>
      </c>
      <c r="B1227">
        <v>3.2591999999999999</v>
      </c>
    </row>
    <row r="1228" spans="1:2" x14ac:dyDescent="0.35">
      <c r="A1228" s="7">
        <v>43152</v>
      </c>
      <c r="B1228">
        <v>3.2549000000000001</v>
      </c>
    </row>
    <row r="1229" spans="1:2" x14ac:dyDescent="0.35">
      <c r="A1229" s="7">
        <v>43151</v>
      </c>
      <c r="B1229">
        <v>3.2501000000000002</v>
      </c>
    </row>
    <row r="1230" spans="1:2" x14ac:dyDescent="0.35">
      <c r="A1230" s="7">
        <v>43150</v>
      </c>
      <c r="B1230">
        <v>3.2341000000000002</v>
      </c>
    </row>
    <row r="1231" spans="1:2" x14ac:dyDescent="0.35">
      <c r="A1231" s="7">
        <v>43147</v>
      </c>
      <c r="B1231">
        <v>3.2374999999999998</v>
      </c>
    </row>
    <row r="1232" spans="1:2" x14ac:dyDescent="0.35">
      <c r="A1232" s="7">
        <v>43146</v>
      </c>
      <c r="B1232">
        <v>3.2202000000000002</v>
      </c>
    </row>
    <row r="1233" spans="1:2" x14ac:dyDescent="0.35">
      <c r="A1233" s="7">
        <v>43145</v>
      </c>
      <c r="B1233">
        <v>3.2530999999999999</v>
      </c>
    </row>
    <row r="1234" spans="1:2" x14ac:dyDescent="0.35">
      <c r="A1234" s="7">
        <v>43140</v>
      </c>
      <c r="B1234">
        <v>3.2814999999999999</v>
      </c>
    </row>
    <row r="1235" spans="1:2" x14ac:dyDescent="0.35">
      <c r="A1235" s="7">
        <v>43139</v>
      </c>
      <c r="B1235">
        <v>3.2686000000000002</v>
      </c>
    </row>
    <row r="1236" spans="1:2" x14ac:dyDescent="0.35">
      <c r="A1236" s="7">
        <v>43138</v>
      </c>
      <c r="B1236">
        <v>3.2461000000000002</v>
      </c>
    </row>
    <row r="1237" spans="1:2" x14ac:dyDescent="0.35">
      <c r="A1237" s="7">
        <v>43137</v>
      </c>
      <c r="B1237">
        <v>3.2606999999999999</v>
      </c>
    </row>
    <row r="1238" spans="1:2" x14ac:dyDescent="0.35">
      <c r="A1238" s="7">
        <v>43136</v>
      </c>
      <c r="B1238">
        <v>3.2349000000000001</v>
      </c>
    </row>
    <row r="1239" spans="1:2" x14ac:dyDescent="0.35">
      <c r="A1239" s="7">
        <v>43133</v>
      </c>
      <c r="B1239">
        <v>3.2054</v>
      </c>
    </row>
    <row r="1240" spans="1:2" x14ac:dyDescent="0.35">
      <c r="A1240" s="7">
        <v>43132</v>
      </c>
      <c r="B1240">
        <v>3.1724000000000001</v>
      </c>
    </row>
    <row r="1241" spans="1:2" x14ac:dyDescent="0.35">
      <c r="A1241" s="7">
        <v>43131</v>
      </c>
      <c r="B1241">
        <v>3.1617999999999999</v>
      </c>
    </row>
    <row r="1242" spans="1:2" x14ac:dyDescent="0.35">
      <c r="A1242" s="7">
        <v>43130</v>
      </c>
      <c r="B1242">
        <v>3.1655000000000002</v>
      </c>
    </row>
    <row r="1243" spans="1:2" x14ac:dyDescent="0.35">
      <c r="A1243" s="7">
        <v>43129</v>
      </c>
      <c r="B1243">
        <v>3.1648000000000001</v>
      </c>
    </row>
    <row r="1244" spans="1:2" x14ac:dyDescent="0.35">
      <c r="A1244" s="7">
        <v>43126</v>
      </c>
      <c r="B1244">
        <v>3.1444000000000001</v>
      </c>
    </row>
    <row r="1245" spans="1:2" x14ac:dyDescent="0.35">
      <c r="A1245" s="7">
        <v>43125</v>
      </c>
      <c r="B1245">
        <v>3.1379999999999999</v>
      </c>
    </row>
    <row r="1246" spans="1:2" x14ac:dyDescent="0.35">
      <c r="A1246" s="7">
        <v>43124</v>
      </c>
      <c r="B1246">
        <v>3.1964000000000001</v>
      </c>
    </row>
    <row r="1247" spans="1:2" x14ac:dyDescent="0.35">
      <c r="A1247" s="7">
        <v>43123</v>
      </c>
      <c r="B1247">
        <v>3.2242999999999999</v>
      </c>
    </row>
    <row r="1248" spans="1:2" x14ac:dyDescent="0.35">
      <c r="A1248" s="7">
        <v>43122</v>
      </c>
      <c r="B1248">
        <v>3.1928000000000001</v>
      </c>
    </row>
    <row r="1249" spans="1:2" x14ac:dyDescent="0.35">
      <c r="A1249" s="7">
        <v>43119</v>
      </c>
      <c r="B1249">
        <v>3.2081</v>
      </c>
    </row>
    <row r="1250" spans="1:2" x14ac:dyDescent="0.35">
      <c r="A1250" s="7">
        <v>43118</v>
      </c>
      <c r="B1250">
        <v>3.2122999999999999</v>
      </c>
    </row>
    <row r="1251" spans="1:2" x14ac:dyDescent="0.35">
      <c r="A1251" s="7">
        <v>43117</v>
      </c>
      <c r="B1251">
        <v>3.2317999999999998</v>
      </c>
    </row>
    <row r="1252" spans="1:2" x14ac:dyDescent="0.35">
      <c r="A1252" s="7">
        <v>43116</v>
      </c>
      <c r="B1252">
        <v>3.2212999999999998</v>
      </c>
    </row>
    <row r="1253" spans="1:2" x14ac:dyDescent="0.35">
      <c r="A1253" s="7">
        <v>43115</v>
      </c>
      <c r="B1253">
        <v>3.1957</v>
      </c>
    </row>
    <row r="1254" spans="1:2" x14ac:dyDescent="0.35">
      <c r="A1254" s="7">
        <v>43112</v>
      </c>
      <c r="B1254">
        <v>3.2191999999999998</v>
      </c>
    </row>
    <row r="1255" spans="1:2" x14ac:dyDescent="0.35">
      <c r="A1255" s="7">
        <v>43111</v>
      </c>
      <c r="B1255">
        <v>3.2294999999999998</v>
      </c>
    </row>
    <row r="1256" spans="1:2" x14ac:dyDescent="0.35">
      <c r="A1256" s="7">
        <v>43110</v>
      </c>
      <c r="B1256">
        <v>3.2461000000000002</v>
      </c>
    </row>
    <row r="1257" spans="1:2" x14ac:dyDescent="0.35">
      <c r="A1257" s="7">
        <v>43109</v>
      </c>
      <c r="B1257">
        <v>3.2391000000000001</v>
      </c>
    </row>
    <row r="1258" spans="1:2" x14ac:dyDescent="0.35">
      <c r="A1258" s="7">
        <v>43108</v>
      </c>
      <c r="B1258">
        <v>3.2351000000000001</v>
      </c>
    </row>
    <row r="1259" spans="1:2" x14ac:dyDescent="0.35">
      <c r="A1259" s="7">
        <v>43105</v>
      </c>
      <c r="B1259">
        <v>3.2403</v>
      </c>
    </row>
    <row r="1260" spans="1:2" x14ac:dyDescent="0.35">
      <c r="A1260" s="7">
        <v>43104</v>
      </c>
      <c r="B1260">
        <v>3.2311999999999999</v>
      </c>
    </row>
    <row r="1261" spans="1:2" x14ac:dyDescent="0.35">
      <c r="A1261" s="7">
        <v>43103</v>
      </c>
      <c r="B1261">
        <v>3.2528999999999999</v>
      </c>
    </row>
    <row r="1262" spans="1:2" x14ac:dyDescent="0.35">
      <c r="A1262" s="7">
        <v>43102</v>
      </c>
      <c r="B1262">
        <v>3.2690999999999999</v>
      </c>
    </row>
    <row r="1263" spans="1:2" x14ac:dyDescent="0.35">
      <c r="A1263" s="7">
        <v>43098</v>
      </c>
      <c r="B1263">
        <v>3.3073999999999999</v>
      </c>
    </row>
    <row r="1264" spans="1:2" x14ac:dyDescent="0.35">
      <c r="A1264" s="7">
        <v>43097</v>
      </c>
      <c r="B1264">
        <v>3.3073999999999999</v>
      </c>
    </row>
    <row r="1265" spans="1:2" x14ac:dyDescent="0.35">
      <c r="A1265" s="7">
        <v>43096</v>
      </c>
      <c r="B1265">
        <v>3.3024</v>
      </c>
    </row>
    <row r="1266" spans="1:2" x14ac:dyDescent="0.35">
      <c r="A1266" s="7">
        <v>43095</v>
      </c>
      <c r="B1266">
        <v>3.3193999999999999</v>
      </c>
    </row>
    <row r="1267" spans="1:2" x14ac:dyDescent="0.35">
      <c r="A1267" s="7">
        <v>43091</v>
      </c>
      <c r="B1267">
        <v>3.3203</v>
      </c>
    </row>
    <row r="1268" spans="1:2" x14ac:dyDescent="0.35">
      <c r="A1268" s="7">
        <v>43090</v>
      </c>
      <c r="B1268">
        <v>3.3039000000000001</v>
      </c>
    </row>
    <row r="1269" spans="1:2" x14ac:dyDescent="0.35">
      <c r="A1269" s="7">
        <v>43089</v>
      </c>
      <c r="B1269">
        <v>3.2902999999999998</v>
      </c>
    </row>
    <row r="1270" spans="1:2" x14ac:dyDescent="0.35">
      <c r="A1270" s="7">
        <v>43088</v>
      </c>
      <c r="B1270">
        <v>3.2877000000000001</v>
      </c>
    </row>
    <row r="1271" spans="1:2" x14ac:dyDescent="0.35">
      <c r="A1271" s="7">
        <v>43087</v>
      </c>
      <c r="B1271">
        <v>3.2875000000000001</v>
      </c>
    </row>
    <row r="1272" spans="1:2" x14ac:dyDescent="0.35">
      <c r="A1272" s="7">
        <v>43084</v>
      </c>
      <c r="B1272">
        <v>3.3176000000000001</v>
      </c>
    </row>
    <row r="1273" spans="1:2" x14ac:dyDescent="0.35">
      <c r="A1273" s="7">
        <v>43083</v>
      </c>
      <c r="B1273">
        <v>3.3325999999999998</v>
      </c>
    </row>
    <row r="1274" spans="1:2" x14ac:dyDescent="0.35">
      <c r="A1274" s="7">
        <v>43082</v>
      </c>
      <c r="B1274">
        <v>3.3029999999999999</v>
      </c>
    </row>
    <row r="1275" spans="1:2" x14ac:dyDescent="0.35">
      <c r="A1275" s="7">
        <v>43081</v>
      </c>
      <c r="B1275">
        <v>3.3142999999999998</v>
      </c>
    </row>
    <row r="1276" spans="1:2" x14ac:dyDescent="0.35">
      <c r="A1276" s="7">
        <v>43080</v>
      </c>
      <c r="B1276">
        <v>3.2839</v>
      </c>
    </row>
    <row r="1277" spans="1:2" x14ac:dyDescent="0.35">
      <c r="A1277" s="7">
        <v>43077</v>
      </c>
      <c r="B1277">
        <v>3.2805</v>
      </c>
    </row>
    <row r="1278" spans="1:2" x14ac:dyDescent="0.35">
      <c r="A1278" s="7">
        <v>43076</v>
      </c>
      <c r="B1278">
        <v>3.2886000000000002</v>
      </c>
    </row>
    <row r="1279" spans="1:2" x14ac:dyDescent="0.35">
      <c r="A1279" s="7">
        <v>43075</v>
      </c>
      <c r="B1279">
        <v>3.2347999999999999</v>
      </c>
    </row>
    <row r="1280" spans="1:2" x14ac:dyDescent="0.35">
      <c r="A1280" s="7">
        <v>43074</v>
      </c>
      <c r="B1280">
        <v>3.2315999999999998</v>
      </c>
    </row>
    <row r="1281" spans="1:2" x14ac:dyDescent="0.35">
      <c r="A1281" s="7">
        <v>43073</v>
      </c>
      <c r="B1281">
        <v>3.25</v>
      </c>
    </row>
    <row r="1282" spans="1:2" x14ac:dyDescent="0.35">
      <c r="A1282" s="7">
        <v>43070</v>
      </c>
      <c r="B1282">
        <v>3.2629999999999999</v>
      </c>
    </row>
    <row r="1283" spans="1:2" x14ac:dyDescent="0.35">
      <c r="A1283" s="7">
        <v>43069</v>
      </c>
      <c r="B1283">
        <v>3.2610000000000001</v>
      </c>
    </row>
    <row r="1284" spans="1:2" x14ac:dyDescent="0.35">
      <c r="A1284" s="7">
        <v>43068</v>
      </c>
      <c r="B1284">
        <v>3.2130000000000001</v>
      </c>
    </row>
    <row r="1285" spans="1:2" x14ac:dyDescent="0.35">
      <c r="A1285" s="7">
        <v>43067</v>
      </c>
      <c r="B1285">
        <v>3.2225999999999999</v>
      </c>
    </row>
    <row r="1286" spans="1:2" x14ac:dyDescent="0.35">
      <c r="A1286" s="7">
        <v>43066</v>
      </c>
      <c r="B1286">
        <v>3.2212000000000001</v>
      </c>
    </row>
    <row r="1287" spans="1:2" x14ac:dyDescent="0.35">
      <c r="A1287" s="7">
        <v>43063</v>
      </c>
      <c r="B1287">
        <v>3.2294</v>
      </c>
    </row>
    <row r="1288" spans="1:2" x14ac:dyDescent="0.35">
      <c r="A1288" s="7">
        <v>43062</v>
      </c>
      <c r="B1288">
        <v>3.2364999999999999</v>
      </c>
    </row>
    <row r="1289" spans="1:2" x14ac:dyDescent="0.35">
      <c r="A1289" s="7">
        <v>43061</v>
      </c>
      <c r="B1289">
        <v>3.2555000000000001</v>
      </c>
    </row>
    <row r="1290" spans="1:2" x14ac:dyDescent="0.35">
      <c r="A1290" s="7">
        <v>43060</v>
      </c>
      <c r="B1290">
        <v>3.2585000000000002</v>
      </c>
    </row>
    <row r="1291" spans="1:2" x14ac:dyDescent="0.35">
      <c r="A1291" s="7">
        <v>43059</v>
      </c>
      <c r="B1291">
        <v>3.2608000000000001</v>
      </c>
    </row>
    <row r="1292" spans="1:2" x14ac:dyDescent="0.35">
      <c r="A1292" s="7">
        <v>43056</v>
      </c>
      <c r="B1292">
        <v>3.2782</v>
      </c>
    </row>
    <row r="1293" spans="1:2" x14ac:dyDescent="0.35">
      <c r="A1293" s="7">
        <v>43055</v>
      </c>
      <c r="B1293">
        <v>3.2801999999999998</v>
      </c>
    </row>
    <row r="1294" spans="1:2" x14ac:dyDescent="0.35">
      <c r="A1294" s="7">
        <v>43053</v>
      </c>
      <c r="B1294">
        <v>3.2827999999999999</v>
      </c>
    </row>
    <row r="1295" spans="1:2" x14ac:dyDescent="0.35">
      <c r="A1295" s="7">
        <v>43052</v>
      </c>
      <c r="B1295">
        <v>3.2867000000000002</v>
      </c>
    </row>
    <row r="1296" spans="1:2" x14ac:dyDescent="0.35">
      <c r="A1296" s="7">
        <v>43049</v>
      </c>
      <c r="B1296">
        <v>3.2654999999999998</v>
      </c>
    </row>
    <row r="1297" spans="1:2" x14ac:dyDescent="0.35">
      <c r="A1297" s="7">
        <v>43048</v>
      </c>
      <c r="B1297">
        <v>3.2509000000000001</v>
      </c>
    </row>
    <row r="1298" spans="1:2" x14ac:dyDescent="0.35">
      <c r="A1298" s="7">
        <v>43047</v>
      </c>
      <c r="B1298">
        <v>3.2503000000000002</v>
      </c>
    </row>
    <row r="1299" spans="1:2" x14ac:dyDescent="0.35">
      <c r="A1299" s="7">
        <v>43046</v>
      </c>
      <c r="B1299">
        <v>3.2726999999999999</v>
      </c>
    </row>
    <row r="1300" spans="1:2" x14ac:dyDescent="0.35">
      <c r="A1300" s="7">
        <v>43045</v>
      </c>
      <c r="B1300">
        <v>3.2845</v>
      </c>
    </row>
    <row r="1301" spans="1:2" x14ac:dyDescent="0.35">
      <c r="A1301" s="7">
        <v>43042</v>
      </c>
      <c r="B1301">
        <v>3.2913999999999999</v>
      </c>
    </row>
    <row r="1302" spans="1:2" x14ac:dyDescent="0.35">
      <c r="A1302" s="7">
        <v>43040</v>
      </c>
      <c r="B1302">
        <v>3.2730000000000001</v>
      </c>
    </row>
    <row r="1303" spans="1:2" x14ac:dyDescent="0.35">
      <c r="A1303" s="7">
        <v>43039</v>
      </c>
      <c r="B1303">
        <v>3.2763</v>
      </c>
    </row>
    <row r="1304" spans="1:2" x14ac:dyDescent="0.35">
      <c r="A1304" s="7">
        <v>43038</v>
      </c>
      <c r="B1304">
        <v>3.2541000000000002</v>
      </c>
    </row>
    <row r="1305" spans="1:2" x14ac:dyDescent="0.35">
      <c r="A1305" s="7">
        <v>43035</v>
      </c>
      <c r="B1305">
        <v>3.2795000000000001</v>
      </c>
    </row>
    <row r="1306" spans="1:2" x14ac:dyDescent="0.35">
      <c r="A1306" s="7">
        <v>43034</v>
      </c>
      <c r="B1306">
        <v>3.2437999999999998</v>
      </c>
    </row>
    <row r="1307" spans="1:2" x14ac:dyDescent="0.35">
      <c r="A1307" s="7">
        <v>43033</v>
      </c>
      <c r="B1307">
        <v>3.2381000000000002</v>
      </c>
    </row>
    <row r="1308" spans="1:2" x14ac:dyDescent="0.35">
      <c r="A1308" s="7">
        <v>43032</v>
      </c>
      <c r="B1308">
        <v>3.2464</v>
      </c>
    </row>
    <row r="1309" spans="1:2" x14ac:dyDescent="0.35">
      <c r="A1309" s="7">
        <v>43031</v>
      </c>
      <c r="B1309">
        <v>3.1997</v>
      </c>
    </row>
    <row r="1310" spans="1:2" x14ac:dyDescent="0.35">
      <c r="A1310" s="7">
        <v>43028</v>
      </c>
      <c r="B1310">
        <v>3.1827000000000001</v>
      </c>
    </row>
    <row r="1311" spans="1:2" x14ac:dyDescent="0.35">
      <c r="A1311" s="7">
        <v>43027</v>
      </c>
      <c r="B1311">
        <v>3.1726999999999999</v>
      </c>
    </row>
    <row r="1312" spans="1:2" x14ac:dyDescent="0.35">
      <c r="A1312" s="7">
        <v>43026</v>
      </c>
      <c r="B1312">
        <v>3.1667000000000001</v>
      </c>
    </row>
    <row r="1313" spans="1:2" x14ac:dyDescent="0.35">
      <c r="A1313" s="7">
        <v>43025</v>
      </c>
      <c r="B1313">
        <v>3.1762999999999999</v>
      </c>
    </row>
    <row r="1314" spans="1:2" x14ac:dyDescent="0.35">
      <c r="A1314" s="7">
        <v>43024</v>
      </c>
      <c r="B1314">
        <v>3.1600999999999999</v>
      </c>
    </row>
    <row r="1315" spans="1:2" x14ac:dyDescent="0.35">
      <c r="A1315" s="7">
        <v>43021</v>
      </c>
      <c r="B1315">
        <v>3.1566999999999998</v>
      </c>
    </row>
    <row r="1316" spans="1:2" x14ac:dyDescent="0.35">
      <c r="A1316" s="7">
        <v>43019</v>
      </c>
      <c r="B1316">
        <v>3.1633</v>
      </c>
    </row>
    <row r="1317" spans="1:2" x14ac:dyDescent="0.35">
      <c r="A1317" s="7">
        <v>43018</v>
      </c>
      <c r="B1317">
        <v>3.1682000000000001</v>
      </c>
    </row>
    <row r="1318" spans="1:2" x14ac:dyDescent="0.35">
      <c r="A1318" s="7">
        <v>43017</v>
      </c>
      <c r="B1318">
        <v>3.1764000000000001</v>
      </c>
    </row>
    <row r="1319" spans="1:2" x14ac:dyDescent="0.35">
      <c r="A1319" s="7">
        <v>43014</v>
      </c>
      <c r="B1319">
        <v>3.1642000000000001</v>
      </c>
    </row>
    <row r="1320" spans="1:2" x14ac:dyDescent="0.35">
      <c r="A1320" s="7">
        <v>43013</v>
      </c>
      <c r="B1320">
        <v>3.1341000000000001</v>
      </c>
    </row>
    <row r="1321" spans="1:2" x14ac:dyDescent="0.35">
      <c r="A1321" s="7">
        <v>43012</v>
      </c>
      <c r="B1321">
        <v>3.1309</v>
      </c>
    </row>
    <row r="1322" spans="1:2" x14ac:dyDescent="0.35">
      <c r="A1322" s="7">
        <v>43011</v>
      </c>
      <c r="B1322">
        <v>3.1496</v>
      </c>
    </row>
    <row r="1323" spans="1:2" x14ac:dyDescent="0.35">
      <c r="A1323" s="7">
        <v>43010</v>
      </c>
      <c r="B1323">
        <v>3.1636000000000002</v>
      </c>
    </row>
    <row r="1324" spans="1:2" x14ac:dyDescent="0.35">
      <c r="A1324" s="7">
        <v>43007</v>
      </c>
      <c r="B1324">
        <v>3.1674000000000002</v>
      </c>
    </row>
    <row r="1325" spans="1:2" x14ac:dyDescent="0.35">
      <c r="A1325" s="7">
        <v>43006</v>
      </c>
      <c r="B1325">
        <v>3.1865000000000001</v>
      </c>
    </row>
    <row r="1326" spans="1:2" x14ac:dyDescent="0.35">
      <c r="A1326" s="7">
        <v>43005</v>
      </c>
      <c r="B1326">
        <v>3.1926000000000001</v>
      </c>
    </row>
    <row r="1327" spans="1:2" x14ac:dyDescent="0.35">
      <c r="A1327" s="7">
        <v>43004</v>
      </c>
      <c r="B1327">
        <v>3.1667999999999998</v>
      </c>
    </row>
    <row r="1328" spans="1:2" x14ac:dyDescent="0.35">
      <c r="A1328" s="7">
        <v>43003</v>
      </c>
      <c r="B1328">
        <v>3.1406000000000001</v>
      </c>
    </row>
    <row r="1329" spans="1:2" x14ac:dyDescent="0.35">
      <c r="A1329" s="7">
        <v>43000</v>
      </c>
      <c r="B1329">
        <v>3.1278999999999999</v>
      </c>
    </row>
    <row r="1330" spans="1:2" x14ac:dyDescent="0.35">
      <c r="A1330" s="7">
        <v>42999</v>
      </c>
      <c r="B1330">
        <v>3.1341000000000001</v>
      </c>
    </row>
    <row r="1331" spans="1:2" x14ac:dyDescent="0.35">
      <c r="A1331" s="7">
        <v>42998</v>
      </c>
      <c r="B1331">
        <v>3.1274999999999999</v>
      </c>
    </row>
    <row r="1332" spans="1:2" x14ac:dyDescent="0.35">
      <c r="A1332" s="7">
        <v>42997</v>
      </c>
      <c r="B1332">
        <v>3.1316999999999999</v>
      </c>
    </row>
    <row r="1333" spans="1:2" x14ac:dyDescent="0.35">
      <c r="A1333" s="7">
        <v>42996</v>
      </c>
      <c r="B1333">
        <v>3.1233</v>
      </c>
    </row>
    <row r="1334" spans="1:2" x14ac:dyDescent="0.35">
      <c r="A1334" s="7">
        <v>42993</v>
      </c>
      <c r="B1334">
        <v>3.1248999999999998</v>
      </c>
    </row>
    <row r="1335" spans="1:2" x14ac:dyDescent="0.35">
      <c r="A1335" s="7">
        <v>42992</v>
      </c>
      <c r="B1335">
        <v>3.1347999999999998</v>
      </c>
    </row>
    <row r="1336" spans="1:2" x14ac:dyDescent="0.35">
      <c r="A1336" s="7">
        <v>42991</v>
      </c>
      <c r="B1336">
        <v>3.1337000000000002</v>
      </c>
    </row>
    <row r="1337" spans="1:2" x14ac:dyDescent="0.35">
      <c r="A1337" s="7">
        <v>42990</v>
      </c>
      <c r="B1337">
        <v>3.1137999999999999</v>
      </c>
    </row>
    <row r="1338" spans="1:2" x14ac:dyDescent="0.35">
      <c r="A1338" s="7">
        <v>42989</v>
      </c>
      <c r="B1338">
        <v>3.0846</v>
      </c>
    </row>
    <row r="1339" spans="1:2" x14ac:dyDescent="0.35">
      <c r="A1339" s="7">
        <v>42986</v>
      </c>
      <c r="B1339">
        <v>3.0901999999999998</v>
      </c>
    </row>
    <row r="1340" spans="1:2" x14ac:dyDescent="0.35">
      <c r="A1340" s="7">
        <v>42984</v>
      </c>
      <c r="B1340">
        <v>3.1126999999999998</v>
      </c>
    </row>
    <row r="1341" spans="1:2" x14ac:dyDescent="0.35">
      <c r="A1341" s="7">
        <v>42983</v>
      </c>
      <c r="B1341">
        <v>3.1196999999999999</v>
      </c>
    </row>
    <row r="1342" spans="1:2" x14ac:dyDescent="0.35">
      <c r="A1342" s="7">
        <v>42982</v>
      </c>
      <c r="B1342">
        <v>3.1383000000000001</v>
      </c>
    </row>
    <row r="1343" spans="1:2" x14ac:dyDescent="0.35">
      <c r="A1343" s="7">
        <v>42979</v>
      </c>
      <c r="B1343">
        <v>3.1326999999999998</v>
      </c>
    </row>
    <row r="1344" spans="1:2" x14ac:dyDescent="0.35">
      <c r="A1344" s="7">
        <v>42978</v>
      </c>
      <c r="B1344">
        <v>3.1465000000000001</v>
      </c>
    </row>
    <row r="1345" spans="1:2" x14ac:dyDescent="0.35">
      <c r="A1345" s="7">
        <v>42977</v>
      </c>
      <c r="B1345">
        <v>3.1631999999999998</v>
      </c>
    </row>
    <row r="1346" spans="1:2" x14ac:dyDescent="0.35">
      <c r="A1346" s="7">
        <v>42976</v>
      </c>
      <c r="B1346">
        <v>3.1688999999999998</v>
      </c>
    </row>
    <row r="1347" spans="1:2" x14ac:dyDescent="0.35">
      <c r="A1347" s="7">
        <v>42975</v>
      </c>
      <c r="B1347">
        <v>3.1556999999999999</v>
      </c>
    </row>
    <row r="1348" spans="1:2" x14ac:dyDescent="0.35">
      <c r="A1348" s="7">
        <v>42972</v>
      </c>
      <c r="B1348">
        <v>3.1456</v>
      </c>
    </row>
    <row r="1349" spans="1:2" x14ac:dyDescent="0.35">
      <c r="A1349" s="7">
        <v>42971</v>
      </c>
      <c r="B1349">
        <v>3.1398000000000001</v>
      </c>
    </row>
    <row r="1350" spans="1:2" x14ac:dyDescent="0.35">
      <c r="A1350" s="7">
        <v>42970</v>
      </c>
      <c r="B1350">
        <v>3.1562999999999999</v>
      </c>
    </row>
    <row r="1351" spans="1:2" x14ac:dyDescent="0.35">
      <c r="A1351" s="7">
        <v>42969</v>
      </c>
      <c r="B1351">
        <v>3.1533000000000002</v>
      </c>
    </row>
    <row r="1352" spans="1:2" x14ac:dyDescent="0.35">
      <c r="A1352" s="7">
        <v>42968</v>
      </c>
      <c r="B1352">
        <v>3.1436999999999999</v>
      </c>
    </row>
    <row r="1353" spans="1:2" x14ac:dyDescent="0.35">
      <c r="A1353" s="7">
        <v>42965</v>
      </c>
      <c r="B1353">
        <v>3.1648000000000001</v>
      </c>
    </row>
    <row r="1354" spans="1:2" x14ac:dyDescent="0.35">
      <c r="A1354" s="7">
        <v>42964</v>
      </c>
      <c r="B1354">
        <v>3.1597</v>
      </c>
    </row>
    <row r="1355" spans="1:2" x14ac:dyDescent="0.35">
      <c r="A1355" s="7">
        <v>42963</v>
      </c>
      <c r="B1355">
        <v>3.1663999999999999</v>
      </c>
    </row>
    <row r="1356" spans="1:2" x14ac:dyDescent="0.35">
      <c r="A1356" s="7">
        <v>42962</v>
      </c>
      <c r="B1356">
        <v>3.1970000000000001</v>
      </c>
    </row>
    <row r="1357" spans="1:2" x14ac:dyDescent="0.35">
      <c r="A1357" s="7">
        <v>42961</v>
      </c>
      <c r="B1357">
        <v>3.1882000000000001</v>
      </c>
    </row>
    <row r="1358" spans="1:2" x14ac:dyDescent="0.35">
      <c r="A1358" s="7">
        <v>42958</v>
      </c>
      <c r="B1358">
        <v>3.1688999999999998</v>
      </c>
    </row>
    <row r="1359" spans="1:2" x14ac:dyDescent="0.35">
      <c r="A1359" s="7">
        <v>42957</v>
      </c>
      <c r="B1359">
        <v>3.1537000000000002</v>
      </c>
    </row>
    <row r="1360" spans="1:2" x14ac:dyDescent="0.35">
      <c r="A1360" s="7">
        <v>42956</v>
      </c>
      <c r="B1360">
        <v>3.1457999999999999</v>
      </c>
    </row>
    <row r="1361" spans="1:2" x14ac:dyDescent="0.35">
      <c r="A1361" s="7">
        <v>42955</v>
      </c>
      <c r="B1361">
        <v>3.1314000000000002</v>
      </c>
    </row>
    <row r="1362" spans="1:2" x14ac:dyDescent="0.35">
      <c r="A1362" s="7">
        <v>42954</v>
      </c>
      <c r="B1362">
        <v>3.1261000000000001</v>
      </c>
    </row>
    <row r="1363" spans="1:2" x14ac:dyDescent="0.35">
      <c r="A1363" s="7">
        <v>42951</v>
      </c>
      <c r="B1363">
        <v>3.1217999999999999</v>
      </c>
    </row>
    <row r="1364" spans="1:2" x14ac:dyDescent="0.35">
      <c r="A1364" s="7">
        <v>42950</v>
      </c>
      <c r="B1364">
        <v>3.1187999999999998</v>
      </c>
    </row>
    <row r="1365" spans="1:2" x14ac:dyDescent="0.35">
      <c r="A1365" s="7">
        <v>42949</v>
      </c>
      <c r="B1365">
        <v>3.1261999999999999</v>
      </c>
    </row>
    <row r="1366" spans="1:2" x14ac:dyDescent="0.35">
      <c r="A1366" s="7">
        <v>42948</v>
      </c>
      <c r="B1366">
        <v>3.1154000000000002</v>
      </c>
    </row>
    <row r="1367" spans="1:2" x14ac:dyDescent="0.35">
      <c r="A1367" s="7">
        <v>42947</v>
      </c>
      <c r="B1367">
        <v>3.1301000000000001</v>
      </c>
    </row>
    <row r="1368" spans="1:2" x14ac:dyDescent="0.35">
      <c r="A1368" s="7">
        <v>42944</v>
      </c>
      <c r="B1368">
        <v>3.1450999999999998</v>
      </c>
    </row>
    <row r="1369" spans="1:2" x14ac:dyDescent="0.35">
      <c r="A1369" s="7">
        <v>42943</v>
      </c>
      <c r="B1369">
        <v>3.1507000000000001</v>
      </c>
    </row>
    <row r="1370" spans="1:2" x14ac:dyDescent="0.35">
      <c r="A1370" s="7">
        <v>42942</v>
      </c>
      <c r="B1370">
        <v>3.1650999999999998</v>
      </c>
    </row>
    <row r="1371" spans="1:2" x14ac:dyDescent="0.35">
      <c r="A1371" s="7">
        <v>42941</v>
      </c>
      <c r="B1371">
        <v>3.1549999999999998</v>
      </c>
    </row>
    <row r="1372" spans="1:2" x14ac:dyDescent="0.35">
      <c r="A1372" s="7">
        <v>42940</v>
      </c>
      <c r="B1372">
        <v>3.1453000000000002</v>
      </c>
    </row>
    <row r="1373" spans="1:2" x14ac:dyDescent="0.35">
      <c r="A1373" s="7">
        <v>42937</v>
      </c>
      <c r="B1373">
        <v>3.125</v>
      </c>
    </row>
    <row r="1374" spans="1:2" x14ac:dyDescent="0.35">
      <c r="A1374" s="7">
        <v>42936</v>
      </c>
      <c r="B1374">
        <v>3.1396000000000002</v>
      </c>
    </row>
    <row r="1375" spans="1:2" x14ac:dyDescent="0.35">
      <c r="A1375" s="7">
        <v>42935</v>
      </c>
      <c r="B1375">
        <v>3.1526999999999998</v>
      </c>
    </row>
    <row r="1376" spans="1:2" x14ac:dyDescent="0.35">
      <c r="A1376" s="7">
        <v>42934</v>
      </c>
      <c r="B1376">
        <v>3.1661999999999999</v>
      </c>
    </row>
    <row r="1377" spans="1:2" x14ac:dyDescent="0.35">
      <c r="A1377" s="7">
        <v>42933</v>
      </c>
      <c r="B1377">
        <v>3.1815000000000002</v>
      </c>
    </row>
    <row r="1378" spans="1:2" x14ac:dyDescent="0.35">
      <c r="A1378" s="7">
        <v>42930</v>
      </c>
      <c r="B1378">
        <v>3.1892999999999998</v>
      </c>
    </row>
    <row r="1379" spans="1:2" x14ac:dyDescent="0.35">
      <c r="A1379" s="7">
        <v>42929</v>
      </c>
      <c r="B1379">
        <v>3.2101999999999999</v>
      </c>
    </row>
    <row r="1380" spans="1:2" x14ac:dyDescent="0.35">
      <c r="A1380" s="7">
        <v>42928</v>
      </c>
      <c r="B1380">
        <v>3.2258</v>
      </c>
    </row>
    <row r="1381" spans="1:2" x14ac:dyDescent="0.35">
      <c r="A1381" s="7">
        <v>42927</v>
      </c>
      <c r="B1381">
        <v>3.2515999999999998</v>
      </c>
    </row>
    <row r="1382" spans="1:2" x14ac:dyDescent="0.35">
      <c r="A1382" s="7">
        <v>42926</v>
      </c>
      <c r="B1382">
        <v>3.2644000000000002</v>
      </c>
    </row>
    <row r="1383" spans="1:2" x14ac:dyDescent="0.35">
      <c r="A1383" s="7">
        <v>42923</v>
      </c>
      <c r="B1383">
        <v>3.2888999999999999</v>
      </c>
    </row>
    <row r="1384" spans="1:2" x14ac:dyDescent="0.35">
      <c r="A1384" s="7">
        <v>42922</v>
      </c>
      <c r="B1384">
        <v>3.3058000000000001</v>
      </c>
    </row>
    <row r="1385" spans="1:2" x14ac:dyDescent="0.35">
      <c r="A1385" s="7">
        <v>42921</v>
      </c>
      <c r="B1385">
        <v>3.3187000000000002</v>
      </c>
    </row>
    <row r="1386" spans="1:2" x14ac:dyDescent="0.35">
      <c r="A1386" s="7">
        <v>42920</v>
      </c>
      <c r="B1386">
        <v>3.3043999999999998</v>
      </c>
    </row>
    <row r="1387" spans="1:2" x14ac:dyDescent="0.35">
      <c r="A1387" s="7">
        <v>42919</v>
      </c>
      <c r="B1387">
        <v>3.3008999999999999</v>
      </c>
    </row>
    <row r="1388" spans="1:2" x14ac:dyDescent="0.35">
      <c r="A1388" s="7">
        <v>42916</v>
      </c>
      <c r="B1388">
        <v>3.3075999999999999</v>
      </c>
    </row>
    <row r="1389" spans="1:2" x14ac:dyDescent="0.35">
      <c r="A1389" s="7">
        <v>42915</v>
      </c>
      <c r="B1389">
        <v>3.2946</v>
      </c>
    </row>
    <row r="1390" spans="1:2" x14ac:dyDescent="0.35">
      <c r="A1390" s="7">
        <v>42914</v>
      </c>
      <c r="B1390">
        <v>3.3024</v>
      </c>
    </row>
    <row r="1391" spans="1:2" x14ac:dyDescent="0.35">
      <c r="A1391" s="7">
        <v>42913</v>
      </c>
      <c r="B1391">
        <v>3.3166000000000002</v>
      </c>
    </row>
    <row r="1392" spans="1:2" x14ac:dyDescent="0.35">
      <c r="A1392" s="7">
        <v>42912</v>
      </c>
      <c r="B1392">
        <v>3.3121999999999998</v>
      </c>
    </row>
    <row r="1393" spans="1:2" x14ac:dyDescent="0.35">
      <c r="A1393" s="7">
        <v>42909</v>
      </c>
      <c r="B1393">
        <v>3.3336000000000001</v>
      </c>
    </row>
    <row r="1394" spans="1:2" x14ac:dyDescent="0.35">
      <c r="A1394" s="7">
        <v>42908</v>
      </c>
      <c r="B1394">
        <v>3.3355999999999999</v>
      </c>
    </row>
    <row r="1395" spans="1:2" x14ac:dyDescent="0.35">
      <c r="A1395" s="7">
        <v>42907</v>
      </c>
      <c r="B1395">
        <v>3.3241000000000001</v>
      </c>
    </row>
    <row r="1396" spans="1:2" x14ac:dyDescent="0.35">
      <c r="A1396" s="7">
        <v>42906</v>
      </c>
      <c r="B1396">
        <v>3.3138999999999998</v>
      </c>
    </row>
    <row r="1397" spans="1:2" x14ac:dyDescent="0.35">
      <c r="A1397" s="7">
        <v>42905</v>
      </c>
      <c r="B1397">
        <v>3.2968999999999999</v>
      </c>
    </row>
    <row r="1398" spans="1:2" x14ac:dyDescent="0.35">
      <c r="A1398" s="7">
        <v>42902</v>
      </c>
      <c r="B1398">
        <v>3.2886000000000002</v>
      </c>
    </row>
    <row r="1399" spans="1:2" x14ac:dyDescent="0.35">
      <c r="A1399" s="7">
        <v>42900</v>
      </c>
      <c r="B1399">
        <v>3.2829999999999999</v>
      </c>
    </row>
    <row r="1400" spans="1:2" x14ac:dyDescent="0.35">
      <c r="A1400" s="7">
        <v>42899</v>
      </c>
      <c r="B1400">
        <v>3.3201999999999998</v>
      </c>
    </row>
    <row r="1401" spans="1:2" x14ac:dyDescent="0.35">
      <c r="A1401" s="7">
        <v>42898</v>
      </c>
      <c r="B1401">
        <v>3.298</v>
      </c>
    </row>
    <row r="1402" spans="1:2" x14ac:dyDescent="0.35">
      <c r="A1402" s="7">
        <v>42895</v>
      </c>
      <c r="B1402">
        <v>3.2734000000000001</v>
      </c>
    </row>
    <row r="1403" spans="1:2" x14ac:dyDescent="0.35">
      <c r="A1403" s="7">
        <v>42894</v>
      </c>
      <c r="B1403">
        <v>3.2831999999999999</v>
      </c>
    </row>
    <row r="1404" spans="1:2" x14ac:dyDescent="0.35">
      <c r="A1404" s="7">
        <v>42893</v>
      </c>
      <c r="B1404">
        <v>3.2740999999999998</v>
      </c>
    </row>
    <row r="1405" spans="1:2" x14ac:dyDescent="0.35">
      <c r="A1405" s="7">
        <v>42892</v>
      </c>
      <c r="B1405">
        <v>3.2810999999999999</v>
      </c>
    </row>
    <row r="1406" spans="1:2" x14ac:dyDescent="0.35">
      <c r="A1406" s="7">
        <v>42891</v>
      </c>
      <c r="B1406">
        <v>3.2814000000000001</v>
      </c>
    </row>
    <row r="1407" spans="1:2" x14ac:dyDescent="0.35">
      <c r="A1407" s="7">
        <v>42888</v>
      </c>
      <c r="B1407">
        <v>3.2395</v>
      </c>
    </row>
    <row r="1408" spans="1:2" x14ac:dyDescent="0.35">
      <c r="A1408" s="7">
        <v>42887</v>
      </c>
      <c r="B1408">
        <v>3.2301000000000002</v>
      </c>
    </row>
    <row r="1409" spans="1:2" x14ac:dyDescent="0.35">
      <c r="A1409" s="7">
        <v>42886</v>
      </c>
      <c r="B1409">
        <v>3.2431000000000001</v>
      </c>
    </row>
    <row r="1410" spans="1:2" x14ac:dyDescent="0.35">
      <c r="A1410" s="7">
        <v>42885</v>
      </c>
      <c r="B1410">
        <v>3.2652999999999999</v>
      </c>
    </row>
    <row r="1411" spans="1:2" x14ac:dyDescent="0.35">
      <c r="A1411" s="7">
        <v>42884</v>
      </c>
      <c r="B1411">
        <v>3.2703000000000002</v>
      </c>
    </row>
    <row r="1412" spans="1:2" x14ac:dyDescent="0.35">
      <c r="A1412" s="7">
        <v>42881</v>
      </c>
      <c r="B1412">
        <v>3.2608000000000001</v>
      </c>
    </row>
    <row r="1413" spans="1:2" x14ac:dyDescent="0.35">
      <c r="A1413" s="7">
        <v>42880</v>
      </c>
      <c r="B1413">
        <v>3.2818000000000001</v>
      </c>
    </row>
    <row r="1414" spans="1:2" x14ac:dyDescent="0.35">
      <c r="A1414" s="7">
        <v>42879</v>
      </c>
      <c r="B1414">
        <v>3.2623000000000002</v>
      </c>
    </row>
    <row r="1415" spans="1:2" x14ac:dyDescent="0.35">
      <c r="A1415" s="7">
        <v>42878</v>
      </c>
      <c r="B1415">
        <v>3.2648000000000001</v>
      </c>
    </row>
    <row r="1416" spans="1:2" x14ac:dyDescent="0.35">
      <c r="A1416" s="7">
        <v>42877</v>
      </c>
      <c r="B1416">
        <v>3.2856999999999998</v>
      </c>
    </row>
    <row r="1417" spans="1:2" x14ac:dyDescent="0.35">
      <c r="A1417" s="7">
        <v>42874</v>
      </c>
      <c r="B1417">
        <v>3.2871999999999999</v>
      </c>
    </row>
    <row r="1418" spans="1:2" x14ac:dyDescent="0.35">
      <c r="A1418" s="7">
        <v>42873</v>
      </c>
      <c r="B1418">
        <v>3.3755999999999999</v>
      </c>
    </row>
    <row r="1419" spans="1:2" x14ac:dyDescent="0.35">
      <c r="A1419" s="7">
        <v>42872</v>
      </c>
      <c r="B1419">
        <v>3.1070000000000002</v>
      </c>
    </row>
    <row r="1420" spans="1:2" x14ac:dyDescent="0.35">
      <c r="A1420" s="7">
        <v>42871</v>
      </c>
      <c r="B1420">
        <v>3.0918000000000001</v>
      </c>
    </row>
    <row r="1421" spans="1:2" x14ac:dyDescent="0.35">
      <c r="A1421" s="7">
        <v>42870</v>
      </c>
      <c r="B1421">
        <v>3.1004999999999998</v>
      </c>
    </row>
    <row r="1422" spans="1:2" x14ac:dyDescent="0.35">
      <c r="A1422" s="7">
        <v>42867</v>
      </c>
      <c r="B1422">
        <v>3.1284000000000001</v>
      </c>
    </row>
    <row r="1423" spans="1:2" x14ac:dyDescent="0.35">
      <c r="A1423" s="7">
        <v>42866</v>
      </c>
      <c r="B1423">
        <v>3.1553</v>
      </c>
    </row>
    <row r="1424" spans="1:2" x14ac:dyDescent="0.35">
      <c r="A1424" s="7">
        <v>42865</v>
      </c>
      <c r="B1424">
        <v>3.16</v>
      </c>
    </row>
    <row r="1425" spans="1:2" x14ac:dyDescent="0.35">
      <c r="A1425" s="7">
        <v>42864</v>
      </c>
      <c r="B1425">
        <v>3.1850999999999998</v>
      </c>
    </row>
    <row r="1426" spans="1:2" x14ac:dyDescent="0.35">
      <c r="A1426" s="7">
        <v>42863</v>
      </c>
      <c r="B1426">
        <v>3.1932</v>
      </c>
    </row>
    <row r="1427" spans="1:2" x14ac:dyDescent="0.35">
      <c r="A1427" s="7">
        <v>42860</v>
      </c>
      <c r="B1427">
        <v>3.1758000000000002</v>
      </c>
    </row>
    <row r="1428" spans="1:2" x14ac:dyDescent="0.35">
      <c r="A1428" s="7">
        <v>42859</v>
      </c>
      <c r="B1428">
        <v>3.1774</v>
      </c>
    </row>
    <row r="1429" spans="1:2" x14ac:dyDescent="0.35">
      <c r="A1429" s="7">
        <v>42858</v>
      </c>
      <c r="B1429">
        <v>3.1482999999999999</v>
      </c>
    </row>
    <row r="1430" spans="1:2" x14ac:dyDescent="0.35">
      <c r="A1430" s="7">
        <v>42857</v>
      </c>
      <c r="B1430">
        <v>3.1718000000000002</v>
      </c>
    </row>
    <row r="1431" spans="1:2" x14ac:dyDescent="0.35">
      <c r="A1431" s="7">
        <v>42853</v>
      </c>
      <c r="B1431">
        <v>3.1978</v>
      </c>
    </row>
    <row r="1432" spans="1:2" x14ac:dyDescent="0.35">
      <c r="A1432" s="7">
        <v>42852</v>
      </c>
      <c r="B1432">
        <v>3.1757</v>
      </c>
    </row>
    <row r="1433" spans="1:2" x14ac:dyDescent="0.35">
      <c r="A1433" s="7">
        <v>42851</v>
      </c>
      <c r="B1433">
        <v>3.1840999999999999</v>
      </c>
    </row>
    <row r="1434" spans="1:2" x14ac:dyDescent="0.35">
      <c r="A1434" s="7">
        <v>42850</v>
      </c>
      <c r="B1434">
        <v>3.1570999999999998</v>
      </c>
    </row>
    <row r="1435" spans="1:2" x14ac:dyDescent="0.35">
      <c r="A1435" s="7">
        <v>42849</v>
      </c>
      <c r="B1435">
        <v>3.1244999999999998</v>
      </c>
    </row>
    <row r="1436" spans="1:2" x14ac:dyDescent="0.35">
      <c r="A1436" s="7">
        <v>42845</v>
      </c>
      <c r="B1436">
        <v>3.1446999999999998</v>
      </c>
    </row>
    <row r="1437" spans="1:2" x14ac:dyDescent="0.35">
      <c r="A1437" s="7">
        <v>42844</v>
      </c>
      <c r="B1437">
        <v>3.1288</v>
      </c>
    </row>
    <row r="1438" spans="1:2" x14ac:dyDescent="0.35">
      <c r="A1438" s="7">
        <v>42843</v>
      </c>
      <c r="B1438">
        <v>3.0952000000000002</v>
      </c>
    </row>
    <row r="1439" spans="1:2" x14ac:dyDescent="0.35">
      <c r="A1439" s="7">
        <v>42842</v>
      </c>
      <c r="B1439">
        <v>3.1030000000000002</v>
      </c>
    </row>
    <row r="1440" spans="1:2" x14ac:dyDescent="0.35">
      <c r="A1440" s="7">
        <v>42838</v>
      </c>
      <c r="B1440">
        <v>3.1263000000000001</v>
      </c>
    </row>
    <row r="1441" spans="1:2" x14ac:dyDescent="0.35">
      <c r="A1441" s="7">
        <v>42837</v>
      </c>
      <c r="B1441">
        <v>3.1457000000000002</v>
      </c>
    </row>
    <row r="1442" spans="1:2" x14ac:dyDescent="0.35">
      <c r="A1442" s="7">
        <v>42836</v>
      </c>
      <c r="B1442">
        <v>3.1417999999999999</v>
      </c>
    </row>
    <row r="1443" spans="1:2" x14ac:dyDescent="0.35">
      <c r="A1443" s="7">
        <v>42835</v>
      </c>
      <c r="B1443">
        <v>3.1402999999999999</v>
      </c>
    </row>
    <row r="1444" spans="1:2" x14ac:dyDescent="0.35">
      <c r="A1444" s="7">
        <v>42832</v>
      </c>
      <c r="B1444">
        <v>3.1295999999999999</v>
      </c>
    </row>
    <row r="1445" spans="1:2" x14ac:dyDescent="0.35">
      <c r="A1445" s="7">
        <v>42831</v>
      </c>
      <c r="B1445">
        <v>3.1154000000000002</v>
      </c>
    </row>
    <row r="1446" spans="1:2" x14ac:dyDescent="0.35">
      <c r="A1446" s="7">
        <v>42830</v>
      </c>
      <c r="B1446">
        <v>3.0916999999999999</v>
      </c>
    </row>
    <row r="1447" spans="1:2" x14ac:dyDescent="0.35">
      <c r="A1447" s="7">
        <v>42829</v>
      </c>
      <c r="B1447">
        <v>3.1225000000000001</v>
      </c>
    </row>
    <row r="1448" spans="1:2" x14ac:dyDescent="0.35">
      <c r="A1448" s="7">
        <v>42828</v>
      </c>
      <c r="B1448">
        <v>3.1160999999999999</v>
      </c>
    </row>
    <row r="1449" spans="1:2" x14ac:dyDescent="0.35">
      <c r="A1449" s="7">
        <v>42825</v>
      </c>
      <c r="B1449">
        <v>3.1678000000000002</v>
      </c>
    </row>
    <row r="1450" spans="1:2" x14ac:dyDescent="0.35">
      <c r="A1450" s="7">
        <v>42824</v>
      </c>
      <c r="B1450">
        <v>3.1240999999999999</v>
      </c>
    </row>
    <row r="1451" spans="1:2" x14ac:dyDescent="0.35">
      <c r="A1451" s="7">
        <v>42823</v>
      </c>
      <c r="B1451">
        <v>3.1223000000000001</v>
      </c>
    </row>
    <row r="1452" spans="1:2" x14ac:dyDescent="0.35">
      <c r="A1452" s="7">
        <v>42822</v>
      </c>
      <c r="B1452">
        <v>3.1297000000000001</v>
      </c>
    </row>
    <row r="1453" spans="1:2" x14ac:dyDescent="0.35">
      <c r="A1453" s="7">
        <v>42821</v>
      </c>
      <c r="B1453">
        <v>3.125</v>
      </c>
    </row>
    <row r="1454" spans="1:2" x14ac:dyDescent="0.35">
      <c r="A1454" s="7">
        <v>42818</v>
      </c>
      <c r="B1454">
        <v>3.1276000000000002</v>
      </c>
    </row>
    <row r="1455" spans="1:2" x14ac:dyDescent="0.35">
      <c r="A1455" s="7">
        <v>42817</v>
      </c>
      <c r="B1455">
        <v>3.1242000000000001</v>
      </c>
    </row>
    <row r="1456" spans="1:2" x14ac:dyDescent="0.35">
      <c r="A1456" s="7">
        <v>42816</v>
      </c>
      <c r="B1456">
        <v>3.0933000000000002</v>
      </c>
    </row>
    <row r="1457" spans="1:2" x14ac:dyDescent="0.35">
      <c r="A1457" s="7">
        <v>42815</v>
      </c>
      <c r="B1457">
        <v>3.0758999999999999</v>
      </c>
    </row>
    <row r="1458" spans="1:2" x14ac:dyDescent="0.35">
      <c r="A1458" s="7">
        <v>42814</v>
      </c>
      <c r="B1458">
        <v>3.0891999999999999</v>
      </c>
    </row>
    <row r="1459" spans="1:2" x14ac:dyDescent="0.35">
      <c r="A1459" s="7">
        <v>42811</v>
      </c>
      <c r="B1459">
        <v>3.1069</v>
      </c>
    </row>
    <row r="1460" spans="1:2" x14ac:dyDescent="0.35">
      <c r="A1460" s="7">
        <v>42810</v>
      </c>
      <c r="B1460">
        <v>3.1074000000000002</v>
      </c>
    </row>
    <row r="1461" spans="1:2" x14ac:dyDescent="0.35">
      <c r="A1461" s="7">
        <v>42809</v>
      </c>
      <c r="B1461">
        <v>3.1623000000000001</v>
      </c>
    </row>
    <row r="1462" spans="1:2" x14ac:dyDescent="0.35">
      <c r="A1462" s="7">
        <v>42808</v>
      </c>
      <c r="B1462">
        <v>3.1633</v>
      </c>
    </row>
    <row r="1463" spans="1:2" x14ac:dyDescent="0.35">
      <c r="A1463" s="7">
        <v>42807</v>
      </c>
      <c r="B1463">
        <v>3.1535000000000002</v>
      </c>
    </row>
    <row r="1464" spans="1:2" x14ac:dyDescent="0.35">
      <c r="A1464" s="7">
        <v>42804</v>
      </c>
      <c r="B1464">
        <v>3.1617000000000002</v>
      </c>
    </row>
    <row r="1465" spans="1:2" x14ac:dyDescent="0.35">
      <c r="A1465" s="7">
        <v>42803</v>
      </c>
      <c r="B1465">
        <v>3.1728999999999998</v>
      </c>
    </row>
    <row r="1466" spans="1:2" x14ac:dyDescent="0.35">
      <c r="A1466" s="7">
        <v>42802</v>
      </c>
      <c r="B1466">
        <v>3.1471</v>
      </c>
    </row>
    <row r="1467" spans="1:2" x14ac:dyDescent="0.35">
      <c r="A1467" s="7">
        <v>42801</v>
      </c>
      <c r="B1467">
        <v>3.1179000000000001</v>
      </c>
    </row>
    <row r="1468" spans="1:2" x14ac:dyDescent="0.35">
      <c r="A1468" s="7">
        <v>42800</v>
      </c>
      <c r="B1468">
        <v>3.1105</v>
      </c>
    </row>
    <row r="1469" spans="1:2" x14ac:dyDescent="0.35">
      <c r="A1469" s="7">
        <v>42797</v>
      </c>
      <c r="B1469">
        <v>3.1358000000000001</v>
      </c>
    </row>
    <row r="1470" spans="1:2" x14ac:dyDescent="0.35">
      <c r="A1470" s="7">
        <v>42796</v>
      </c>
      <c r="B1470">
        <v>3.1132</v>
      </c>
    </row>
    <row r="1471" spans="1:2" x14ac:dyDescent="0.35">
      <c r="A1471" s="7">
        <v>42795</v>
      </c>
      <c r="B1471">
        <v>3.097</v>
      </c>
    </row>
    <row r="1472" spans="1:2" x14ac:dyDescent="0.35">
      <c r="A1472" s="7">
        <v>42790</v>
      </c>
      <c r="B1472">
        <v>3.0987</v>
      </c>
    </row>
    <row r="1473" spans="1:2" x14ac:dyDescent="0.35">
      <c r="A1473" s="7">
        <v>42789</v>
      </c>
      <c r="B1473">
        <v>3.0632000000000001</v>
      </c>
    </row>
    <row r="1474" spans="1:2" x14ac:dyDescent="0.35">
      <c r="A1474" s="7">
        <v>42788</v>
      </c>
      <c r="B1474">
        <v>3.0817999999999999</v>
      </c>
    </row>
    <row r="1475" spans="1:2" x14ac:dyDescent="0.35">
      <c r="A1475" s="7">
        <v>42787</v>
      </c>
      <c r="B1475">
        <v>3.0964</v>
      </c>
    </row>
    <row r="1476" spans="1:2" x14ac:dyDescent="0.35">
      <c r="A1476" s="7">
        <v>42786</v>
      </c>
      <c r="B1476">
        <v>3.0912000000000002</v>
      </c>
    </row>
    <row r="1477" spans="1:2" x14ac:dyDescent="0.35">
      <c r="A1477" s="7">
        <v>42783</v>
      </c>
      <c r="B1477">
        <v>3.0943999999999998</v>
      </c>
    </row>
    <row r="1478" spans="1:2" x14ac:dyDescent="0.35">
      <c r="A1478" s="7">
        <v>42782</v>
      </c>
      <c r="B1478">
        <v>3.0503999999999998</v>
      </c>
    </row>
    <row r="1479" spans="1:2" x14ac:dyDescent="0.35">
      <c r="A1479" s="7">
        <v>42781</v>
      </c>
      <c r="B1479">
        <v>3.0773000000000001</v>
      </c>
    </row>
    <row r="1480" spans="1:2" x14ac:dyDescent="0.35">
      <c r="A1480" s="7">
        <v>42780</v>
      </c>
      <c r="B1480">
        <v>3.0998000000000001</v>
      </c>
    </row>
    <row r="1481" spans="1:2" x14ac:dyDescent="0.35">
      <c r="A1481" s="7">
        <v>42779</v>
      </c>
      <c r="B1481">
        <v>3.1168999999999998</v>
      </c>
    </row>
    <row r="1482" spans="1:2" x14ac:dyDescent="0.35">
      <c r="A1482" s="7">
        <v>42776</v>
      </c>
      <c r="B1482">
        <v>3.1149</v>
      </c>
    </row>
    <row r="1483" spans="1:2" x14ac:dyDescent="0.35">
      <c r="A1483" s="7">
        <v>42775</v>
      </c>
      <c r="B1483">
        <v>3.1179000000000001</v>
      </c>
    </row>
    <row r="1484" spans="1:2" x14ac:dyDescent="0.35">
      <c r="A1484" s="7">
        <v>42774</v>
      </c>
      <c r="B1484">
        <v>3.1248</v>
      </c>
    </row>
    <row r="1485" spans="1:2" x14ac:dyDescent="0.35">
      <c r="A1485" s="7">
        <v>42773</v>
      </c>
      <c r="B1485">
        <v>3.1297999999999999</v>
      </c>
    </row>
    <row r="1486" spans="1:2" x14ac:dyDescent="0.35">
      <c r="A1486" s="7">
        <v>42772</v>
      </c>
      <c r="B1486">
        <v>3.1173000000000002</v>
      </c>
    </row>
    <row r="1487" spans="1:2" x14ac:dyDescent="0.35">
      <c r="A1487" s="7">
        <v>42769</v>
      </c>
      <c r="B1487">
        <v>3.1234999999999999</v>
      </c>
    </row>
    <row r="1488" spans="1:2" x14ac:dyDescent="0.35">
      <c r="A1488" s="7">
        <v>42768</v>
      </c>
      <c r="B1488">
        <v>3.1190000000000002</v>
      </c>
    </row>
    <row r="1489" spans="1:2" x14ac:dyDescent="0.35">
      <c r="A1489" s="7">
        <v>42767</v>
      </c>
      <c r="B1489">
        <v>3.1473</v>
      </c>
    </row>
    <row r="1490" spans="1:2" x14ac:dyDescent="0.35">
      <c r="A1490" s="7">
        <v>42766</v>
      </c>
      <c r="B1490">
        <v>3.1263999999999998</v>
      </c>
    </row>
    <row r="1491" spans="1:2" x14ac:dyDescent="0.35">
      <c r="A1491" s="7">
        <v>42765</v>
      </c>
      <c r="B1491">
        <v>3.1309999999999998</v>
      </c>
    </row>
    <row r="1492" spans="1:2" x14ac:dyDescent="0.35">
      <c r="A1492" s="7">
        <v>42762</v>
      </c>
      <c r="B1492">
        <v>3.1589999999999998</v>
      </c>
    </row>
    <row r="1493" spans="1:2" x14ac:dyDescent="0.35">
      <c r="A1493" s="7">
        <v>42761</v>
      </c>
      <c r="B1493">
        <v>3.1798000000000002</v>
      </c>
    </row>
    <row r="1494" spans="1:2" x14ac:dyDescent="0.35">
      <c r="A1494" s="7">
        <v>42760</v>
      </c>
      <c r="B1494">
        <v>3.1678999999999999</v>
      </c>
    </row>
    <row r="1495" spans="1:2" x14ac:dyDescent="0.35">
      <c r="A1495" s="7">
        <v>42759</v>
      </c>
      <c r="B1495">
        <v>3.1642999999999999</v>
      </c>
    </row>
    <row r="1496" spans="1:2" x14ac:dyDescent="0.35">
      <c r="A1496" s="7">
        <v>42758</v>
      </c>
      <c r="B1496">
        <v>3.1602999999999999</v>
      </c>
    </row>
    <row r="1497" spans="1:2" x14ac:dyDescent="0.35">
      <c r="A1497" s="7">
        <v>42755</v>
      </c>
      <c r="B1497">
        <v>3.1911999999999998</v>
      </c>
    </row>
    <row r="1498" spans="1:2" x14ac:dyDescent="0.35">
      <c r="A1498" s="7">
        <v>42754</v>
      </c>
      <c r="B1498">
        <v>3.2107000000000001</v>
      </c>
    </row>
    <row r="1499" spans="1:2" x14ac:dyDescent="0.35">
      <c r="A1499" s="7">
        <v>42753</v>
      </c>
      <c r="B1499">
        <v>3.2204999999999999</v>
      </c>
    </row>
    <row r="1500" spans="1:2" x14ac:dyDescent="0.35">
      <c r="A1500" s="7">
        <v>42752</v>
      </c>
      <c r="B1500">
        <v>3.2094</v>
      </c>
    </row>
    <row r="1501" spans="1:2" x14ac:dyDescent="0.35">
      <c r="A1501" s="7">
        <v>42751</v>
      </c>
      <c r="B1501">
        <v>3.2227999999999999</v>
      </c>
    </row>
    <row r="1502" spans="1:2" x14ac:dyDescent="0.35">
      <c r="A1502" s="7">
        <v>42748</v>
      </c>
      <c r="B1502">
        <v>3.2027999999999999</v>
      </c>
    </row>
    <row r="1503" spans="1:2" x14ac:dyDescent="0.35">
      <c r="A1503" s="7">
        <v>42747</v>
      </c>
      <c r="B1503">
        <v>3.1655000000000002</v>
      </c>
    </row>
    <row r="1504" spans="1:2" x14ac:dyDescent="0.35">
      <c r="A1504" s="7">
        <v>42746</v>
      </c>
      <c r="B1504">
        <v>3.2147999999999999</v>
      </c>
    </row>
    <row r="1505" spans="1:2" x14ac:dyDescent="0.35">
      <c r="A1505" s="7">
        <v>42745</v>
      </c>
      <c r="B1505">
        <v>3.1911999999999998</v>
      </c>
    </row>
    <row r="1506" spans="1:2" x14ac:dyDescent="0.35">
      <c r="A1506" s="7">
        <v>42744</v>
      </c>
      <c r="B1506">
        <v>3.2090999999999998</v>
      </c>
    </row>
    <row r="1507" spans="1:2" x14ac:dyDescent="0.35">
      <c r="A1507" s="7">
        <v>42741</v>
      </c>
      <c r="B1507">
        <v>3.2050999999999998</v>
      </c>
    </row>
    <row r="1508" spans="1:2" x14ac:dyDescent="0.35">
      <c r="A1508" s="7">
        <v>42740</v>
      </c>
      <c r="B1508">
        <v>3.2122999999999999</v>
      </c>
    </row>
    <row r="1509" spans="1:2" x14ac:dyDescent="0.35">
      <c r="A1509" s="7">
        <v>42739</v>
      </c>
      <c r="B1509">
        <v>3.2326999999999999</v>
      </c>
    </row>
    <row r="1510" spans="1:2" x14ac:dyDescent="0.35">
      <c r="A1510" s="7">
        <v>42738</v>
      </c>
      <c r="B1510">
        <v>3.2625999999999999</v>
      </c>
    </row>
    <row r="1511" spans="1:2" x14ac:dyDescent="0.35">
      <c r="A1511" s="7">
        <v>42737</v>
      </c>
      <c r="B1511">
        <v>3.2723</v>
      </c>
    </row>
    <row r="1512" spans="1:2" x14ac:dyDescent="0.35">
      <c r="A1512" s="7">
        <v>42734</v>
      </c>
      <c r="B1512">
        <v>3.2585000000000002</v>
      </c>
    </row>
    <row r="1513" spans="1:2" x14ac:dyDescent="0.35">
      <c r="A1513" s="7">
        <v>42733</v>
      </c>
      <c r="B1513">
        <v>3.2585000000000002</v>
      </c>
    </row>
    <row r="1514" spans="1:2" x14ac:dyDescent="0.35">
      <c r="A1514" s="7">
        <v>42732</v>
      </c>
      <c r="B1514">
        <v>3.2768000000000002</v>
      </c>
    </row>
    <row r="1515" spans="1:2" x14ac:dyDescent="0.35">
      <c r="A1515" s="7">
        <v>42731</v>
      </c>
      <c r="B1515">
        <v>3.2770000000000001</v>
      </c>
    </row>
    <row r="1516" spans="1:2" x14ac:dyDescent="0.35">
      <c r="A1516" s="7">
        <v>42730</v>
      </c>
      <c r="B1516">
        <v>3.2694999999999999</v>
      </c>
    </row>
    <row r="1517" spans="1:2" x14ac:dyDescent="0.35">
      <c r="A1517" s="7">
        <v>42727</v>
      </c>
      <c r="B1517">
        <v>3.2690000000000001</v>
      </c>
    </row>
    <row r="1518" spans="1:2" x14ac:dyDescent="0.35">
      <c r="A1518" s="7">
        <v>42726</v>
      </c>
      <c r="B1518">
        <v>3.3296000000000001</v>
      </c>
    </row>
    <row r="1519" spans="1:2" x14ac:dyDescent="0.35">
      <c r="A1519" s="7">
        <v>42725</v>
      </c>
      <c r="B1519">
        <v>3.3290999999999999</v>
      </c>
    </row>
    <row r="1520" spans="1:2" x14ac:dyDescent="0.35">
      <c r="A1520" s="7">
        <v>42724</v>
      </c>
      <c r="B1520">
        <v>3.3580000000000001</v>
      </c>
    </row>
    <row r="1521" spans="1:2" x14ac:dyDescent="0.35">
      <c r="A1521" s="7">
        <v>42723</v>
      </c>
      <c r="B1521">
        <v>3.3772000000000002</v>
      </c>
    </row>
    <row r="1522" spans="1:2" x14ac:dyDescent="0.35">
      <c r="A1522" s="7">
        <v>42720</v>
      </c>
      <c r="B1522">
        <v>3.3706</v>
      </c>
    </row>
    <row r="1523" spans="1:2" x14ac:dyDescent="0.35">
      <c r="A1523" s="7">
        <v>42719</v>
      </c>
      <c r="B1523">
        <v>3.3824000000000001</v>
      </c>
    </row>
    <row r="1524" spans="1:2" x14ac:dyDescent="0.35">
      <c r="A1524" s="7">
        <v>42718</v>
      </c>
      <c r="B1524">
        <v>3.3096999999999999</v>
      </c>
    </row>
    <row r="1525" spans="1:2" x14ac:dyDescent="0.35">
      <c r="A1525" s="7">
        <v>42717</v>
      </c>
      <c r="B1525">
        <v>3.3334000000000001</v>
      </c>
    </row>
    <row r="1526" spans="1:2" x14ac:dyDescent="0.35">
      <c r="A1526" s="7">
        <v>42716</v>
      </c>
      <c r="B1526">
        <v>3.3691</v>
      </c>
    </row>
    <row r="1527" spans="1:2" x14ac:dyDescent="0.35">
      <c r="A1527" s="7">
        <v>42713</v>
      </c>
      <c r="B1527">
        <v>3.3852000000000002</v>
      </c>
    </row>
    <row r="1528" spans="1:2" x14ac:dyDescent="0.35">
      <c r="A1528" s="7">
        <v>42712</v>
      </c>
      <c r="B1528">
        <v>3.4001999999999999</v>
      </c>
    </row>
    <row r="1529" spans="1:2" x14ac:dyDescent="0.35">
      <c r="A1529" s="7">
        <v>42711</v>
      </c>
      <c r="B1529">
        <v>3.3889</v>
      </c>
    </row>
    <row r="1530" spans="1:2" x14ac:dyDescent="0.35">
      <c r="A1530" s="7">
        <v>42710</v>
      </c>
      <c r="B1530">
        <v>3.4348000000000001</v>
      </c>
    </row>
    <row r="1531" spans="1:2" x14ac:dyDescent="0.35">
      <c r="A1531" s="7">
        <v>42709</v>
      </c>
      <c r="B1531">
        <v>3.4592000000000001</v>
      </c>
    </row>
    <row r="1532" spans="1:2" x14ac:dyDescent="0.35">
      <c r="A1532" s="7">
        <v>42706</v>
      </c>
      <c r="B1532">
        <v>3.4643999999999999</v>
      </c>
    </row>
    <row r="1533" spans="1:2" x14ac:dyDescent="0.35">
      <c r="A1533" s="7">
        <v>42705</v>
      </c>
      <c r="B1533">
        <v>3.4356</v>
      </c>
    </row>
    <row r="1534" spans="1:2" x14ac:dyDescent="0.35">
      <c r="A1534" s="7">
        <v>42704</v>
      </c>
      <c r="B1534">
        <v>3.3961000000000001</v>
      </c>
    </row>
    <row r="1535" spans="1:2" x14ac:dyDescent="0.35">
      <c r="A1535" s="7">
        <v>42703</v>
      </c>
      <c r="B1535">
        <v>3.4054000000000002</v>
      </c>
    </row>
    <row r="1536" spans="1:2" x14ac:dyDescent="0.35">
      <c r="A1536" s="7">
        <v>42702</v>
      </c>
      <c r="B1536">
        <v>3.399</v>
      </c>
    </row>
    <row r="1537" spans="1:2" x14ac:dyDescent="0.35">
      <c r="A1537" s="7">
        <v>42699</v>
      </c>
      <c r="B1537">
        <v>3.4272999999999998</v>
      </c>
    </row>
    <row r="1538" spans="1:2" x14ac:dyDescent="0.35">
      <c r="A1538" s="7">
        <v>42698</v>
      </c>
      <c r="B1538">
        <v>3.3980999999999999</v>
      </c>
    </row>
    <row r="1539" spans="1:2" x14ac:dyDescent="0.35">
      <c r="A1539" s="7">
        <v>42697</v>
      </c>
      <c r="B1539">
        <v>3.3921000000000001</v>
      </c>
    </row>
    <row r="1540" spans="1:2" x14ac:dyDescent="0.35">
      <c r="A1540" s="7">
        <v>42696</v>
      </c>
      <c r="B1540">
        <v>3.347</v>
      </c>
    </row>
    <row r="1541" spans="1:2" x14ac:dyDescent="0.35">
      <c r="A1541" s="7">
        <v>42695</v>
      </c>
      <c r="B1541">
        <v>3.3511000000000002</v>
      </c>
    </row>
    <row r="1542" spans="1:2" x14ac:dyDescent="0.35">
      <c r="A1542" s="7">
        <v>42692</v>
      </c>
      <c r="B1542">
        <v>3.3910999999999998</v>
      </c>
    </row>
    <row r="1543" spans="1:2" x14ac:dyDescent="0.35">
      <c r="A1543" s="7">
        <v>42691</v>
      </c>
      <c r="B1543">
        <v>3.4045999999999998</v>
      </c>
    </row>
    <row r="1544" spans="1:2" x14ac:dyDescent="0.35">
      <c r="A1544" s="7">
        <v>42690</v>
      </c>
      <c r="B1544">
        <v>3.4177</v>
      </c>
    </row>
    <row r="1545" spans="1:2" x14ac:dyDescent="0.35">
      <c r="A1545" s="7">
        <v>42688</v>
      </c>
      <c r="B1545">
        <v>3.444</v>
      </c>
    </row>
    <row r="1546" spans="1:2" x14ac:dyDescent="0.35">
      <c r="A1546" s="7">
        <v>42685</v>
      </c>
      <c r="B1546">
        <v>3.4371</v>
      </c>
    </row>
    <row r="1547" spans="1:2" x14ac:dyDescent="0.35">
      <c r="A1547" s="7">
        <v>42684</v>
      </c>
      <c r="B1547">
        <v>3.3098000000000001</v>
      </c>
    </row>
    <row r="1548" spans="1:2" x14ac:dyDescent="0.35">
      <c r="A1548" s="7">
        <v>42683</v>
      </c>
      <c r="B1548">
        <v>3.2252000000000001</v>
      </c>
    </row>
    <row r="1549" spans="1:2" x14ac:dyDescent="0.35">
      <c r="A1549" s="7">
        <v>42682</v>
      </c>
      <c r="B1549">
        <v>3.2018</v>
      </c>
    </row>
    <row r="1550" spans="1:2" x14ac:dyDescent="0.35">
      <c r="A1550" s="7">
        <v>42681</v>
      </c>
      <c r="B1550">
        <v>3.2018</v>
      </c>
    </row>
    <row r="1551" spans="1:2" x14ac:dyDescent="0.35">
      <c r="A1551" s="7">
        <v>42678</v>
      </c>
      <c r="B1551">
        <v>3.2443</v>
      </c>
    </row>
    <row r="1552" spans="1:2" x14ac:dyDescent="0.35">
      <c r="A1552" s="7">
        <v>42677</v>
      </c>
      <c r="B1552">
        <v>3.2303999999999999</v>
      </c>
    </row>
    <row r="1553" spans="1:2" x14ac:dyDescent="0.35">
      <c r="A1553" s="7">
        <v>42675</v>
      </c>
      <c r="B1553">
        <v>3.2046999999999999</v>
      </c>
    </row>
    <row r="1554" spans="1:2" x14ac:dyDescent="0.35">
      <c r="A1554" s="7">
        <v>42674</v>
      </c>
      <c r="B1554">
        <v>3.1804999999999999</v>
      </c>
    </row>
    <row r="1555" spans="1:2" x14ac:dyDescent="0.35">
      <c r="A1555" s="7">
        <v>42671</v>
      </c>
      <c r="B1555">
        <v>3.1808999999999998</v>
      </c>
    </row>
    <row r="1556" spans="1:2" x14ac:dyDescent="0.35">
      <c r="A1556" s="7">
        <v>42670</v>
      </c>
      <c r="B1556">
        <v>3.1423000000000001</v>
      </c>
    </row>
    <row r="1557" spans="1:2" x14ac:dyDescent="0.35">
      <c r="A1557" s="7">
        <v>42669</v>
      </c>
      <c r="B1557">
        <v>3.1213000000000002</v>
      </c>
    </row>
    <row r="1558" spans="1:2" x14ac:dyDescent="0.35">
      <c r="A1558" s="7">
        <v>42668</v>
      </c>
      <c r="B1558">
        <v>3.1187</v>
      </c>
    </row>
    <row r="1559" spans="1:2" x14ac:dyDescent="0.35">
      <c r="A1559" s="7">
        <v>42667</v>
      </c>
      <c r="B1559">
        <v>3.1305000000000001</v>
      </c>
    </row>
    <row r="1560" spans="1:2" x14ac:dyDescent="0.35">
      <c r="A1560" s="7">
        <v>42664</v>
      </c>
      <c r="B1560">
        <v>3.1587000000000001</v>
      </c>
    </row>
    <row r="1561" spans="1:2" x14ac:dyDescent="0.35">
      <c r="A1561" s="7">
        <v>42663</v>
      </c>
      <c r="B1561">
        <v>3.1598999999999999</v>
      </c>
    </row>
    <row r="1562" spans="1:2" x14ac:dyDescent="0.35">
      <c r="A1562" s="7">
        <v>42662</v>
      </c>
      <c r="B1562">
        <v>3.1793999999999998</v>
      </c>
    </row>
    <row r="1563" spans="1:2" x14ac:dyDescent="0.35">
      <c r="A1563" s="7">
        <v>42661</v>
      </c>
      <c r="B1563">
        <v>3.1867999999999999</v>
      </c>
    </row>
    <row r="1564" spans="1:2" x14ac:dyDescent="0.35">
      <c r="A1564" s="7">
        <v>42660</v>
      </c>
      <c r="B1564">
        <v>3.1957</v>
      </c>
    </row>
    <row r="1565" spans="1:2" x14ac:dyDescent="0.35">
      <c r="A1565" s="7">
        <v>42657</v>
      </c>
      <c r="B1565">
        <v>3.1858</v>
      </c>
    </row>
    <row r="1566" spans="1:2" x14ac:dyDescent="0.35">
      <c r="A1566" s="7">
        <v>42656</v>
      </c>
      <c r="B1566">
        <v>3.2081</v>
      </c>
    </row>
    <row r="1567" spans="1:2" x14ac:dyDescent="0.35">
      <c r="A1567" s="7">
        <v>42654</v>
      </c>
      <c r="B1567">
        <v>3.2130000000000001</v>
      </c>
    </row>
    <row r="1568" spans="1:2" x14ac:dyDescent="0.35">
      <c r="A1568" s="7">
        <v>42653</v>
      </c>
      <c r="B1568">
        <v>3.2119</v>
      </c>
    </row>
    <row r="1569" spans="1:2" x14ac:dyDescent="0.35">
      <c r="A1569" s="7">
        <v>42650</v>
      </c>
      <c r="B1569">
        <v>3.2128000000000001</v>
      </c>
    </row>
    <row r="1570" spans="1:2" x14ac:dyDescent="0.35">
      <c r="A1570" s="7">
        <v>42649</v>
      </c>
      <c r="B1570">
        <v>3.2303999999999999</v>
      </c>
    </row>
    <row r="1571" spans="1:2" x14ac:dyDescent="0.35">
      <c r="A1571" s="7">
        <v>42648</v>
      </c>
      <c r="B1571">
        <v>3.2353000000000001</v>
      </c>
    </row>
    <row r="1572" spans="1:2" x14ac:dyDescent="0.35">
      <c r="A1572" s="7">
        <v>42647</v>
      </c>
      <c r="B1572">
        <v>3.2197</v>
      </c>
    </row>
    <row r="1573" spans="1:2" x14ac:dyDescent="0.35">
      <c r="A1573" s="7">
        <v>42646</v>
      </c>
      <c r="B1573">
        <v>3.2332000000000001</v>
      </c>
    </row>
    <row r="1574" spans="1:2" x14ac:dyDescent="0.35">
      <c r="A1574" s="7">
        <v>42643</v>
      </c>
      <c r="B1574">
        <v>3.2456</v>
      </c>
    </row>
    <row r="1575" spans="1:2" x14ac:dyDescent="0.35">
      <c r="A1575" s="7">
        <v>42642</v>
      </c>
      <c r="B1575">
        <v>3.2229000000000001</v>
      </c>
    </row>
    <row r="1576" spans="1:2" x14ac:dyDescent="0.35">
      <c r="A1576" s="7">
        <v>42641</v>
      </c>
      <c r="B1576">
        <v>3.2469999999999999</v>
      </c>
    </row>
    <row r="1577" spans="1:2" x14ac:dyDescent="0.35">
      <c r="A1577" s="7">
        <v>42640</v>
      </c>
      <c r="B1577">
        <v>3.2351999999999999</v>
      </c>
    </row>
    <row r="1578" spans="1:2" x14ac:dyDescent="0.35">
      <c r="A1578" s="7">
        <v>42639</v>
      </c>
      <c r="B1578">
        <v>3.2393999999999998</v>
      </c>
    </row>
    <row r="1579" spans="1:2" x14ac:dyDescent="0.35">
      <c r="A1579" s="7">
        <v>42636</v>
      </c>
      <c r="B1579">
        <v>3.2235999999999998</v>
      </c>
    </row>
    <row r="1580" spans="1:2" x14ac:dyDescent="0.35">
      <c r="A1580" s="7">
        <v>42635</v>
      </c>
      <c r="B1580">
        <v>3.2008999999999999</v>
      </c>
    </row>
    <row r="1581" spans="1:2" x14ac:dyDescent="0.35">
      <c r="A1581" s="7">
        <v>42634</v>
      </c>
      <c r="B1581">
        <v>3.2402000000000002</v>
      </c>
    </row>
    <row r="1582" spans="1:2" x14ac:dyDescent="0.35">
      <c r="A1582" s="7">
        <v>42633</v>
      </c>
      <c r="B1582">
        <v>3.2534000000000001</v>
      </c>
    </row>
    <row r="1583" spans="1:2" x14ac:dyDescent="0.35">
      <c r="A1583" s="7">
        <v>42632</v>
      </c>
      <c r="B1583">
        <v>3.2629999999999999</v>
      </c>
    </row>
    <row r="1584" spans="1:2" x14ac:dyDescent="0.35">
      <c r="A1584" s="7">
        <v>42629</v>
      </c>
      <c r="B1584">
        <v>3.2997999999999998</v>
      </c>
    </row>
    <row r="1585" spans="1:2" x14ac:dyDescent="0.35">
      <c r="A1585" s="7">
        <v>42628</v>
      </c>
      <c r="B1585">
        <v>3.3319999999999999</v>
      </c>
    </row>
    <row r="1586" spans="1:2" x14ac:dyDescent="0.35">
      <c r="A1586" s="7">
        <v>42627</v>
      </c>
      <c r="B1586">
        <v>3.3256000000000001</v>
      </c>
    </row>
    <row r="1587" spans="1:2" x14ac:dyDescent="0.35">
      <c r="A1587" s="7">
        <v>42626</v>
      </c>
      <c r="B1587">
        <v>3.2966000000000002</v>
      </c>
    </row>
    <row r="1588" spans="1:2" x14ac:dyDescent="0.35">
      <c r="A1588" s="7">
        <v>42625</v>
      </c>
      <c r="B1588">
        <v>3.2848000000000002</v>
      </c>
    </row>
    <row r="1589" spans="1:2" x14ac:dyDescent="0.35">
      <c r="A1589" s="7">
        <v>42622</v>
      </c>
      <c r="B1589">
        <v>3.2631999999999999</v>
      </c>
    </row>
    <row r="1590" spans="1:2" x14ac:dyDescent="0.35">
      <c r="A1590" s="7">
        <v>42621</v>
      </c>
      <c r="B1590">
        <v>3.1928000000000001</v>
      </c>
    </row>
    <row r="1591" spans="1:2" x14ac:dyDescent="0.35">
      <c r="A1591" s="7">
        <v>42619</v>
      </c>
      <c r="B1591">
        <v>3.2446000000000002</v>
      </c>
    </row>
    <row r="1592" spans="1:2" x14ac:dyDescent="0.35">
      <c r="A1592" s="7">
        <v>42618</v>
      </c>
      <c r="B1592">
        <v>3.2715000000000001</v>
      </c>
    </row>
    <row r="1593" spans="1:2" x14ac:dyDescent="0.35">
      <c r="A1593" s="7">
        <v>42615</v>
      </c>
      <c r="B1593">
        <v>3.2425000000000002</v>
      </c>
    </row>
    <row r="1594" spans="1:2" x14ac:dyDescent="0.35">
      <c r="A1594" s="7">
        <v>42614</v>
      </c>
      <c r="B1594">
        <v>3.2465999999999999</v>
      </c>
    </row>
    <row r="1595" spans="1:2" x14ac:dyDescent="0.35">
      <c r="A1595" s="7">
        <v>42613</v>
      </c>
      <c r="B1595">
        <v>3.2397</v>
      </c>
    </row>
    <row r="1596" spans="1:2" x14ac:dyDescent="0.35">
      <c r="A1596" s="7">
        <v>42612</v>
      </c>
      <c r="B1596">
        <v>3.2519</v>
      </c>
    </row>
    <row r="1597" spans="1:2" x14ac:dyDescent="0.35">
      <c r="A1597" s="7">
        <v>42611</v>
      </c>
      <c r="B1597">
        <v>3.2606999999999999</v>
      </c>
    </row>
    <row r="1598" spans="1:2" x14ac:dyDescent="0.35">
      <c r="A1598" s="7">
        <v>42608</v>
      </c>
      <c r="B1598">
        <v>3.2147000000000001</v>
      </c>
    </row>
    <row r="1599" spans="1:2" x14ac:dyDescent="0.35">
      <c r="A1599" s="7">
        <v>42607</v>
      </c>
      <c r="B1599">
        <v>3.2313000000000001</v>
      </c>
    </row>
    <row r="1600" spans="1:2" x14ac:dyDescent="0.35">
      <c r="A1600" s="7">
        <v>42606</v>
      </c>
      <c r="B1600">
        <v>3.2366000000000001</v>
      </c>
    </row>
    <row r="1601" spans="1:2" x14ac:dyDescent="0.35">
      <c r="A1601" s="7">
        <v>42605</v>
      </c>
      <c r="B1601">
        <v>3.2046999999999999</v>
      </c>
    </row>
    <row r="1602" spans="1:2" x14ac:dyDescent="0.35">
      <c r="A1602" s="7">
        <v>42604</v>
      </c>
      <c r="B1602">
        <v>3.2157</v>
      </c>
    </row>
    <row r="1603" spans="1:2" x14ac:dyDescent="0.35">
      <c r="A1603" s="7">
        <v>42601</v>
      </c>
      <c r="B1603">
        <v>3.2261000000000002</v>
      </c>
    </row>
    <row r="1604" spans="1:2" x14ac:dyDescent="0.35">
      <c r="A1604" s="7">
        <v>42600</v>
      </c>
      <c r="B1604">
        <v>3.2208999999999999</v>
      </c>
    </row>
    <row r="1605" spans="1:2" x14ac:dyDescent="0.35">
      <c r="A1605" s="7">
        <v>42599</v>
      </c>
      <c r="B1605">
        <v>3.2242000000000002</v>
      </c>
    </row>
    <row r="1606" spans="1:2" x14ac:dyDescent="0.35">
      <c r="A1606" s="7">
        <v>42598</v>
      </c>
      <c r="B1606">
        <v>3.1743000000000001</v>
      </c>
    </row>
    <row r="1607" spans="1:2" x14ac:dyDescent="0.35">
      <c r="A1607" s="7">
        <v>42597</v>
      </c>
      <c r="B1607">
        <v>3.1665999999999999</v>
      </c>
    </row>
    <row r="1608" spans="1:2" x14ac:dyDescent="0.35">
      <c r="A1608" s="7">
        <v>42594</v>
      </c>
      <c r="B1608">
        <v>3.1596000000000002</v>
      </c>
    </row>
    <row r="1609" spans="1:2" x14ac:dyDescent="0.35">
      <c r="A1609" s="7">
        <v>42593</v>
      </c>
      <c r="B1609">
        <v>3.1358000000000001</v>
      </c>
    </row>
    <row r="1610" spans="1:2" x14ac:dyDescent="0.35">
      <c r="A1610" s="7">
        <v>42592</v>
      </c>
      <c r="B1610">
        <v>3.1295999999999999</v>
      </c>
    </row>
    <row r="1611" spans="1:2" x14ac:dyDescent="0.35">
      <c r="A1611" s="7">
        <v>42591</v>
      </c>
      <c r="B1611">
        <v>3.1497000000000002</v>
      </c>
    </row>
    <row r="1612" spans="1:2" x14ac:dyDescent="0.35">
      <c r="A1612" s="7">
        <v>42590</v>
      </c>
      <c r="B1612">
        <v>3.1764999999999999</v>
      </c>
    </row>
    <row r="1613" spans="1:2" x14ac:dyDescent="0.35">
      <c r="A1613" s="7">
        <v>42587</v>
      </c>
      <c r="B1613">
        <v>3.1852999999999998</v>
      </c>
    </row>
    <row r="1614" spans="1:2" x14ac:dyDescent="0.35">
      <c r="A1614" s="7">
        <v>42586</v>
      </c>
      <c r="B1614">
        <v>3.2176999999999998</v>
      </c>
    </row>
    <row r="1615" spans="1:2" x14ac:dyDescent="0.35">
      <c r="A1615" s="7">
        <v>42585</v>
      </c>
      <c r="B1615">
        <v>3.2726999999999999</v>
      </c>
    </row>
    <row r="1616" spans="1:2" x14ac:dyDescent="0.35">
      <c r="A1616" s="7">
        <v>42584</v>
      </c>
      <c r="B1616">
        <v>3.2484000000000002</v>
      </c>
    </row>
    <row r="1617" spans="1:2" x14ac:dyDescent="0.35">
      <c r="A1617" s="7">
        <v>42583</v>
      </c>
      <c r="B1617">
        <v>3.2656000000000001</v>
      </c>
    </row>
    <row r="1618" spans="1:2" x14ac:dyDescent="0.35">
      <c r="A1618" s="7">
        <v>42580</v>
      </c>
      <c r="B1618">
        <v>3.2383999999999999</v>
      </c>
    </row>
    <row r="1619" spans="1:2" x14ac:dyDescent="0.35">
      <c r="A1619" s="7">
        <v>42577</v>
      </c>
      <c r="B1619">
        <v>3.2784</v>
      </c>
    </row>
    <row r="1620" spans="1:2" x14ac:dyDescent="0.35">
      <c r="A1620" s="7">
        <v>42576</v>
      </c>
      <c r="B1620">
        <v>3.2812999999999999</v>
      </c>
    </row>
    <row r="1621" spans="1:2" x14ac:dyDescent="0.35">
      <c r="A1621" s="7">
        <v>42573</v>
      </c>
      <c r="B1621">
        <v>3.2848000000000002</v>
      </c>
    </row>
    <row r="1622" spans="1:2" x14ac:dyDescent="0.35">
      <c r="A1622" s="7">
        <v>42572</v>
      </c>
      <c r="B1622">
        <v>3.2578999999999998</v>
      </c>
    </row>
    <row r="1623" spans="1:2" x14ac:dyDescent="0.35">
      <c r="A1623" s="7">
        <v>42571</v>
      </c>
      <c r="B1623">
        <v>3.2505999999999999</v>
      </c>
    </row>
    <row r="1624" spans="1:2" x14ac:dyDescent="0.35">
      <c r="A1624" s="7">
        <v>42570</v>
      </c>
      <c r="B1624">
        <v>3.2795000000000001</v>
      </c>
    </row>
    <row r="1625" spans="1:2" x14ac:dyDescent="0.35">
      <c r="A1625" s="7">
        <v>42569</v>
      </c>
      <c r="B1625">
        <v>3.2627999999999999</v>
      </c>
    </row>
    <row r="1626" spans="1:2" x14ac:dyDescent="0.35">
      <c r="A1626" s="7">
        <v>42566</v>
      </c>
      <c r="B1626">
        <v>3.2650000000000001</v>
      </c>
    </row>
    <row r="1627" spans="1:2" x14ac:dyDescent="0.35">
      <c r="A1627" s="7">
        <v>42565</v>
      </c>
      <c r="B1627">
        <v>3.2305000000000001</v>
      </c>
    </row>
    <row r="1628" spans="1:2" x14ac:dyDescent="0.35">
      <c r="A1628" s="7">
        <v>42564</v>
      </c>
      <c r="B1628">
        <v>3.2890000000000001</v>
      </c>
    </row>
    <row r="1629" spans="1:2" x14ac:dyDescent="0.35">
      <c r="A1629" s="7">
        <v>42563</v>
      </c>
      <c r="B1629">
        <v>3.2744</v>
      </c>
    </row>
    <row r="1630" spans="1:2" x14ac:dyDescent="0.35">
      <c r="A1630" s="7">
        <v>42562</v>
      </c>
      <c r="B1630">
        <v>3.3025000000000002</v>
      </c>
    </row>
    <row r="1631" spans="1:2" x14ac:dyDescent="0.35">
      <c r="A1631" s="7">
        <v>42559</v>
      </c>
      <c r="B1631">
        <v>3.2961999999999998</v>
      </c>
    </row>
    <row r="1632" spans="1:2" x14ac:dyDescent="0.35">
      <c r="A1632" s="7">
        <v>42558</v>
      </c>
      <c r="B1632">
        <v>3.3382000000000001</v>
      </c>
    </row>
    <row r="1633" spans="1:2" x14ac:dyDescent="0.35">
      <c r="A1633" s="7">
        <v>42557</v>
      </c>
      <c r="B1633">
        <v>3.3235999999999999</v>
      </c>
    </row>
    <row r="1634" spans="1:2" x14ac:dyDescent="0.35">
      <c r="A1634" s="7">
        <v>42556</v>
      </c>
      <c r="B1634">
        <v>3.2898000000000001</v>
      </c>
    </row>
    <row r="1635" spans="1:2" x14ac:dyDescent="0.35">
      <c r="A1635" s="7">
        <v>42555</v>
      </c>
      <c r="B1635">
        <v>3.2473999999999998</v>
      </c>
    </row>
    <row r="1636" spans="1:2" x14ac:dyDescent="0.35">
      <c r="A1636" s="7">
        <v>42552</v>
      </c>
      <c r="B1636">
        <v>3.2292000000000001</v>
      </c>
    </row>
    <row r="1637" spans="1:2" x14ac:dyDescent="0.35">
      <c r="A1637" s="7">
        <v>42551</v>
      </c>
      <c r="B1637">
        <v>3.2092000000000001</v>
      </c>
    </row>
    <row r="1638" spans="1:2" x14ac:dyDescent="0.35">
      <c r="A1638" s="7">
        <v>42550</v>
      </c>
      <c r="B1638">
        <v>3.2429000000000001</v>
      </c>
    </row>
    <row r="1639" spans="1:2" x14ac:dyDescent="0.35">
      <c r="A1639" s="7">
        <v>42549</v>
      </c>
      <c r="B1639">
        <v>3.3260999999999998</v>
      </c>
    </row>
    <row r="1640" spans="1:2" x14ac:dyDescent="0.35">
      <c r="A1640" s="7">
        <v>42548</v>
      </c>
      <c r="B1640">
        <v>3.3927999999999998</v>
      </c>
    </row>
    <row r="1641" spans="1:2" x14ac:dyDescent="0.35">
      <c r="A1641" s="7">
        <v>42545</v>
      </c>
      <c r="B1641">
        <v>3.3765999999999998</v>
      </c>
    </row>
    <row r="1642" spans="1:2" x14ac:dyDescent="0.35">
      <c r="A1642" s="7">
        <v>42544</v>
      </c>
      <c r="B1642">
        <v>3.3527</v>
      </c>
    </row>
    <row r="1643" spans="1:2" x14ac:dyDescent="0.35">
      <c r="A1643" s="7">
        <v>42543</v>
      </c>
      <c r="B1643">
        <v>3.3877000000000002</v>
      </c>
    </row>
    <row r="1644" spans="1:2" x14ac:dyDescent="0.35">
      <c r="A1644" s="7">
        <v>42542</v>
      </c>
      <c r="B1644">
        <v>3.3891</v>
      </c>
    </row>
    <row r="1645" spans="1:2" x14ac:dyDescent="0.35">
      <c r="A1645" s="7">
        <v>42541</v>
      </c>
      <c r="B1645">
        <v>3.3828999999999998</v>
      </c>
    </row>
    <row r="1646" spans="1:2" x14ac:dyDescent="0.35">
      <c r="A1646" s="7">
        <v>42538</v>
      </c>
      <c r="B1646">
        <v>3.4365999999999999</v>
      </c>
    </row>
    <row r="1647" spans="1:2" x14ac:dyDescent="0.35">
      <c r="A1647" s="7">
        <v>42537</v>
      </c>
      <c r="B1647">
        <v>3.4897999999999998</v>
      </c>
    </row>
    <row r="1648" spans="1:2" x14ac:dyDescent="0.35">
      <c r="A1648" s="7">
        <v>42536</v>
      </c>
      <c r="B1648">
        <v>3.4762</v>
      </c>
    </row>
    <row r="1649" spans="1:2" x14ac:dyDescent="0.35">
      <c r="A1649" s="7">
        <v>42535</v>
      </c>
      <c r="B1649">
        <v>3.4832999999999998</v>
      </c>
    </row>
    <row r="1650" spans="1:2" x14ac:dyDescent="0.35">
      <c r="A1650" s="7">
        <v>42534</v>
      </c>
      <c r="B1650">
        <v>3.4527000000000001</v>
      </c>
    </row>
    <row r="1651" spans="1:2" x14ac:dyDescent="0.35">
      <c r="A1651" s="7">
        <v>42531</v>
      </c>
      <c r="B1651">
        <v>3.4255</v>
      </c>
    </row>
    <row r="1652" spans="1:2" x14ac:dyDescent="0.35">
      <c r="A1652" s="7">
        <v>42530</v>
      </c>
      <c r="B1652">
        <v>3.3811</v>
      </c>
    </row>
    <row r="1653" spans="1:2" x14ac:dyDescent="0.35">
      <c r="A1653" s="7">
        <v>42529</v>
      </c>
      <c r="B1653">
        <v>3.3892000000000002</v>
      </c>
    </row>
    <row r="1654" spans="1:2" x14ac:dyDescent="0.35">
      <c r="A1654" s="7">
        <v>42528</v>
      </c>
      <c r="B1654">
        <v>3.4739</v>
      </c>
    </row>
    <row r="1655" spans="1:2" x14ac:dyDescent="0.35">
      <c r="A1655" s="7">
        <v>42527</v>
      </c>
      <c r="B1655">
        <v>3.5091999999999999</v>
      </c>
    </row>
    <row r="1656" spans="1:2" x14ac:dyDescent="0.35">
      <c r="A1656" s="7">
        <v>42524</v>
      </c>
      <c r="B1656">
        <v>3.5402999999999998</v>
      </c>
    </row>
    <row r="1657" spans="1:2" x14ac:dyDescent="0.35">
      <c r="A1657" s="7">
        <v>42523</v>
      </c>
      <c r="B1657">
        <v>3.5954999999999999</v>
      </c>
    </row>
    <row r="1658" spans="1:2" x14ac:dyDescent="0.35">
      <c r="A1658" s="7">
        <v>42522</v>
      </c>
      <c r="B1658">
        <v>3.6120000000000001</v>
      </c>
    </row>
    <row r="1659" spans="1:2" x14ac:dyDescent="0.35">
      <c r="A1659" s="7">
        <v>42521</v>
      </c>
      <c r="B1659">
        <v>3.5945</v>
      </c>
    </row>
    <row r="1660" spans="1:2" x14ac:dyDescent="0.35">
      <c r="A1660" s="7">
        <v>42520</v>
      </c>
      <c r="B1660">
        <v>3.5991</v>
      </c>
    </row>
    <row r="1661" spans="1:2" x14ac:dyDescent="0.35">
      <c r="A1661" s="7">
        <v>42517</v>
      </c>
      <c r="B1661">
        <v>3.6162000000000001</v>
      </c>
    </row>
    <row r="1662" spans="1:2" x14ac:dyDescent="0.35">
      <c r="A1662" s="7">
        <v>42515</v>
      </c>
      <c r="B1662">
        <v>3.5798000000000001</v>
      </c>
    </row>
    <row r="1663" spans="1:2" x14ac:dyDescent="0.35">
      <c r="A1663" s="7">
        <v>42514</v>
      </c>
      <c r="B1663">
        <v>3.5485000000000002</v>
      </c>
    </row>
    <row r="1664" spans="1:2" x14ac:dyDescent="0.35">
      <c r="A1664" s="7">
        <v>42513</v>
      </c>
      <c r="B1664">
        <v>3.5653999999999999</v>
      </c>
    </row>
    <row r="1665" spans="1:2" x14ac:dyDescent="0.35">
      <c r="A1665" s="7">
        <v>42510</v>
      </c>
      <c r="B1665">
        <v>3.5413000000000001</v>
      </c>
    </row>
    <row r="1666" spans="1:2" x14ac:dyDescent="0.35">
      <c r="A1666" s="7">
        <v>42509</v>
      </c>
      <c r="B1666">
        <v>3.5996999999999999</v>
      </c>
    </row>
    <row r="1667" spans="1:2" x14ac:dyDescent="0.35">
      <c r="A1667" s="7">
        <v>42508</v>
      </c>
      <c r="B1667">
        <v>3.5362</v>
      </c>
    </row>
    <row r="1668" spans="1:2" x14ac:dyDescent="0.35">
      <c r="A1668" s="7">
        <v>42507</v>
      </c>
      <c r="B1668">
        <v>3.5030999999999999</v>
      </c>
    </row>
    <row r="1669" spans="1:2" x14ac:dyDescent="0.35">
      <c r="A1669" s="7">
        <v>42506</v>
      </c>
      <c r="B1669">
        <v>3.5028999999999999</v>
      </c>
    </row>
    <row r="1670" spans="1:2" x14ac:dyDescent="0.35">
      <c r="A1670" s="7">
        <v>42503</v>
      </c>
      <c r="B1670">
        <v>3.5034999999999998</v>
      </c>
    </row>
    <row r="1671" spans="1:2" x14ac:dyDescent="0.35">
      <c r="A1671" s="7">
        <v>42502</v>
      </c>
      <c r="B1671">
        <v>3.4870999999999999</v>
      </c>
    </row>
    <row r="1672" spans="1:2" x14ac:dyDescent="0.35">
      <c r="A1672" s="7">
        <v>42501</v>
      </c>
      <c r="B1672">
        <v>3.4639000000000002</v>
      </c>
    </row>
    <row r="1673" spans="1:2" x14ac:dyDescent="0.35">
      <c r="A1673" s="7">
        <v>42500</v>
      </c>
      <c r="B1673">
        <v>3.4765999999999999</v>
      </c>
    </row>
    <row r="1674" spans="1:2" x14ac:dyDescent="0.35">
      <c r="A1674" s="7">
        <v>42499</v>
      </c>
      <c r="B1674">
        <v>3.5379999999999998</v>
      </c>
    </row>
    <row r="1675" spans="1:2" x14ac:dyDescent="0.35">
      <c r="A1675" s="7">
        <v>42496</v>
      </c>
      <c r="B1675">
        <v>3.5356000000000001</v>
      </c>
    </row>
    <row r="1676" spans="1:2" x14ac:dyDescent="0.35">
      <c r="A1676" s="7">
        <v>42495</v>
      </c>
      <c r="B1676">
        <v>3.5289999999999999</v>
      </c>
    </row>
    <row r="1677" spans="1:2" x14ac:dyDescent="0.35">
      <c r="A1677" s="7">
        <v>42494</v>
      </c>
      <c r="B1677">
        <v>3.5390999999999999</v>
      </c>
    </row>
    <row r="1678" spans="1:2" x14ac:dyDescent="0.35">
      <c r="A1678" s="7">
        <v>42493</v>
      </c>
      <c r="B1678">
        <v>3.5543999999999998</v>
      </c>
    </row>
    <row r="1679" spans="1:2" x14ac:dyDescent="0.35">
      <c r="A1679" s="7">
        <v>42492</v>
      </c>
      <c r="B1679">
        <v>3.4984999999999999</v>
      </c>
    </row>
    <row r="1680" spans="1:2" x14ac:dyDescent="0.35">
      <c r="A1680" s="7">
        <v>42489</v>
      </c>
      <c r="B1680">
        <v>3.4502000000000002</v>
      </c>
    </row>
    <row r="1681" spans="1:2" x14ac:dyDescent="0.35">
      <c r="A1681" s="7">
        <v>42488</v>
      </c>
      <c r="B1681">
        <v>3.4986000000000002</v>
      </c>
    </row>
    <row r="1682" spans="1:2" x14ac:dyDescent="0.35">
      <c r="A1682" s="7">
        <v>42487</v>
      </c>
      <c r="B1682">
        <v>3.5289000000000001</v>
      </c>
    </row>
    <row r="1683" spans="1:2" x14ac:dyDescent="0.35">
      <c r="A1683" s="7">
        <v>42486</v>
      </c>
      <c r="B1683">
        <v>3.5293999999999999</v>
      </c>
    </row>
    <row r="1684" spans="1:2" x14ac:dyDescent="0.35">
      <c r="A1684" s="7">
        <v>42485</v>
      </c>
      <c r="B1684">
        <v>3.5466000000000002</v>
      </c>
    </row>
    <row r="1685" spans="1:2" x14ac:dyDescent="0.35">
      <c r="A1685" s="7">
        <v>42482</v>
      </c>
      <c r="B1685">
        <v>3.5823</v>
      </c>
    </row>
    <row r="1686" spans="1:2" x14ac:dyDescent="0.35">
      <c r="A1686" s="7">
        <v>42480</v>
      </c>
      <c r="B1686">
        <v>3.5497000000000001</v>
      </c>
    </row>
    <row r="1687" spans="1:2" x14ac:dyDescent="0.35">
      <c r="A1687" s="7">
        <v>42479</v>
      </c>
      <c r="B1687">
        <v>3.5531999999999999</v>
      </c>
    </row>
    <row r="1688" spans="1:2" x14ac:dyDescent="0.35">
      <c r="A1688" s="7">
        <v>42478</v>
      </c>
      <c r="B1688">
        <v>3.5897999999999999</v>
      </c>
    </row>
    <row r="1689" spans="1:2" x14ac:dyDescent="0.35">
      <c r="A1689" s="7">
        <v>42475</v>
      </c>
      <c r="B1689">
        <v>3.5270000000000001</v>
      </c>
    </row>
    <row r="1690" spans="1:2" x14ac:dyDescent="0.35">
      <c r="A1690" s="7">
        <v>42474</v>
      </c>
      <c r="B1690">
        <v>3.512</v>
      </c>
    </row>
    <row r="1691" spans="1:2" x14ac:dyDescent="0.35">
      <c r="A1691" s="7">
        <v>42473</v>
      </c>
      <c r="B1691">
        <v>3.5423</v>
      </c>
    </row>
    <row r="1692" spans="1:2" x14ac:dyDescent="0.35">
      <c r="A1692" s="7">
        <v>42472</v>
      </c>
      <c r="B1692">
        <v>3.54</v>
      </c>
    </row>
    <row r="1693" spans="1:2" x14ac:dyDescent="0.35">
      <c r="A1693" s="7">
        <v>42471</v>
      </c>
      <c r="B1693">
        <v>3.5278</v>
      </c>
    </row>
    <row r="1694" spans="1:2" x14ac:dyDescent="0.35">
      <c r="A1694" s="7">
        <v>42468</v>
      </c>
      <c r="B1694">
        <v>3.6379000000000001</v>
      </c>
    </row>
    <row r="1695" spans="1:2" x14ac:dyDescent="0.35">
      <c r="A1695" s="7">
        <v>42467</v>
      </c>
      <c r="B1695">
        <v>3.6915</v>
      </c>
    </row>
    <row r="1696" spans="1:2" x14ac:dyDescent="0.35">
      <c r="A1696" s="7">
        <v>42466</v>
      </c>
      <c r="B1696">
        <v>3.6743000000000001</v>
      </c>
    </row>
    <row r="1697" spans="1:2" x14ac:dyDescent="0.35">
      <c r="A1697" s="7">
        <v>42465</v>
      </c>
      <c r="B1697">
        <v>3.6575000000000002</v>
      </c>
    </row>
    <row r="1698" spans="1:2" x14ac:dyDescent="0.35">
      <c r="A1698" s="7">
        <v>42464</v>
      </c>
      <c r="B1698">
        <v>3.5865</v>
      </c>
    </row>
    <row r="1699" spans="1:2" x14ac:dyDescent="0.35">
      <c r="A1699" s="7">
        <v>42461</v>
      </c>
      <c r="B1699">
        <v>3.5792999999999999</v>
      </c>
    </row>
    <row r="1700" spans="1:2" x14ac:dyDescent="0.35">
      <c r="A1700" s="7">
        <v>42460</v>
      </c>
      <c r="B1700">
        <v>3.5583</v>
      </c>
    </row>
    <row r="1701" spans="1:2" x14ac:dyDescent="0.35">
      <c r="A1701" s="7">
        <v>42459</v>
      </c>
      <c r="B1701">
        <v>3.6110000000000002</v>
      </c>
    </row>
    <row r="1702" spans="1:2" x14ac:dyDescent="0.35">
      <c r="A1702" s="7">
        <v>42458</v>
      </c>
      <c r="B1702">
        <v>3.6680999999999999</v>
      </c>
    </row>
    <row r="1703" spans="1:2" x14ac:dyDescent="0.35">
      <c r="A1703" s="7">
        <v>42457</v>
      </c>
      <c r="B1703">
        <v>3.6400999999999999</v>
      </c>
    </row>
    <row r="1704" spans="1:2" x14ac:dyDescent="0.35">
      <c r="A1704" s="7">
        <v>42453</v>
      </c>
      <c r="B1704">
        <v>3.6941999999999999</v>
      </c>
    </row>
    <row r="1705" spans="1:2" x14ac:dyDescent="0.35">
      <c r="A1705" s="7">
        <v>42452</v>
      </c>
      <c r="B1705">
        <v>3.6524999999999999</v>
      </c>
    </row>
    <row r="1706" spans="1:2" x14ac:dyDescent="0.35">
      <c r="A1706" s="7">
        <v>42451</v>
      </c>
      <c r="B1706">
        <v>3.6067</v>
      </c>
    </row>
    <row r="1707" spans="1:2" x14ac:dyDescent="0.35">
      <c r="A1707" s="7">
        <v>42450</v>
      </c>
      <c r="B1707">
        <v>3.6223000000000001</v>
      </c>
    </row>
    <row r="1708" spans="1:2" x14ac:dyDescent="0.35">
      <c r="A1708" s="7">
        <v>42447</v>
      </c>
      <c r="B1708">
        <v>3.6139999999999999</v>
      </c>
    </row>
    <row r="1709" spans="1:2" x14ac:dyDescent="0.35">
      <c r="A1709" s="7">
        <v>42446</v>
      </c>
      <c r="B1709">
        <v>3.6438999999999999</v>
      </c>
    </row>
    <row r="1710" spans="1:2" x14ac:dyDescent="0.35">
      <c r="A1710" s="7">
        <v>42445</v>
      </c>
      <c r="B1710">
        <v>3.8073000000000001</v>
      </c>
    </row>
    <row r="1711" spans="1:2" x14ac:dyDescent="0.35">
      <c r="A1711" s="7">
        <v>42444</v>
      </c>
      <c r="B1711">
        <v>3.7109999999999999</v>
      </c>
    </row>
    <row r="1712" spans="1:2" x14ac:dyDescent="0.35">
      <c r="A1712" s="7">
        <v>42443</v>
      </c>
      <c r="B1712">
        <v>3.6232000000000002</v>
      </c>
    </row>
    <row r="1713" spans="1:2" x14ac:dyDescent="0.35">
      <c r="A1713" s="7">
        <v>42440</v>
      </c>
      <c r="B1713">
        <v>3.6265000000000001</v>
      </c>
    </row>
    <row r="1714" spans="1:2" x14ac:dyDescent="0.35">
      <c r="A1714" s="7">
        <v>42439</v>
      </c>
      <c r="B1714">
        <v>3.6694</v>
      </c>
    </row>
    <row r="1715" spans="1:2" x14ac:dyDescent="0.35">
      <c r="A1715" s="7">
        <v>42438</v>
      </c>
      <c r="B1715">
        <v>3.7031000000000001</v>
      </c>
    </row>
    <row r="1716" spans="1:2" x14ac:dyDescent="0.35">
      <c r="A1716" s="7">
        <v>42437</v>
      </c>
      <c r="B1716">
        <v>3.7806999999999999</v>
      </c>
    </row>
    <row r="1717" spans="1:2" x14ac:dyDescent="0.35">
      <c r="A1717" s="7">
        <v>42436</v>
      </c>
      <c r="B1717">
        <v>3.7707999999999999</v>
      </c>
    </row>
    <row r="1718" spans="1:2" x14ac:dyDescent="0.35">
      <c r="A1718" s="7">
        <v>42433</v>
      </c>
      <c r="B1718">
        <v>3.7181999999999999</v>
      </c>
    </row>
    <row r="1719" spans="1:2" x14ac:dyDescent="0.35">
      <c r="A1719" s="7">
        <v>42432</v>
      </c>
      <c r="B1719">
        <v>3.8498000000000001</v>
      </c>
    </row>
    <row r="1720" spans="1:2" x14ac:dyDescent="0.35">
      <c r="A1720" s="7">
        <v>42431</v>
      </c>
      <c r="B1720">
        <v>3.911</v>
      </c>
    </row>
    <row r="1721" spans="1:2" x14ac:dyDescent="0.35">
      <c r="A1721" s="7">
        <v>42430</v>
      </c>
      <c r="B1721">
        <v>3.9906999999999999</v>
      </c>
    </row>
    <row r="1722" spans="1:2" x14ac:dyDescent="0.35">
      <c r="A1722" s="7">
        <v>42429</v>
      </c>
      <c r="B1722">
        <v>3.9790000000000001</v>
      </c>
    </row>
    <row r="1723" spans="1:2" x14ac:dyDescent="0.35">
      <c r="A1723" s="7">
        <v>42426</v>
      </c>
      <c r="B1723">
        <v>3.9571000000000001</v>
      </c>
    </row>
    <row r="1724" spans="1:2" x14ac:dyDescent="0.35">
      <c r="A1724" s="7">
        <v>42425</v>
      </c>
      <c r="B1724">
        <v>3.9394</v>
      </c>
    </row>
    <row r="1725" spans="1:2" x14ac:dyDescent="0.35">
      <c r="A1725" s="7">
        <v>42424</v>
      </c>
      <c r="B1725">
        <v>3.9893999999999998</v>
      </c>
    </row>
    <row r="1726" spans="1:2" x14ac:dyDescent="0.35">
      <c r="A1726" s="7">
        <v>42423</v>
      </c>
      <c r="B1726">
        <v>3.9678</v>
      </c>
    </row>
    <row r="1727" spans="1:2" x14ac:dyDescent="0.35">
      <c r="A1727" s="7">
        <v>42422</v>
      </c>
      <c r="B1727">
        <v>3.9611999999999998</v>
      </c>
    </row>
    <row r="1728" spans="1:2" x14ac:dyDescent="0.35">
      <c r="A1728" s="7">
        <v>42419</v>
      </c>
      <c r="B1728">
        <v>4.0486000000000004</v>
      </c>
    </row>
    <row r="1729" spans="1:2" x14ac:dyDescent="0.35">
      <c r="A1729" s="7">
        <v>42418</v>
      </c>
      <c r="B1729">
        <v>4.0084</v>
      </c>
    </row>
    <row r="1730" spans="1:2" x14ac:dyDescent="0.35">
      <c r="A1730" s="7">
        <v>42417</v>
      </c>
      <c r="B1730">
        <v>4.0312000000000001</v>
      </c>
    </row>
    <row r="1731" spans="1:2" x14ac:dyDescent="0.35">
      <c r="A1731" s="7">
        <v>42416</v>
      </c>
      <c r="B1731">
        <v>4.0206999999999997</v>
      </c>
    </row>
    <row r="1732" spans="1:2" x14ac:dyDescent="0.35">
      <c r="A1732" s="7">
        <v>42415</v>
      </c>
      <c r="B1732">
        <v>3.9878999999999998</v>
      </c>
    </row>
    <row r="1733" spans="1:2" x14ac:dyDescent="0.35">
      <c r="A1733" s="7">
        <v>42412</v>
      </c>
      <c r="B1733">
        <v>3.9883999999999999</v>
      </c>
    </row>
    <row r="1734" spans="1:2" x14ac:dyDescent="0.35">
      <c r="A1734" s="7">
        <v>42411</v>
      </c>
      <c r="B1734">
        <v>3.9636</v>
      </c>
    </row>
    <row r="1735" spans="1:2" x14ac:dyDescent="0.35">
      <c r="A1735" s="7">
        <v>42410</v>
      </c>
      <c r="B1735">
        <v>3.9405999999999999</v>
      </c>
    </row>
    <row r="1736" spans="1:2" x14ac:dyDescent="0.35">
      <c r="A1736" s="7">
        <v>42405</v>
      </c>
      <c r="B1736">
        <v>3.8969</v>
      </c>
    </row>
    <row r="1737" spans="1:2" x14ac:dyDescent="0.35">
      <c r="A1737" s="7">
        <v>42404</v>
      </c>
      <c r="B1737">
        <v>3.8645999999999998</v>
      </c>
    </row>
    <row r="1738" spans="1:2" x14ac:dyDescent="0.35">
      <c r="A1738" s="7">
        <v>42403</v>
      </c>
      <c r="B1738">
        <v>3.9552</v>
      </c>
    </row>
    <row r="1739" spans="1:2" x14ac:dyDescent="0.35">
      <c r="A1739" s="7">
        <v>42402</v>
      </c>
      <c r="B1739">
        <v>3.9912999999999998</v>
      </c>
    </row>
    <row r="1740" spans="1:2" x14ac:dyDescent="0.35">
      <c r="A1740" s="7">
        <v>42401</v>
      </c>
      <c r="B1740">
        <v>3.9979</v>
      </c>
    </row>
    <row r="1741" spans="1:2" x14ac:dyDescent="0.35">
      <c r="A1741" s="7">
        <v>42398</v>
      </c>
      <c r="B1741">
        <v>4.0422000000000002</v>
      </c>
    </row>
    <row r="1742" spans="1:2" x14ac:dyDescent="0.35">
      <c r="A1742" s="7">
        <v>42397</v>
      </c>
      <c r="B1742">
        <v>4.0831999999999997</v>
      </c>
    </row>
    <row r="1743" spans="1:2" x14ac:dyDescent="0.35">
      <c r="A1743" s="7">
        <v>42396</v>
      </c>
      <c r="B1743">
        <v>4.0441000000000003</v>
      </c>
    </row>
    <row r="1744" spans="1:2" x14ac:dyDescent="0.35">
      <c r="A1744" s="7">
        <v>42395</v>
      </c>
      <c r="B1744">
        <v>4.0960999999999999</v>
      </c>
    </row>
    <row r="1745" spans="1:2" x14ac:dyDescent="0.35">
      <c r="A1745" s="7">
        <v>42394</v>
      </c>
      <c r="B1745">
        <v>4.0991</v>
      </c>
    </row>
    <row r="1746" spans="1:2" x14ac:dyDescent="0.35">
      <c r="A1746" s="7">
        <v>42391</v>
      </c>
      <c r="B1746">
        <v>4.1226000000000003</v>
      </c>
    </row>
    <row r="1747" spans="1:2" x14ac:dyDescent="0.35">
      <c r="A1747" s="7">
        <v>42390</v>
      </c>
      <c r="B1747">
        <v>4.1551999999999998</v>
      </c>
    </row>
    <row r="1748" spans="1:2" x14ac:dyDescent="0.35">
      <c r="A1748" s="7">
        <v>42389</v>
      </c>
      <c r="B1748">
        <v>4.0854999999999997</v>
      </c>
    </row>
    <row r="1749" spans="1:2" x14ac:dyDescent="0.35">
      <c r="A1749" s="7">
        <v>42388</v>
      </c>
      <c r="B1749">
        <v>4.0297000000000001</v>
      </c>
    </row>
    <row r="1750" spans="1:2" x14ac:dyDescent="0.35">
      <c r="A1750" s="7">
        <v>42387</v>
      </c>
      <c r="B1750">
        <v>4.0358000000000001</v>
      </c>
    </row>
    <row r="1751" spans="1:2" x14ac:dyDescent="0.35">
      <c r="A1751" s="7">
        <v>42384</v>
      </c>
      <c r="B1751">
        <v>4.0396000000000001</v>
      </c>
    </row>
    <row r="1752" spans="1:2" x14ac:dyDescent="0.35">
      <c r="A1752" s="7">
        <v>42383</v>
      </c>
      <c r="B1752">
        <v>4.0217000000000001</v>
      </c>
    </row>
    <row r="1753" spans="1:2" x14ac:dyDescent="0.35">
      <c r="A1753" s="7">
        <v>42382</v>
      </c>
      <c r="B1753">
        <v>3.9857</v>
      </c>
    </row>
    <row r="1754" spans="1:2" x14ac:dyDescent="0.35">
      <c r="A1754" s="7">
        <v>42381</v>
      </c>
      <c r="B1754">
        <v>4.0293000000000001</v>
      </c>
    </row>
    <row r="1755" spans="1:2" x14ac:dyDescent="0.35">
      <c r="A1755" s="7">
        <v>42380</v>
      </c>
      <c r="B1755">
        <v>4.0147000000000004</v>
      </c>
    </row>
    <row r="1756" spans="1:2" x14ac:dyDescent="0.35">
      <c r="A1756" s="7">
        <v>42377</v>
      </c>
      <c r="B1756">
        <v>4.0244</v>
      </c>
    </row>
    <row r="1757" spans="1:2" x14ac:dyDescent="0.35">
      <c r="A1757" s="7">
        <v>42376</v>
      </c>
      <c r="B1757">
        <v>4.0468999999999999</v>
      </c>
    </row>
    <row r="1758" spans="1:2" x14ac:dyDescent="0.35">
      <c r="A1758" s="7">
        <v>42375</v>
      </c>
      <c r="B1758">
        <v>4.0297000000000001</v>
      </c>
    </row>
    <row r="1759" spans="1:2" x14ac:dyDescent="0.35">
      <c r="A1759" s="7">
        <v>42374</v>
      </c>
      <c r="B1759">
        <v>4.0107999999999997</v>
      </c>
    </row>
    <row r="1760" spans="1:2" x14ac:dyDescent="0.35">
      <c r="A1760" s="7">
        <v>42373</v>
      </c>
      <c r="B1760">
        <v>4.0380000000000003</v>
      </c>
    </row>
    <row r="1761" spans="1:2" x14ac:dyDescent="0.35">
      <c r="A1761" s="7">
        <v>42369</v>
      </c>
      <c r="B1761">
        <v>3.9041999999999999</v>
      </c>
    </row>
    <row r="1762" spans="1:2" x14ac:dyDescent="0.35">
      <c r="A1762" s="7">
        <v>42368</v>
      </c>
      <c r="B1762">
        <v>3.9041999999999999</v>
      </c>
    </row>
    <row r="1763" spans="1:2" x14ac:dyDescent="0.35">
      <c r="A1763" s="7">
        <v>42367</v>
      </c>
      <c r="B1763">
        <v>3.8485999999999998</v>
      </c>
    </row>
    <row r="1764" spans="1:2" x14ac:dyDescent="0.35">
      <c r="A1764" s="7">
        <v>42366</v>
      </c>
      <c r="B1764">
        <v>3.9180000000000001</v>
      </c>
    </row>
    <row r="1765" spans="1:2" x14ac:dyDescent="0.35">
      <c r="A1765" s="7">
        <v>42362</v>
      </c>
      <c r="B1765">
        <v>3.9510999999999998</v>
      </c>
    </row>
    <row r="1766" spans="1:2" x14ac:dyDescent="0.35">
      <c r="A1766" s="7">
        <v>42361</v>
      </c>
      <c r="B1766">
        <v>3.9626000000000001</v>
      </c>
    </row>
    <row r="1767" spans="1:2" x14ac:dyDescent="0.35">
      <c r="A1767" s="7">
        <v>42360</v>
      </c>
      <c r="B1767">
        <v>3.9763999999999999</v>
      </c>
    </row>
    <row r="1768" spans="1:2" x14ac:dyDescent="0.35">
      <c r="A1768" s="7">
        <v>42359</v>
      </c>
      <c r="B1768">
        <v>3.9824999999999999</v>
      </c>
    </row>
    <row r="1769" spans="1:2" x14ac:dyDescent="0.35">
      <c r="A1769" s="7">
        <v>42356</v>
      </c>
      <c r="B1769">
        <v>3.9056000000000002</v>
      </c>
    </row>
    <row r="1770" spans="1:2" x14ac:dyDescent="0.35">
      <c r="A1770" s="7">
        <v>42355</v>
      </c>
      <c r="B1770">
        <v>3.8923000000000001</v>
      </c>
    </row>
    <row r="1771" spans="1:2" x14ac:dyDescent="0.35">
      <c r="A1771" s="7">
        <v>42354</v>
      </c>
      <c r="B1771">
        <v>3.9350999999999998</v>
      </c>
    </row>
    <row r="1772" spans="1:2" x14ac:dyDescent="0.35">
      <c r="A1772" s="7">
        <v>42353</v>
      </c>
      <c r="B1772">
        <v>3.8696999999999999</v>
      </c>
    </row>
    <row r="1773" spans="1:2" x14ac:dyDescent="0.35">
      <c r="A1773" s="7">
        <v>42352</v>
      </c>
      <c r="B1773">
        <v>3.9016999999999999</v>
      </c>
    </row>
    <row r="1774" spans="1:2" x14ac:dyDescent="0.35">
      <c r="A1774" s="7">
        <v>42349</v>
      </c>
      <c r="B1774">
        <v>3.8540999999999999</v>
      </c>
    </row>
    <row r="1775" spans="1:2" x14ac:dyDescent="0.35">
      <c r="A1775" s="7">
        <v>42348</v>
      </c>
      <c r="B1775">
        <v>3.7679</v>
      </c>
    </row>
    <row r="1776" spans="1:2" x14ac:dyDescent="0.35">
      <c r="A1776" s="7">
        <v>42347</v>
      </c>
      <c r="B1776">
        <v>3.7572999999999999</v>
      </c>
    </row>
    <row r="1777" spans="1:2" x14ac:dyDescent="0.35">
      <c r="A1777" s="7">
        <v>42346</v>
      </c>
      <c r="B1777">
        <v>3.7915000000000001</v>
      </c>
    </row>
    <row r="1778" spans="1:2" x14ac:dyDescent="0.35">
      <c r="A1778" s="7">
        <v>42345</v>
      </c>
      <c r="B1778">
        <v>3.7469999999999999</v>
      </c>
    </row>
    <row r="1779" spans="1:2" x14ac:dyDescent="0.35">
      <c r="A1779" s="7">
        <v>42342</v>
      </c>
      <c r="B1779">
        <v>3.7568999999999999</v>
      </c>
    </row>
    <row r="1780" spans="1:2" x14ac:dyDescent="0.35">
      <c r="A1780" s="7">
        <v>42341</v>
      </c>
      <c r="B1780">
        <v>3.7964000000000002</v>
      </c>
    </row>
    <row r="1781" spans="1:2" x14ac:dyDescent="0.35">
      <c r="A1781" s="7">
        <v>42340</v>
      </c>
      <c r="B1781">
        <v>3.8538999999999999</v>
      </c>
    </row>
    <row r="1782" spans="1:2" x14ac:dyDescent="0.35">
      <c r="A1782" s="7">
        <v>42339</v>
      </c>
      <c r="B1782">
        <v>3.8738999999999999</v>
      </c>
    </row>
    <row r="1783" spans="1:2" x14ac:dyDescent="0.35">
      <c r="A1783" s="7">
        <v>42338</v>
      </c>
      <c r="B1783">
        <v>3.8498999999999999</v>
      </c>
    </row>
    <row r="1784" spans="1:2" x14ac:dyDescent="0.35">
      <c r="A1784" s="7">
        <v>42335</v>
      </c>
      <c r="B1784">
        <v>3.7391999999999999</v>
      </c>
    </row>
    <row r="1785" spans="1:2" x14ac:dyDescent="0.35">
      <c r="A1785" s="7">
        <v>42334</v>
      </c>
      <c r="B1785">
        <v>3.76</v>
      </c>
    </row>
    <row r="1786" spans="1:2" x14ac:dyDescent="0.35">
      <c r="A1786" s="7">
        <v>42333</v>
      </c>
      <c r="B1786">
        <v>3.7682000000000002</v>
      </c>
    </row>
    <row r="1787" spans="1:2" x14ac:dyDescent="0.35">
      <c r="A1787" s="7">
        <v>42332</v>
      </c>
      <c r="B1787">
        <v>3.7075</v>
      </c>
    </row>
    <row r="1788" spans="1:2" x14ac:dyDescent="0.35">
      <c r="A1788" s="7">
        <v>42331</v>
      </c>
      <c r="B1788">
        <v>3.7223999999999999</v>
      </c>
    </row>
    <row r="1789" spans="1:2" x14ac:dyDescent="0.35">
      <c r="A1789" s="7">
        <v>42328</v>
      </c>
      <c r="B1789">
        <v>3.7</v>
      </c>
    </row>
    <row r="1790" spans="1:2" x14ac:dyDescent="0.35">
      <c r="A1790" s="7">
        <v>42327</v>
      </c>
      <c r="B1790">
        <v>3.7435</v>
      </c>
    </row>
    <row r="1791" spans="1:2" x14ac:dyDescent="0.35">
      <c r="A1791" s="7">
        <v>42326</v>
      </c>
      <c r="B1791">
        <v>3.7915000000000001</v>
      </c>
    </row>
    <row r="1792" spans="1:2" x14ac:dyDescent="0.35">
      <c r="A1792" s="7">
        <v>42325</v>
      </c>
      <c r="B1792">
        <v>3.8045</v>
      </c>
    </row>
    <row r="1793" spans="1:2" x14ac:dyDescent="0.35">
      <c r="A1793" s="7">
        <v>42324</v>
      </c>
      <c r="B1793">
        <v>3.8330000000000002</v>
      </c>
    </row>
    <row r="1794" spans="1:2" x14ac:dyDescent="0.35">
      <c r="A1794" s="7">
        <v>42321</v>
      </c>
      <c r="B1794">
        <v>3.8016000000000001</v>
      </c>
    </row>
    <row r="1795" spans="1:2" x14ac:dyDescent="0.35">
      <c r="A1795" s="7">
        <v>42320</v>
      </c>
      <c r="B1795">
        <v>3.7989999999999999</v>
      </c>
    </row>
    <row r="1796" spans="1:2" x14ac:dyDescent="0.35">
      <c r="A1796" s="7">
        <v>42319</v>
      </c>
      <c r="B1796">
        <v>3.7320000000000002</v>
      </c>
    </row>
    <row r="1797" spans="1:2" x14ac:dyDescent="0.35">
      <c r="A1797" s="7">
        <v>42318</v>
      </c>
      <c r="B1797">
        <v>3.7974999999999999</v>
      </c>
    </row>
    <row r="1798" spans="1:2" x14ac:dyDescent="0.35">
      <c r="A1798" s="7">
        <v>42317</v>
      </c>
      <c r="B1798">
        <v>3.7921999999999998</v>
      </c>
    </row>
    <row r="1799" spans="1:2" x14ac:dyDescent="0.35">
      <c r="A1799" s="7">
        <v>42314</v>
      </c>
      <c r="B1799">
        <v>3.8052999999999999</v>
      </c>
    </row>
    <row r="1800" spans="1:2" x14ac:dyDescent="0.35">
      <c r="A1800" s="7">
        <v>42313</v>
      </c>
      <c r="B1800">
        <v>3.7887</v>
      </c>
    </row>
    <row r="1801" spans="1:2" x14ac:dyDescent="0.35">
      <c r="A1801" s="7">
        <v>42312</v>
      </c>
      <c r="B1801">
        <v>3.7679999999999998</v>
      </c>
    </row>
    <row r="1802" spans="1:2" x14ac:dyDescent="0.35">
      <c r="A1802" s="7">
        <v>42311</v>
      </c>
      <c r="B1802">
        <v>3.8119999999999998</v>
      </c>
    </row>
    <row r="1803" spans="1:2" x14ac:dyDescent="0.35">
      <c r="A1803" s="7">
        <v>42307</v>
      </c>
      <c r="B1803">
        <v>3.8582000000000001</v>
      </c>
    </row>
    <row r="1804" spans="1:2" x14ac:dyDescent="0.35">
      <c r="A1804" s="7">
        <v>42306</v>
      </c>
      <c r="B1804">
        <v>3.9321000000000002</v>
      </c>
    </row>
    <row r="1805" spans="1:2" x14ac:dyDescent="0.35">
      <c r="A1805" s="7">
        <v>42305</v>
      </c>
      <c r="B1805">
        <v>3.8791000000000002</v>
      </c>
    </row>
    <row r="1806" spans="1:2" x14ac:dyDescent="0.35">
      <c r="A1806" s="7">
        <v>42304</v>
      </c>
      <c r="B1806">
        <v>3.9108000000000001</v>
      </c>
    </row>
    <row r="1807" spans="1:2" x14ac:dyDescent="0.35">
      <c r="A1807" s="7">
        <v>42303</v>
      </c>
      <c r="B1807">
        <v>3.8574999999999999</v>
      </c>
    </row>
    <row r="1808" spans="1:2" x14ac:dyDescent="0.35">
      <c r="A1808" s="7">
        <v>42300</v>
      </c>
      <c r="B1808">
        <v>3.8982000000000001</v>
      </c>
    </row>
    <row r="1809" spans="1:2" x14ac:dyDescent="0.35">
      <c r="A1809" s="7">
        <v>42299</v>
      </c>
      <c r="B1809">
        <v>3.9354</v>
      </c>
    </row>
    <row r="1810" spans="1:2" x14ac:dyDescent="0.35">
      <c r="A1810" s="7">
        <v>42298</v>
      </c>
      <c r="B1810">
        <v>3.9380000000000002</v>
      </c>
    </row>
    <row r="1811" spans="1:2" x14ac:dyDescent="0.35">
      <c r="A1811" s="7">
        <v>42297</v>
      </c>
      <c r="B1811">
        <v>3.8650000000000002</v>
      </c>
    </row>
    <row r="1812" spans="1:2" x14ac:dyDescent="0.35">
      <c r="A1812" s="7">
        <v>42296</v>
      </c>
      <c r="B1812">
        <v>3.9009</v>
      </c>
    </row>
    <row r="1813" spans="1:2" x14ac:dyDescent="0.35">
      <c r="A1813" s="7">
        <v>42293</v>
      </c>
      <c r="B1813">
        <v>3.8431999999999999</v>
      </c>
    </row>
    <row r="1814" spans="1:2" x14ac:dyDescent="0.35">
      <c r="A1814" s="7">
        <v>42292</v>
      </c>
      <c r="B1814">
        <v>3.8336999999999999</v>
      </c>
    </row>
    <row r="1815" spans="1:2" x14ac:dyDescent="0.35">
      <c r="A1815" s="7">
        <v>42291</v>
      </c>
      <c r="B1815">
        <v>3.8500999999999999</v>
      </c>
    </row>
    <row r="1816" spans="1:2" x14ac:dyDescent="0.35">
      <c r="A1816" s="7">
        <v>42290</v>
      </c>
      <c r="B1816">
        <v>3.8243</v>
      </c>
    </row>
    <row r="1817" spans="1:2" x14ac:dyDescent="0.35">
      <c r="A1817" s="7">
        <v>42286</v>
      </c>
      <c r="B1817">
        <v>3.738</v>
      </c>
    </row>
    <row r="1818" spans="1:2" x14ac:dyDescent="0.35">
      <c r="A1818" s="7">
        <v>42285</v>
      </c>
      <c r="B1818">
        <v>3.8511000000000002</v>
      </c>
    </row>
    <row r="1819" spans="1:2" x14ac:dyDescent="0.35">
      <c r="A1819" s="7">
        <v>42284</v>
      </c>
      <c r="B1819">
        <v>3.8052999999999999</v>
      </c>
    </row>
    <row r="1820" spans="1:2" x14ac:dyDescent="0.35">
      <c r="A1820" s="7">
        <v>42283</v>
      </c>
      <c r="B1820">
        <v>3.8561000000000001</v>
      </c>
    </row>
    <row r="1821" spans="1:2" x14ac:dyDescent="0.35">
      <c r="A1821" s="7">
        <v>42282</v>
      </c>
      <c r="B1821">
        <v>3.9135</v>
      </c>
    </row>
    <row r="1822" spans="1:2" x14ac:dyDescent="0.35">
      <c r="A1822" s="7">
        <v>42279</v>
      </c>
      <c r="B1822">
        <v>4.0003000000000002</v>
      </c>
    </row>
    <row r="1823" spans="1:2" x14ac:dyDescent="0.35">
      <c r="A1823" s="7">
        <v>42278</v>
      </c>
      <c r="B1823">
        <v>3.9788000000000001</v>
      </c>
    </row>
    <row r="1824" spans="1:2" x14ac:dyDescent="0.35">
      <c r="A1824" s="7">
        <v>42277</v>
      </c>
      <c r="B1824">
        <v>3.9722</v>
      </c>
    </row>
    <row r="1825" spans="1:2" x14ac:dyDescent="0.35">
      <c r="A1825" s="7">
        <v>42276</v>
      </c>
      <c r="B1825">
        <v>4.1165000000000003</v>
      </c>
    </row>
    <row r="1826" spans="1:2" x14ac:dyDescent="0.35">
      <c r="A1826" s="7">
        <v>42275</v>
      </c>
      <c r="B1826">
        <v>4.0092999999999996</v>
      </c>
    </row>
    <row r="1827" spans="1:2" x14ac:dyDescent="0.35">
      <c r="A1827" s="7">
        <v>42272</v>
      </c>
      <c r="B1827">
        <v>3.9472</v>
      </c>
    </row>
    <row r="1828" spans="1:2" x14ac:dyDescent="0.35">
      <c r="A1828" s="7">
        <v>42271</v>
      </c>
      <c r="B1828">
        <v>4.1942000000000004</v>
      </c>
    </row>
    <row r="1829" spans="1:2" x14ac:dyDescent="0.35">
      <c r="A1829" s="7">
        <v>42270</v>
      </c>
      <c r="B1829">
        <v>4.1033999999999997</v>
      </c>
    </row>
    <row r="1830" spans="1:2" x14ac:dyDescent="0.35">
      <c r="A1830" s="7">
        <v>42269</v>
      </c>
      <c r="B1830">
        <v>4.0419</v>
      </c>
    </row>
    <row r="1831" spans="1:2" x14ac:dyDescent="0.35">
      <c r="A1831" s="7">
        <v>42268</v>
      </c>
      <c r="B1831">
        <v>3.9815</v>
      </c>
    </row>
    <row r="1832" spans="1:2" x14ac:dyDescent="0.35">
      <c r="A1832" s="7">
        <v>42265</v>
      </c>
      <c r="B1832">
        <v>3.9015</v>
      </c>
    </row>
    <row r="1833" spans="1:2" x14ac:dyDescent="0.35">
      <c r="A1833" s="7">
        <v>42264</v>
      </c>
      <c r="B1833">
        <v>3.8915000000000002</v>
      </c>
    </row>
    <row r="1834" spans="1:2" x14ac:dyDescent="0.35">
      <c r="A1834" s="7">
        <v>42263</v>
      </c>
      <c r="B1834">
        <v>3.8361000000000001</v>
      </c>
    </row>
    <row r="1835" spans="1:2" x14ac:dyDescent="0.35">
      <c r="A1835" s="7">
        <v>42262</v>
      </c>
      <c r="B1835">
        <v>3.8593000000000002</v>
      </c>
    </row>
    <row r="1836" spans="1:2" x14ac:dyDescent="0.35">
      <c r="A1836" s="7">
        <v>42261</v>
      </c>
      <c r="B1836">
        <v>3.8647</v>
      </c>
    </row>
    <row r="1837" spans="1:2" x14ac:dyDescent="0.35">
      <c r="A1837" s="7">
        <v>42258</v>
      </c>
      <c r="B1837">
        <v>3.8692000000000002</v>
      </c>
    </row>
    <row r="1838" spans="1:2" x14ac:dyDescent="0.35">
      <c r="A1838" s="7">
        <v>42257</v>
      </c>
      <c r="B1838">
        <v>3.8691</v>
      </c>
    </row>
    <row r="1839" spans="1:2" x14ac:dyDescent="0.35">
      <c r="A1839" s="7">
        <v>42256</v>
      </c>
      <c r="B1839">
        <v>3.7864</v>
      </c>
    </row>
    <row r="1840" spans="1:2" x14ac:dyDescent="0.35">
      <c r="A1840" s="7">
        <v>42255</v>
      </c>
      <c r="B1840">
        <v>3.8020999999999998</v>
      </c>
    </row>
    <row r="1841" spans="1:2" x14ac:dyDescent="0.35">
      <c r="A1841" s="7">
        <v>42251</v>
      </c>
      <c r="B1841">
        <v>3.798</v>
      </c>
    </row>
    <row r="1842" spans="1:2" x14ac:dyDescent="0.35">
      <c r="A1842" s="7">
        <v>42250</v>
      </c>
      <c r="B1842">
        <v>3.7753000000000001</v>
      </c>
    </row>
    <row r="1843" spans="1:2" x14ac:dyDescent="0.35">
      <c r="A1843" s="7">
        <v>42249</v>
      </c>
      <c r="B1843">
        <v>3.7307000000000001</v>
      </c>
    </row>
    <row r="1844" spans="1:2" x14ac:dyDescent="0.35">
      <c r="A1844" s="7">
        <v>42248</v>
      </c>
      <c r="B1844">
        <v>3.6718999999999999</v>
      </c>
    </row>
    <row r="1845" spans="1:2" x14ac:dyDescent="0.35">
      <c r="A1845" s="7">
        <v>42247</v>
      </c>
      <c r="B1845">
        <v>3.6461000000000001</v>
      </c>
    </row>
    <row r="1846" spans="1:2" x14ac:dyDescent="0.35">
      <c r="A1846" s="7">
        <v>42244</v>
      </c>
      <c r="B1846">
        <v>3.5783999999999998</v>
      </c>
    </row>
    <row r="1847" spans="1:2" x14ac:dyDescent="0.35">
      <c r="A1847" s="7">
        <v>42243</v>
      </c>
      <c r="B1847">
        <v>3.5548999999999999</v>
      </c>
    </row>
    <row r="1848" spans="1:2" x14ac:dyDescent="0.35">
      <c r="A1848" s="7">
        <v>42242</v>
      </c>
      <c r="B1848">
        <v>3.6320000000000001</v>
      </c>
    </row>
    <row r="1849" spans="1:2" x14ac:dyDescent="0.35">
      <c r="A1849" s="7">
        <v>42241</v>
      </c>
      <c r="B1849">
        <v>3.5339</v>
      </c>
    </row>
    <row r="1850" spans="1:2" x14ac:dyDescent="0.35">
      <c r="A1850" s="7">
        <v>42240</v>
      </c>
      <c r="B1850">
        <v>3.5488</v>
      </c>
    </row>
    <row r="1851" spans="1:2" x14ac:dyDescent="0.35">
      <c r="A1851" s="7">
        <v>42237</v>
      </c>
      <c r="B1851">
        <v>3.4889999999999999</v>
      </c>
    </row>
    <row r="1852" spans="1:2" x14ac:dyDescent="0.35">
      <c r="A1852" s="7">
        <v>42236</v>
      </c>
      <c r="B1852">
        <v>3.4744999999999999</v>
      </c>
    </row>
    <row r="1853" spans="1:2" x14ac:dyDescent="0.35">
      <c r="A1853" s="7">
        <v>42235</v>
      </c>
      <c r="B1853">
        <v>3.4843000000000002</v>
      </c>
    </row>
    <row r="1854" spans="1:2" x14ac:dyDescent="0.35">
      <c r="A1854" s="7">
        <v>42234</v>
      </c>
      <c r="B1854">
        <v>3.4805000000000001</v>
      </c>
    </row>
    <row r="1855" spans="1:2" x14ac:dyDescent="0.35">
      <c r="A1855" s="7">
        <v>42233</v>
      </c>
      <c r="B1855">
        <v>3.4739</v>
      </c>
    </row>
    <row r="1856" spans="1:2" x14ac:dyDescent="0.35">
      <c r="A1856" s="7">
        <v>42230</v>
      </c>
      <c r="B1856">
        <v>3.4754999999999998</v>
      </c>
    </row>
    <row r="1857" spans="1:2" x14ac:dyDescent="0.35">
      <c r="A1857" s="7">
        <v>42229</v>
      </c>
      <c r="B1857">
        <v>3.5068000000000001</v>
      </c>
    </row>
    <row r="1858" spans="1:2" x14ac:dyDescent="0.35">
      <c r="A1858" s="7">
        <v>42228</v>
      </c>
      <c r="B1858">
        <v>3.4820000000000002</v>
      </c>
    </row>
    <row r="1859" spans="1:2" x14ac:dyDescent="0.35">
      <c r="A1859" s="7">
        <v>42227</v>
      </c>
      <c r="B1859">
        <v>3.4918999999999998</v>
      </c>
    </row>
    <row r="1860" spans="1:2" x14ac:dyDescent="0.35">
      <c r="A1860" s="7">
        <v>42226</v>
      </c>
      <c r="B1860">
        <v>3.4903</v>
      </c>
    </row>
    <row r="1861" spans="1:2" x14ac:dyDescent="0.35">
      <c r="A1861" s="7">
        <v>42223</v>
      </c>
      <c r="B1861">
        <v>3.5175000000000001</v>
      </c>
    </row>
    <row r="1862" spans="1:2" x14ac:dyDescent="0.35">
      <c r="A1862" s="7">
        <v>42222</v>
      </c>
      <c r="B1862">
        <v>3.5341</v>
      </c>
    </row>
    <row r="1863" spans="1:2" x14ac:dyDescent="0.35">
      <c r="A1863" s="7">
        <v>42221</v>
      </c>
      <c r="B1863">
        <v>3.4843999999999999</v>
      </c>
    </row>
    <row r="1864" spans="1:2" x14ac:dyDescent="0.35">
      <c r="A1864" s="7">
        <v>42220</v>
      </c>
      <c r="B1864">
        <v>3.4668999999999999</v>
      </c>
    </row>
    <row r="1865" spans="1:2" x14ac:dyDescent="0.35">
      <c r="A1865" s="7">
        <v>42219</v>
      </c>
      <c r="B1865">
        <v>3.4419</v>
      </c>
    </row>
    <row r="1866" spans="1:2" x14ac:dyDescent="0.35">
      <c r="A1866" s="7">
        <v>42216</v>
      </c>
      <c r="B1866">
        <v>3.3934000000000002</v>
      </c>
    </row>
    <row r="1867" spans="1:2" x14ac:dyDescent="0.35">
      <c r="A1867" s="7">
        <v>42215</v>
      </c>
      <c r="B1867">
        <v>3.3645999999999998</v>
      </c>
    </row>
    <row r="1868" spans="1:2" x14ac:dyDescent="0.35">
      <c r="A1868" s="7">
        <v>42214</v>
      </c>
      <c r="B1868">
        <v>3.3412999999999999</v>
      </c>
    </row>
    <row r="1869" spans="1:2" x14ac:dyDescent="0.35">
      <c r="A1869" s="7">
        <v>42213</v>
      </c>
      <c r="B1869">
        <v>3.3807999999999998</v>
      </c>
    </row>
    <row r="1870" spans="1:2" x14ac:dyDescent="0.35">
      <c r="A1870" s="7">
        <v>42212</v>
      </c>
      <c r="B1870">
        <v>3.3551000000000002</v>
      </c>
    </row>
    <row r="1871" spans="1:2" x14ac:dyDescent="0.35">
      <c r="A1871" s="7">
        <v>42209</v>
      </c>
      <c r="B1871">
        <v>3.3248000000000002</v>
      </c>
    </row>
    <row r="1872" spans="1:2" x14ac:dyDescent="0.35">
      <c r="A1872" s="7">
        <v>42208</v>
      </c>
      <c r="B1872">
        <v>3.2844000000000002</v>
      </c>
    </row>
    <row r="1873" spans="1:2" x14ac:dyDescent="0.35">
      <c r="A1873" s="7">
        <v>42207</v>
      </c>
      <c r="B1873">
        <v>3.2088000000000001</v>
      </c>
    </row>
    <row r="1874" spans="1:2" x14ac:dyDescent="0.35">
      <c r="A1874" s="7">
        <v>42206</v>
      </c>
      <c r="B1874">
        <v>3.1806999999999999</v>
      </c>
    </row>
    <row r="1875" spans="1:2" x14ac:dyDescent="0.35">
      <c r="A1875" s="7">
        <v>42205</v>
      </c>
      <c r="B1875">
        <v>3.2143000000000002</v>
      </c>
    </row>
    <row r="1876" spans="1:2" x14ac:dyDescent="0.35">
      <c r="A1876" s="7">
        <v>42202</v>
      </c>
      <c r="B1876">
        <v>3.1825999999999999</v>
      </c>
    </row>
    <row r="1877" spans="1:2" x14ac:dyDescent="0.35">
      <c r="A1877" s="7">
        <v>42201</v>
      </c>
      <c r="B1877">
        <v>3.1368999999999998</v>
      </c>
    </row>
    <row r="1878" spans="1:2" x14ac:dyDescent="0.35">
      <c r="A1878" s="7">
        <v>42200</v>
      </c>
      <c r="B1878">
        <v>3.1526000000000001</v>
      </c>
    </row>
    <row r="1879" spans="1:2" x14ac:dyDescent="0.35">
      <c r="A1879" s="7">
        <v>42199</v>
      </c>
      <c r="B1879">
        <v>3.1223999999999998</v>
      </c>
    </row>
    <row r="1880" spans="1:2" x14ac:dyDescent="0.35">
      <c r="A1880" s="7">
        <v>42198</v>
      </c>
      <c r="B1880">
        <v>3.1587999999999998</v>
      </c>
    </row>
    <row r="1881" spans="1:2" x14ac:dyDescent="0.35">
      <c r="A1881" s="7">
        <v>42195</v>
      </c>
      <c r="B1881">
        <v>3.1890999999999998</v>
      </c>
    </row>
    <row r="1882" spans="1:2" x14ac:dyDescent="0.35">
      <c r="A1882" s="7">
        <v>42194</v>
      </c>
      <c r="B1882">
        <v>3.2151999999999998</v>
      </c>
    </row>
    <row r="1883" spans="1:2" x14ac:dyDescent="0.35">
      <c r="A1883" s="7">
        <v>42193</v>
      </c>
      <c r="B1883">
        <v>3.2275</v>
      </c>
    </row>
    <row r="1884" spans="1:2" x14ac:dyDescent="0.35">
      <c r="A1884" s="7">
        <v>42192</v>
      </c>
      <c r="B1884">
        <v>3.1802999999999999</v>
      </c>
    </row>
    <row r="1885" spans="1:2" x14ac:dyDescent="0.35">
      <c r="A1885" s="7">
        <v>42191</v>
      </c>
      <c r="B1885">
        <v>3.1425000000000001</v>
      </c>
    </row>
    <row r="1886" spans="1:2" x14ac:dyDescent="0.35">
      <c r="A1886" s="7">
        <v>42188</v>
      </c>
      <c r="B1886">
        <v>3.1265000000000001</v>
      </c>
    </row>
    <row r="1887" spans="1:2" x14ac:dyDescent="0.35">
      <c r="A1887" s="7">
        <v>42187</v>
      </c>
      <c r="B1887">
        <v>3.1166</v>
      </c>
    </row>
    <row r="1888" spans="1:2" x14ac:dyDescent="0.35">
      <c r="A1888" s="7">
        <v>42186</v>
      </c>
      <c r="B1888">
        <v>3.1185</v>
      </c>
    </row>
    <row r="1889" spans="1:2" x14ac:dyDescent="0.35">
      <c r="A1889" s="7">
        <v>42185</v>
      </c>
      <c r="B1889">
        <v>3.1019000000000001</v>
      </c>
    </row>
    <row r="1890" spans="1:2" x14ac:dyDescent="0.35">
      <c r="A1890" s="7">
        <v>42184</v>
      </c>
      <c r="B1890">
        <v>3.1383000000000001</v>
      </c>
    </row>
    <row r="1891" spans="1:2" x14ac:dyDescent="0.35">
      <c r="A1891" s="7">
        <v>42181</v>
      </c>
      <c r="B1891">
        <v>3.1265000000000001</v>
      </c>
    </row>
    <row r="1892" spans="1:2" x14ac:dyDescent="0.35">
      <c r="A1892" s="7">
        <v>42180</v>
      </c>
      <c r="B1892">
        <v>3.1009000000000002</v>
      </c>
    </row>
    <row r="1893" spans="1:2" x14ac:dyDescent="0.35">
      <c r="A1893" s="7">
        <v>42179</v>
      </c>
      <c r="B1893">
        <v>3.0846</v>
      </c>
    </row>
    <row r="1894" spans="1:2" x14ac:dyDescent="0.35">
      <c r="A1894" s="7">
        <v>42178</v>
      </c>
      <c r="B1894">
        <v>3.1036000000000001</v>
      </c>
    </row>
    <row r="1895" spans="1:2" x14ac:dyDescent="0.35">
      <c r="A1895" s="7">
        <v>42177</v>
      </c>
      <c r="B1895">
        <v>3.0750999999999999</v>
      </c>
    </row>
    <row r="1896" spans="1:2" x14ac:dyDescent="0.35">
      <c r="A1896" s="7">
        <v>42174</v>
      </c>
      <c r="B1896">
        <v>3.0781999999999998</v>
      </c>
    </row>
    <row r="1897" spans="1:2" x14ac:dyDescent="0.35">
      <c r="A1897" s="7">
        <v>42173</v>
      </c>
      <c r="B1897">
        <v>3.0466000000000002</v>
      </c>
    </row>
    <row r="1898" spans="1:2" x14ac:dyDescent="0.35">
      <c r="A1898" s="7">
        <v>42172</v>
      </c>
      <c r="B1898">
        <v>3.0983000000000001</v>
      </c>
    </row>
    <row r="1899" spans="1:2" x14ac:dyDescent="0.35">
      <c r="A1899" s="7">
        <v>42171</v>
      </c>
      <c r="B1899">
        <v>3.1076000000000001</v>
      </c>
    </row>
    <row r="1900" spans="1:2" x14ac:dyDescent="0.35">
      <c r="A1900" s="7">
        <v>42170</v>
      </c>
      <c r="B1900">
        <v>3.1030000000000002</v>
      </c>
    </row>
    <row r="1901" spans="1:2" x14ac:dyDescent="0.35">
      <c r="A1901" s="7">
        <v>42167</v>
      </c>
      <c r="B1901">
        <v>3.1101000000000001</v>
      </c>
    </row>
    <row r="1902" spans="1:2" x14ac:dyDescent="0.35">
      <c r="A1902" s="7">
        <v>42166</v>
      </c>
      <c r="B1902">
        <v>3.1507999999999998</v>
      </c>
    </row>
    <row r="1903" spans="1:2" x14ac:dyDescent="0.35">
      <c r="A1903" s="7">
        <v>42165</v>
      </c>
      <c r="B1903">
        <v>3.0836999999999999</v>
      </c>
    </row>
    <row r="1904" spans="1:2" x14ac:dyDescent="0.35">
      <c r="A1904" s="7">
        <v>42164</v>
      </c>
      <c r="B1904">
        <v>3.0985</v>
      </c>
    </row>
    <row r="1905" spans="1:2" x14ac:dyDescent="0.35">
      <c r="A1905" s="7">
        <v>42163</v>
      </c>
      <c r="B1905">
        <v>3.1183999999999998</v>
      </c>
    </row>
    <row r="1906" spans="1:2" x14ac:dyDescent="0.35">
      <c r="A1906" s="7">
        <v>42160</v>
      </c>
      <c r="B1906">
        <v>3.1677</v>
      </c>
    </row>
    <row r="1907" spans="1:2" x14ac:dyDescent="0.35">
      <c r="A1907" s="7">
        <v>42158</v>
      </c>
      <c r="B1907">
        <v>3.1177999999999999</v>
      </c>
    </row>
    <row r="1908" spans="1:2" x14ac:dyDescent="0.35">
      <c r="A1908" s="7">
        <v>42157</v>
      </c>
      <c r="B1908">
        <v>3.1436999999999999</v>
      </c>
    </row>
    <row r="1909" spans="1:2" x14ac:dyDescent="0.35">
      <c r="A1909" s="7">
        <v>42156</v>
      </c>
      <c r="B1909">
        <v>3.1783000000000001</v>
      </c>
    </row>
    <row r="1910" spans="1:2" x14ac:dyDescent="0.35">
      <c r="A1910" s="7">
        <v>42153</v>
      </c>
      <c r="B1910">
        <v>3.1781000000000001</v>
      </c>
    </row>
    <row r="1911" spans="1:2" x14ac:dyDescent="0.35">
      <c r="A1911" s="7">
        <v>42152</v>
      </c>
      <c r="B1911">
        <v>3.1741000000000001</v>
      </c>
    </row>
    <row r="1912" spans="1:2" x14ac:dyDescent="0.35">
      <c r="A1912" s="7">
        <v>42151</v>
      </c>
      <c r="B1912">
        <v>3.1734</v>
      </c>
    </row>
    <row r="1913" spans="1:2" x14ac:dyDescent="0.35">
      <c r="A1913" s="7">
        <v>42150</v>
      </c>
      <c r="B1913">
        <v>3.1345000000000001</v>
      </c>
    </row>
    <row r="1914" spans="1:2" x14ac:dyDescent="0.35">
      <c r="A1914" s="7">
        <v>42149</v>
      </c>
      <c r="B1914">
        <v>3.1206</v>
      </c>
    </row>
    <row r="1915" spans="1:2" x14ac:dyDescent="0.35">
      <c r="A1915" s="7">
        <v>42146</v>
      </c>
      <c r="B1915">
        <v>3.0647000000000002</v>
      </c>
    </row>
    <row r="1916" spans="1:2" x14ac:dyDescent="0.35">
      <c r="A1916" s="7">
        <v>42145</v>
      </c>
      <c r="B1916">
        <v>3.0289000000000001</v>
      </c>
    </row>
    <row r="1917" spans="1:2" x14ac:dyDescent="0.35">
      <c r="A1917" s="7">
        <v>42144</v>
      </c>
      <c r="B1917">
        <v>3.0339999999999998</v>
      </c>
    </row>
    <row r="1918" spans="1:2" x14ac:dyDescent="0.35">
      <c r="A1918" s="7">
        <v>42143</v>
      </c>
      <c r="B1918">
        <v>3.0278</v>
      </c>
    </row>
    <row r="1919" spans="1:2" x14ac:dyDescent="0.35">
      <c r="A1919" s="7">
        <v>42142</v>
      </c>
      <c r="B1919">
        <v>3.0139</v>
      </c>
    </row>
    <row r="1920" spans="1:2" x14ac:dyDescent="0.35">
      <c r="A1920" s="7">
        <v>42139</v>
      </c>
      <c r="B1920">
        <v>2.9887000000000001</v>
      </c>
    </row>
    <row r="1921" spans="1:2" x14ac:dyDescent="0.35">
      <c r="A1921" s="7">
        <v>42138</v>
      </c>
      <c r="B1921">
        <v>3.0026000000000002</v>
      </c>
    </row>
    <row r="1922" spans="1:2" x14ac:dyDescent="0.35">
      <c r="A1922" s="7">
        <v>42137</v>
      </c>
      <c r="B1922">
        <v>3.0095999999999998</v>
      </c>
    </row>
    <row r="1923" spans="1:2" x14ac:dyDescent="0.35">
      <c r="A1923" s="7">
        <v>42136</v>
      </c>
      <c r="B1923">
        <v>3.0381999999999998</v>
      </c>
    </row>
    <row r="1924" spans="1:2" x14ac:dyDescent="0.35">
      <c r="A1924" s="7">
        <v>42135</v>
      </c>
      <c r="B1924">
        <v>3.0169000000000001</v>
      </c>
    </row>
    <row r="1925" spans="1:2" x14ac:dyDescent="0.35">
      <c r="A1925" s="7">
        <v>42132</v>
      </c>
      <c r="B1925">
        <v>2.9958999999999998</v>
      </c>
    </row>
    <row r="1926" spans="1:2" x14ac:dyDescent="0.35">
      <c r="A1926" s="7">
        <v>42131</v>
      </c>
      <c r="B1926">
        <v>3.0415000000000001</v>
      </c>
    </row>
    <row r="1927" spans="1:2" x14ac:dyDescent="0.35">
      <c r="A1927" s="7">
        <v>42130</v>
      </c>
      <c r="B1927">
        <v>3.0413999999999999</v>
      </c>
    </row>
    <row r="1928" spans="1:2" x14ac:dyDescent="0.35">
      <c r="A1928" s="7">
        <v>42129</v>
      </c>
      <c r="B1928">
        <v>3.0619000000000001</v>
      </c>
    </row>
    <row r="1929" spans="1:2" x14ac:dyDescent="0.35">
      <c r="A1929" s="7">
        <v>42128</v>
      </c>
      <c r="B1929">
        <v>3.0748000000000002</v>
      </c>
    </row>
    <row r="1930" spans="1:2" x14ac:dyDescent="0.35">
      <c r="A1930" s="7">
        <v>42124</v>
      </c>
      <c r="B1930">
        <v>2.9929999999999999</v>
      </c>
    </row>
    <row r="1931" spans="1:2" x14ac:dyDescent="0.35">
      <c r="A1931" s="7">
        <v>42123</v>
      </c>
      <c r="B1931">
        <v>2.9369000000000001</v>
      </c>
    </row>
    <row r="1932" spans="1:2" x14ac:dyDescent="0.35">
      <c r="A1932" s="7">
        <v>42122</v>
      </c>
      <c r="B1932">
        <v>2.8936999999999999</v>
      </c>
    </row>
    <row r="1933" spans="1:2" x14ac:dyDescent="0.35">
      <c r="A1933" s="7">
        <v>42121</v>
      </c>
      <c r="B1933">
        <v>2.9228999999999998</v>
      </c>
    </row>
    <row r="1934" spans="1:2" x14ac:dyDescent="0.35">
      <c r="A1934" s="7">
        <v>42118</v>
      </c>
      <c r="B1934">
        <v>2.9739</v>
      </c>
    </row>
    <row r="1935" spans="1:2" x14ac:dyDescent="0.35">
      <c r="A1935" s="7">
        <v>42117</v>
      </c>
      <c r="B1935">
        <v>3.0076999999999998</v>
      </c>
    </row>
    <row r="1936" spans="1:2" x14ac:dyDescent="0.35">
      <c r="A1936" s="7">
        <v>42116</v>
      </c>
      <c r="B1936">
        <v>3.0179999999999998</v>
      </c>
    </row>
    <row r="1937" spans="1:2" x14ac:dyDescent="0.35">
      <c r="A1937" s="7">
        <v>42114</v>
      </c>
      <c r="B1937">
        <v>3.0467</v>
      </c>
    </row>
    <row r="1938" spans="1:2" x14ac:dyDescent="0.35">
      <c r="A1938" s="7">
        <v>42111</v>
      </c>
      <c r="B1938">
        <v>3.0537999999999998</v>
      </c>
    </row>
    <row r="1939" spans="1:2" x14ac:dyDescent="0.35">
      <c r="A1939" s="7">
        <v>42110</v>
      </c>
      <c r="B1939">
        <v>3.0243000000000002</v>
      </c>
    </row>
    <row r="1940" spans="1:2" x14ac:dyDescent="0.35">
      <c r="A1940" s="7">
        <v>42109</v>
      </c>
      <c r="B1940">
        <v>3.0674999999999999</v>
      </c>
    </row>
    <row r="1941" spans="1:2" x14ac:dyDescent="0.35">
      <c r="A1941" s="7">
        <v>42108</v>
      </c>
      <c r="B1941">
        <v>3.0874000000000001</v>
      </c>
    </row>
    <row r="1942" spans="1:2" x14ac:dyDescent="0.35">
      <c r="A1942" s="7">
        <v>42107</v>
      </c>
      <c r="B1942">
        <v>3.1004999999999998</v>
      </c>
    </row>
    <row r="1943" spans="1:2" x14ac:dyDescent="0.35">
      <c r="A1943" s="7">
        <v>42104</v>
      </c>
      <c r="B1943">
        <v>3.0789</v>
      </c>
    </row>
    <row r="1944" spans="1:2" x14ac:dyDescent="0.35">
      <c r="A1944" s="7">
        <v>42103</v>
      </c>
      <c r="B1944">
        <v>3.0459000000000001</v>
      </c>
    </row>
    <row r="1945" spans="1:2" x14ac:dyDescent="0.35">
      <c r="A1945" s="7">
        <v>42102</v>
      </c>
      <c r="B1945">
        <v>3.0828000000000002</v>
      </c>
    </row>
    <row r="1946" spans="1:2" x14ac:dyDescent="0.35">
      <c r="A1946" s="7">
        <v>42101</v>
      </c>
      <c r="B1946">
        <v>3.1225000000000001</v>
      </c>
    </row>
    <row r="1947" spans="1:2" x14ac:dyDescent="0.35">
      <c r="A1947" s="7">
        <v>42100</v>
      </c>
      <c r="B1947">
        <v>3.0920000000000001</v>
      </c>
    </row>
    <row r="1948" spans="1:2" x14ac:dyDescent="0.35">
      <c r="A1948" s="7">
        <v>42096</v>
      </c>
      <c r="B1948">
        <v>3.1486000000000001</v>
      </c>
    </row>
    <row r="1949" spans="1:2" x14ac:dyDescent="0.35">
      <c r="A1949" s="7">
        <v>42095</v>
      </c>
      <c r="B1949">
        <v>3.1549</v>
      </c>
    </row>
    <row r="1950" spans="1:2" x14ac:dyDescent="0.35">
      <c r="A1950" s="7">
        <v>42094</v>
      </c>
      <c r="B1950">
        <v>3.2073999999999998</v>
      </c>
    </row>
    <row r="1951" spans="1:2" x14ac:dyDescent="0.35">
      <c r="A1951" s="7">
        <v>42093</v>
      </c>
      <c r="B1951">
        <v>3.2595000000000001</v>
      </c>
    </row>
    <row r="1952" spans="1:2" x14ac:dyDescent="0.35">
      <c r="A1952" s="7">
        <v>42090</v>
      </c>
      <c r="B1952">
        <v>3.2252999999999998</v>
      </c>
    </row>
    <row r="1953" spans="1:2" x14ac:dyDescent="0.35">
      <c r="A1953" s="7">
        <v>42089</v>
      </c>
      <c r="B1953">
        <v>3.1909000000000001</v>
      </c>
    </row>
    <row r="1954" spans="1:2" x14ac:dyDescent="0.35">
      <c r="A1954" s="7">
        <v>42088</v>
      </c>
      <c r="B1954">
        <v>3.1469</v>
      </c>
    </row>
    <row r="1955" spans="1:2" x14ac:dyDescent="0.35">
      <c r="A1955" s="7">
        <v>42087</v>
      </c>
      <c r="B1955">
        <v>3.1303999999999998</v>
      </c>
    </row>
    <row r="1956" spans="1:2" x14ac:dyDescent="0.35">
      <c r="A1956" s="7">
        <v>42086</v>
      </c>
      <c r="B1956">
        <v>3.1793</v>
      </c>
    </row>
    <row r="1957" spans="1:2" x14ac:dyDescent="0.35">
      <c r="A1957" s="7">
        <v>42083</v>
      </c>
      <c r="B1957">
        <v>3.2416999999999998</v>
      </c>
    </row>
    <row r="1958" spans="1:2" x14ac:dyDescent="0.35">
      <c r="A1958" s="7">
        <v>42082</v>
      </c>
      <c r="B1958">
        <v>3.2635000000000001</v>
      </c>
    </row>
    <row r="1959" spans="1:2" x14ac:dyDescent="0.35">
      <c r="A1959" s="7">
        <v>42081</v>
      </c>
      <c r="B1959">
        <v>3.2511999999999999</v>
      </c>
    </row>
    <row r="1960" spans="1:2" x14ac:dyDescent="0.35">
      <c r="A1960" s="7">
        <v>42080</v>
      </c>
      <c r="B1960">
        <v>3.2677</v>
      </c>
    </row>
    <row r="1961" spans="1:2" x14ac:dyDescent="0.35">
      <c r="A1961" s="7">
        <v>42079</v>
      </c>
      <c r="B1961">
        <v>3.2250999999999999</v>
      </c>
    </row>
    <row r="1962" spans="1:2" x14ac:dyDescent="0.35">
      <c r="A1962" s="7">
        <v>42076</v>
      </c>
      <c r="B1962">
        <v>3.2258</v>
      </c>
    </row>
    <row r="1963" spans="1:2" x14ac:dyDescent="0.35">
      <c r="A1963" s="7">
        <v>42075</v>
      </c>
      <c r="B1963">
        <v>3.1164999999999998</v>
      </c>
    </row>
    <row r="1964" spans="1:2" x14ac:dyDescent="0.35">
      <c r="A1964" s="7">
        <v>42074</v>
      </c>
      <c r="B1964">
        <v>3.1156000000000001</v>
      </c>
    </row>
    <row r="1965" spans="1:2" x14ac:dyDescent="0.35">
      <c r="A1965" s="7">
        <v>42073</v>
      </c>
      <c r="B1965">
        <v>3.1293000000000002</v>
      </c>
    </row>
    <row r="1966" spans="1:2" x14ac:dyDescent="0.35">
      <c r="A1966" s="7">
        <v>42072</v>
      </c>
      <c r="B1966">
        <v>3.1012</v>
      </c>
    </row>
    <row r="1967" spans="1:2" x14ac:dyDescent="0.35">
      <c r="A1967" s="7">
        <v>42069</v>
      </c>
      <c r="B1967">
        <v>3.036</v>
      </c>
    </row>
    <row r="1968" spans="1:2" x14ac:dyDescent="0.35">
      <c r="A1968" s="7">
        <v>42068</v>
      </c>
      <c r="B1968">
        <v>2.9925000000000002</v>
      </c>
    </row>
    <row r="1969" spans="1:2" x14ac:dyDescent="0.35">
      <c r="A1969" s="7">
        <v>42067</v>
      </c>
      <c r="B1969">
        <v>2.9798</v>
      </c>
    </row>
    <row r="1970" spans="1:2" x14ac:dyDescent="0.35">
      <c r="A1970" s="7">
        <v>42066</v>
      </c>
      <c r="B1970">
        <v>2.9045000000000001</v>
      </c>
    </row>
    <row r="1971" spans="1:2" x14ac:dyDescent="0.35">
      <c r="A1971" s="7">
        <v>42065</v>
      </c>
      <c r="B1971">
        <v>2.8649</v>
      </c>
    </row>
    <row r="1972" spans="1:2" x14ac:dyDescent="0.35">
      <c r="A1972" s="7">
        <v>42062</v>
      </c>
      <c r="B1972">
        <v>2.8776999999999999</v>
      </c>
    </row>
    <row r="1973" spans="1:2" x14ac:dyDescent="0.35">
      <c r="A1973" s="7">
        <v>42061</v>
      </c>
      <c r="B1973">
        <v>2.8721000000000001</v>
      </c>
    </row>
    <row r="1974" spans="1:2" x14ac:dyDescent="0.35">
      <c r="A1974" s="7">
        <v>42060</v>
      </c>
      <c r="B1974">
        <v>2.8639999999999999</v>
      </c>
    </row>
    <row r="1975" spans="1:2" x14ac:dyDescent="0.35">
      <c r="A1975" s="7">
        <v>42059</v>
      </c>
      <c r="B1975">
        <v>2.8643000000000001</v>
      </c>
    </row>
    <row r="1976" spans="1:2" x14ac:dyDescent="0.35">
      <c r="A1976" s="7">
        <v>42058</v>
      </c>
      <c r="B1976">
        <v>2.8805000000000001</v>
      </c>
    </row>
    <row r="1977" spans="1:2" x14ac:dyDescent="0.35">
      <c r="A1977" s="7">
        <v>42055</v>
      </c>
      <c r="B1977">
        <v>2.8694000000000002</v>
      </c>
    </row>
    <row r="1978" spans="1:2" x14ac:dyDescent="0.35">
      <c r="A1978" s="7">
        <v>42054</v>
      </c>
      <c r="B1978">
        <v>2.8538999999999999</v>
      </c>
    </row>
    <row r="1979" spans="1:2" x14ac:dyDescent="0.35">
      <c r="A1979" s="7">
        <v>42053</v>
      </c>
      <c r="B1979">
        <v>2.8424</v>
      </c>
    </row>
    <row r="1980" spans="1:2" x14ac:dyDescent="0.35">
      <c r="A1980" s="7">
        <v>42048</v>
      </c>
      <c r="B1980">
        <v>2.8384999999999998</v>
      </c>
    </row>
    <row r="1981" spans="1:2" x14ac:dyDescent="0.35">
      <c r="A1981" s="7">
        <v>42047</v>
      </c>
      <c r="B1981">
        <v>2.8618999999999999</v>
      </c>
    </row>
    <row r="1982" spans="1:2" x14ac:dyDescent="0.35">
      <c r="A1982" s="7">
        <v>42046</v>
      </c>
      <c r="B1982">
        <v>2.8570000000000002</v>
      </c>
    </row>
    <row r="1983" spans="1:2" x14ac:dyDescent="0.35">
      <c r="A1983" s="7">
        <v>42045</v>
      </c>
      <c r="B1983">
        <v>2.8069000000000002</v>
      </c>
    </row>
    <row r="1984" spans="1:2" x14ac:dyDescent="0.35">
      <c r="A1984" s="7">
        <v>42044</v>
      </c>
      <c r="B1984">
        <v>2.7867000000000002</v>
      </c>
    </row>
    <row r="1985" spans="1:2" x14ac:dyDescent="0.35">
      <c r="A1985" s="7">
        <v>42041</v>
      </c>
      <c r="B1985">
        <v>2.7635000000000001</v>
      </c>
    </row>
    <row r="1986" spans="1:2" x14ac:dyDescent="0.35">
      <c r="A1986" s="7">
        <v>42040</v>
      </c>
      <c r="B1986">
        <v>2.738</v>
      </c>
    </row>
    <row r="1987" spans="1:2" x14ac:dyDescent="0.35">
      <c r="A1987" s="7">
        <v>42039</v>
      </c>
      <c r="B1987">
        <v>2.7141999999999999</v>
      </c>
    </row>
    <row r="1988" spans="1:2" x14ac:dyDescent="0.35">
      <c r="A1988" s="7">
        <v>42038</v>
      </c>
      <c r="B1988">
        <v>2.7052999999999998</v>
      </c>
    </row>
    <row r="1989" spans="1:2" x14ac:dyDescent="0.35">
      <c r="A1989" s="7">
        <v>42037</v>
      </c>
      <c r="B1989">
        <v>2.6888000000000001</v>
      </c>
    </row>
    <row r="1990" spans="1:2" x14ac:dyDescent="0.35">
      <c r="A1990" s="7">
        <v>42034</v>
      </c>
      <c r="B1990">
        <v>2.6617000000000002</v>
      </c>
    </row>
    <row r="1991" spans="1:2" x14ac:dyDescent="0.35">
      <c r="A1991" s="7">
        <v>42033</v>
      </c>
      <c r="B1991">
        <v>2.5954000000000002</v>
      </c>
    </row>
    <row r="1992" spans="1:2" x14ac:dyDescent="0.35">
      <c r="A1992" s="7">
        <v>42032</v>
      </c>
      <c r="B1992">
        <v>2.5790999999999999</v>
      </c>
    </row>
    <row r="1993" spans="1:2" x14ac:dyDescent="0.35">
      <c r="A1993" s="7">
        <v>42031</v>
      </c>
      <c r="B1993">
        <v>2.5802999999999998</v>
      </c>
    </row>
    <row r="1994" spans="1:2" x14ac:dyDescent="0.35">
      <c r="A1994" s="7">
        <v>42030</v>
      </c>
      <c r="B1994">
        <v>2.5960000000000001</v>
      </c>
    </row>
    <row r="1995" spans="1:2" x14ac:dyDescent="0.35">
      <c r="A1995" s="7">
        <v>42027</v>
      </c>
      <c r="B1995">
        <v>2.585</v>
      </c>
    </row>
    <row r="1996" spans="1:2" x14ac:dyDescent="0.35">
      <c r="A1996" s="7">
        <v>42026</v>
      </c>
      <c r="B1996">
        <v>2.5748000000000002</v>
      </c>
    </row>
    <row r="1997" spans="1:2" x14ac:dyDescent="0.35">
      <c r="A1997" s="7">
        <v>42025</v>
      </c>
      <c r="B1997">
        <v>2.5960999999999999</v>
      </c>
    </row>
    <row r="1998" spans="1:2" x14ac:dyDescent="0.35">
      <c r="A1998" s="7">
        <v>42024</v>
      </c>
      <c r="B1998">
        <v>2.6240999999999999</v>
      </c>
    </row>
    <row r="1999" spans="1:2" x14ac:dyDescent="0.35">
      <c r="A1999" s="7">
        <v>42023</v>
      </c>
      <c r="B1999">
        <v>2.6236999999999999</v>
      </c>
    </row>
    <row r="2000" spans="1:2" x14ac:dyDescent="0.35">
      <c r="A2000" s="7">
        <v>42020</v>
      </c>
      <c r="B2000">
        <v>2.6187</v>
      </c>
    </row>
    <row r="2001" spans="1:2" x14ac:dyDescent="0.35">
      <c r="A2001" s="7">
        <v>42019</v>
      </c>
      <c r="B2001">
        <v>2.6116000000000001</v>
      </c>
    </row>
    <row r="2002" spans="1:2" x14ac:dyDescent="0.35">
      <c r="A2002" s="7">
        <v>42018</v>
      </c>
      <c r="B2002">
        <v>2.6215999999999999</v>
      </c>
    </row>
    <row r="2003" spans="1:2" x14ac:dyDescent="0.35">
      <c r="A2003" s="7">
        <v>42017</v>
      </c>
      <c r="B2003">
        <v>2.6478999999999999</v>
      </c>
    </row>
    <row r="2004" spans="1:2" x14ac:dyDescent="0.35">
      <c r="A2004" s="7">
        <v>42016</v>
      </c>
      <c r="B2004">
        <v>2.6568999999999998</v>
      </c>
    </row>
    <row r="2005" spans="1:2" x14ac:dyDescent="0.35">
      <c r="A2005" s="7">
        <v>42013</v>
      </c>
      <c r="B2005">
        <v>2.6577000000000002</v>
      </c>
    </row>
    <row r="2006" spans="1:2" x14ac:dyDescent="0.35">
      <c r="A2006" s="7">
        <v>42012</v>
      </c>
      <c r="B2006">
        <v>2.6913</v>
      </c>
    </row>
    <row r="2007" spans="1:2" x14ac:dyDescent="0.35">
      <c r="A2007" s="7">
        <v>42011</v>
      </c>
      <c r="B2007">
        <v>2.6800999999999999</v>
      </c>
    </row>
    <row r="2008" spans="1:2" x14ac:dyDescent="0.35">
      <c r="A2008" s="7">
        <v>42010</v>
      </c>
      <c r="B2008">
        <v>2.7016</v>
      </c>
    </row>
    <row r="2009" spans="1:2" x14ac:dyDescent="0.35">
      <c r="A2009" s="7">
        <v>42009</v>
      </c>
      <c r="B2009">
        <v>2.7101000000000002</v>
      </c>
    </row>
    <row r="2010" spans="1:2" x14ac:dyDescent="0.35">
      <c r="A2010" s="7">
        <v>42006</v>
      </c>
      <c r="B2010">
        <v>2.6922999999999999</v>
      </c>
    </row>
    <row r="2011" spans="1:2" x14ac:dyDescent="0.35">
      <c r="A2011" s="7">
        <v>42004</v>
      </c>
      <c r="B2011">
        <v>2.6556000000000002</v>
      </c>
    </row>
    <row r="2012" spans="1:2" x14ac:dyDescent="0.35">
      <c r="A2012" s="7">
        <v>42003</v>
      </c>
      <c r="B2012">
        <v>2.6556000000000002</v>
      </c>
    </row>
    <row r="2013" spans="1:2" x14ac:dyDescent="0.35">
      <c r="A2013" s="7">
        <v>42002</v>
      </c>
      <c r="B2013">
        <v>2.6777000000000002</v>
      </c>
    </row>
    <row r="2014" spans="1:2" x14ac:dyDescent="0.35">
      <c r="A2014" s="7">
        <v>41999</v>
      </c>
      <c r="B2014">
        <v>2.6806000000000001</v>
      </c>
    </row>
    <row r="2015" spans="1:2" x14ac:dyDescent="0.35">
      <c r="A2015" s="7">
        <v>41997</v>
      </c>
      <c r="B2015">
        <v>2.6821999999999999</v>
      </c>
    </row>
    <row r="2016" spans="1:2" x14ac:dyDescent="0.35">
      <c r="A2016" s="7">
        <v>41996</v>
      </c>
      <c r="B2016">
        <v>2.6768999999999998</v>
      </c>
    </row>
    <row r="2017" spans="1:2" x14ac:dyDescent="0.35">
      <c r="A2017" s="7">
        <v>41995</v>
      </c>
      <c r="B2017">
        <v>2.6520000000000001</v>
      </c>
    </row>
    <row r="2018" spans="1:2" x14ac:dyDescent="0.35">
      <c r="A2018" s="7">
        <v>41992</v>
      </c>
      <c r="B2018">
        <v>2.6480000000000001</v>
      </c>
    </row>
    <row r="2019" spans="1:2" x14ac:dyDescent="0.35">
      <c r="A2019" s="7">
        <v>41991</v>
      </c>
      <c r="B2019">
        <v>2.6669</v>
      </c>
    </row>
    <row r="2020" spans="1:2" x14ac:dyDescent="0.35">
      <c r="A2020" s="7">
        <v>41990</v>
      </c>
      <c r="B2020">
        <v>2.7240000000000002</v>
      </c>
    </row>
    <row r="2021" spans="1:2" x14ac:dyDescent="0.35">
      <c r="A2021" s="7">
        <v>41989</v>
      </c>
      <c r="B2021">
        <v>2.7397</v>
      </c>
    </row>
    <row r="2022" spans="1:2" x14ac:dyDescent="0.35">
      <c r="A2022" s="7">
        <v>41988</v>
      </c>
      <c r="B2022">
        <v>2.6711</v>
      </c>
    </row>
    <row r="2023" spans="1:2" x14ac:dyDescent="0.35">
      <c r="A2023" s="7">
        <v>41985</v>
      </c>
      <c r="B2023">
        <v>2.6551999999999998</v>
      </c>
    </row>
    <row r="2024" spans="1:2" x14ac:dyDescent="0.35">
      <c r="A2024" s="7">
        <v>41984</v>
      </c>
      <c r="B2024">
        <v>2.6265000000000001</v>
      </c>
    </row>
    <row r="2025" spans="1:2" x14ac:dyDescent="0.35">
      <c r="A2025" s="7">
        <v>41983</v>
      </c>
      <c r="B2025">
        <v>2.5924999999999998</v>
      </c>
    </row>
    <row r="2026" spans="1:2" x14ac:dyDescent="0.35">
      <c r="A2026" s="7">
        <v>41982</v>
      </c>
      <c r="B2026">
        <v>2.601</v>
      </c>
    </row>
    <row r="2027" spans="1:2" x14ac:dyDescent="0.35">
      <c r="A2027" s="7">
        <v>41981</v>
      </c>
      <c r="B2027">
        <v>2.5916999999999999</v>
      </c>
    </row>
    <row r="2028" spans="1:2" x14ac:dyDescent="0.35">
      <c r="A2028" s="7">
        <v>41978</v>
      </c>
      <c r="B2028">
        <v>2.5882000000000001</v>
      </c>
    </row>
    <row r="2029" spans="1:2" x14ac:dyDescent="0.35">
      <c r="A2029" s="7">
        <v>41977</v>
      </c>
      <c r="B2029">
        <v>2.5790999999999999</v>
      </c>
    </row>
    <row r="2030" spans="1:2" x14ac:dyDescent="0.35">
      <c r="A2030" s="7">
        <v>41976</v>
      </c>
      <c r="B2030">
        <v>2.5600999999999998</v>
      </c>
    </row>
    <row r="2031" spans="1:2" x14ac:dyDescent="0.35">
      <c r="A2031" s="7">
        <v>41975</v>
      </c>
      <c r="B2031">
        <v>2.5657999999999999</v>
      </c>
    </row>
    <row r="2032" spans="1:2" x14ac:dyDescent="0.35">
      <c r="A2032" s="7">
        <v>41974</v>
      </c>
      <c r="B2032">
        <v>2.5617999999999999</v>
      </c>
    </row>
    <row r="2033" spans="1:2" x14ac:dyDescent="0.35">
      <c r="A2033" s="7">
        <v>41971</v>
      </c>
      <c r="B2033">
        <v>2.5594999999999999</v>
      </c>
    </row>
    <row r="2034" spans="1:2" x14ac:dyDescent="0.35">
      <c r="A2034" s="7">
        <v>41970</v>
      </c>
      <c r="B2034">
        <v>2.5059</v>
      </c>
    </row>
    <row r="2035" spans="1:2" x14ac:dyDescent="0.35">
      <c r="A2035" s="7">
        <v>41969</v>
      </c>
      <c r="B2035">
        <v>2.5097</v>
      </c>
    </row>
    <row r="2036" spans="1:2" x14ac:dyDescent="0.35">
      <c r="A2036" s="7">
        <v>41968</v>
      </c>
      <c r="B2036">
        <v>2.5230000000000001</v>
      </c>
    </row>
    <row r="2037" spans="1:2" x14ac:dyDescent="0.35">
      <c r="A2037" s="7">
        <v>41967</v>
      </c>
      <c r="B2037">
        <v>2.5276000000000001</v>
      </c>
    </row>
    <row r="2038" spans="1:2" x14ac:dyDescent="0.35">
      <c r="A2038" s="7">
        <v>41964</v>
      </c>
      <c r="B2038">
        <v>2.5384000000000002</v>
      </c>
    </row>
    <row r="2039" spans="1:2" x14ac:dyDescent="0.35">
      <c r="A2039" s="7">
        <v>41963</v>
      </c>
      <c r="B2039">
        <v>2.5539999999999998</v>
      </c>
    </row>
    <row r="2040" spans="1:2" x14ac:dyDescent="0.35">
      <c r="A2040" s="7">
        <v>41962</v>
      </c>
      <c r="B2040">
        <v>2.5842999999999998</v>
      </c>
    </row>
    <row r="2041" spans="1:2" x14ac:dyDescent="0.35">
      <c r="A2041" s="7">
        <v>41961</v>
      </c>
      <c r="B2041">
        <v>2.5960999999999999</v>
      </c>
    </row>
    <row r="2042" spans="1:2" x14ac:dyDescent="0.35">
      <c r="A2042" s="7">
        <v>41960</v>
      </c>
      <c r="B2042">
        <v>2.6029</v>
      </c>
    </row>
    <row r="2043" spans="1:2" x14ac:dyDescent="0.35">
      <c r="A2043" s="7">
        <v>41957</v>
      </c>
      <c r="B2043">
        <v>2.6128999999999998</v>
      </c>
    </row>
    <row r="2044" spans="1:2" x14ac:dyDescent="0.35">
      <c r="A2044" s="7">
        <v>41956</v>
      </c>
      <c r="B2044">
        <v>2.5718999999999999</v>
      </c>
    </row>
    <row r="2045" spans="1:2" x14ac:dyDescent="0.35">
      <c r="A2045" s="7">
        <v>41955</v>
      </c>
      <c r="B2045">
        <v>2.5543999999999998</v>
      </c>
    </row>
    <row r="2046" spans="1:2" x14ac:dyDescent="0.35">
      <c r="A2046" s="7">
        <v>41954</v>
      </c>
      <c r="B2046">
        <v>2.5638000000000001</v>
      </c>
    </row>
    <row r="2047" spans="1:2" x14ac:dyDescent="0.35">
      <c r="A2047" s="7">
        <v>41953</v>
      </c>
      <c r="B2047">
        <v>2.5384000000000002</v>
      </c>
    </row>
    <row r="2048" spans="1:2" x14ac:dyDescent="0.35">
      <c r="A2048" s="7">
        <v>41950</v>
      </c>
      <c r="B2048">
        <v>2.5714999999999999</v>
      </c>
    </row>
    <row r="2049" spans="1:2" x14ac:dyDescent="0.35">
      <c r="A2049" s="7">
        <v>41949</v>
      </c>
      <c r="B2049">
        <v>2.5318999999999998</v>
      </c>
    </row>
    <row r="2050" spans="1:2" x14ac:dyDescent="0.35">
      <c r="A2050" s="7">
        <v>41948</v>
      </c>
      <c r="B2050">
        <v>2.5162</v>
      </c>
    </row>
    <row r="2051" spans="1:2" x14ac:dyDescent="0.35">
      <c r="A2051" s="7">
        <v>41947</v>
      </c>
      <c r="B2051">
        <v>2.5188999999999999</v>
      </c>
    </row>
    <row r="2052" spans="1:2" x14ac:dyDescent="0.35">
      <c r="A2052" s="7">
        <v>41946</v>
      </c>
      <c r="B2052">
        <v>2.4832999999999998</v>
      </c>
    </row>
    <row r="2053" spans="1:2" x14ac:dyDescent="0.35">
      <c r="A2053" s="7">
        <v>41943</v>
      </c>
      <c r="B2053">
        <v>2.4436</v>
      </c>
    </row>
    <row r="2054" spans="1:2" x14ac:dyDescent="0.35">
      <c r="A2054" s="7">
        <v>41942</v>
      </c>
      <c r="B2054">
        <v>2.4113000000000002</v>
      </c>
    </row>
    <row r="2055" spans="1:2" x14ac:dyDescent="0.35">
      <c r="A2055" s="7">
        <v>41941</v>
      </c>
      <c r="B2055">
        <v>2.4340000000000002</v>
      </c>
    </row>
    <row r="2056" spans="1:2" x14ac:dyDescent="0.35">
      <c r="A2056" s="7">
        <v>41940</v>
      </c>
      <c r="B2056">
        <v>2.4863</v>
      </c>
    </row>
    <row r="2057" spans="1:2" x14ac:dyDescent="0.35">
      <c r="A2057" s="7">
        <v>41939</v>
      </c>
      <c r="B2057">
        <v>2.5335000000000001</v>
      </c>
    </row>
    <row r="2058" spans="1:2" x14ac:dyDescent="0.35">
      <c r="A2058" s="7">
        <v>41936</v>
      </c>
      <c r="B2058">
        <v>2.4799000000000002</v>
      </c>
    </row>
    <row r="2059" spans="1:2" x14ac:dyDescent="0.35">
      <c r="A2059" s="7">
        <v>41935</v>
      </c>
      <c r="B2059">
        <v>2.4998</v>
      </c>
    </row>
    <row r="2060" spans="1:2" x14ac:dyDescent="0.35">
      <c r="A2060" s="7">
        <v>41934</v>
      </c>
      <c r="B2060">
        <v>2.4775</v>
      </c>
    </row>
    <row r="2061" spans="1:2" x14ac:dyDescent="0.35">
      <c r="A2061" s="7">
        <v>41933</v>
      </c>
      <c r="B2061">
        <v>2.4790999999999999</v>
      </c>
    </row>
    <row r="2062" spans="1:2" x14ac:dyDescent="0.35">
      <c r="A2062" s="7">
        <v>41932</v>
      </c>
      <c r="B2062">
        <v>2.4548000000000001</v>
      </c>
    </row>
    <row r="2063" spans="1:2" x14ac:dyDescent="0.35">
      <c r="A2063" s="7">
        <v>41929</v>
      </c>
      <c r="B2063">
        <v>2.4470000000000001</v>
      </c>
    </row>
    <row r="2064" spans="1:2" x14ac:dyDescent="0.35">
      <c r="A2064" s="7">
        <v>41928</v>
      </c>
      <c r="B2064">
        <v>2.4763000000000002</v>
      </c>
    </row>
    <row r="2065" spans="1:2" x14ac:dyDescent="0.35">
      <c r="A2065" s="7">
        <v>41927</v>
      </c>
      <c r="B2065">
        <v>2.431</v>
      </c>
    </row>
    <row r="2066" spans="1:2" x14ac:dyDescent="0.35">
      <c r="A2066" s="7">
        <v>41926</v>
      </c>
      <c r="B2066">
        <v>2.3984999999999999</v>
      </c>
    </row>
    <row r="2067" spans="1:2" x14ac:dyDescent="0.35">
      <c r="A2067" s="7">
        <v>41925</v>
      </c>
      <c r="B2067">
        <v>2.3917000000000002</v>
      </c>
    </row>
    <row r="2068" spans="1:2" x14ac:dyDescent="0.35">
      <c r="A2068" s="7">
        <v>41922</v>
      </c>
      <c r="B2068">
        <v>2.4096000000000002</v>
      </c>
    </row>
    <row r="2069" spans="1:2" x14ac:dyDescent="0.35">
      <c r="A2069" s="7">
        <v>41921</v>
      </c>
      <c r="B2069">
        <v>2.3908</v>
      </c>
    </row>
    <row r="2070" spans="1:2" x14ac:dyDescent="0.35">
      <c r="A2070" s="7">
        <v>41920</v>
      </c>
      <c r="B2070">
        <v>2.4064999999999999</v>
      </c>
    </row>
    <row r="2071" spans="1:2" x14ac:dyDescent="0.35">
      <c r="A2071" s="7">
        <v>41919</v>
      </c>
      <c r="B2071">
        <v>2.4032</v>
      </c>
    </row>
    <row r="2072" spans="1:2" x14ac:dyDescent="0.35">
      <c r="A2072" s="7">
        <v>41918</v>
      </c>
      <c r="B2072">
        <v>2.4091999999999998</v>
      </c>
    </row>
    <row r="2073" spans="1:2" x14ac:dyDescent="0.35">
      <c r="A2073" s="7">
        <v>41915</v>
      </c>
      <c r="B2073">
        <v>2.4925999999999999</v>
      </c>
    </row>
    <row r="2074" spans="1:2" x14ac:dyDescent="0.35">
      <c r="A2074" s="7">
        <v>41914</v>
      </c>
      <c r="B2074">
        <v>2.4779</v>
      </c>
    </row>
    <row r="2075" spans="1:2" x14ac:dyDescent="0.35">
      <c r="A2075" s="7">
        <v>41913</v>
      </c>
      <c r="B2075">
        <v>2.4617</v>
      </c>
    </row>
    <row r="2076" spans="1:2" x14ac:dyDescent="0.35">
      <c r="A2076" s="7">
        <v>41912</v>
      </c>
      <c r="B2076">
        <v>2.4504000000000001</v>
      </c>
    </row>
    <row r="2077" spans="1:2" x14ac:dyDescent="0.35">
      <c r="A2077" s="7">
        <v>41911</v>
      </c>
      <c r="B2077">
        <v>2.4516</v>
      </c>
    </row>
    <row r="2078" spans="1:2" x14ac:dyDescent="0.35">
      <c r="A2078" s="7">
        <v>41908</v>
      </c>
      <c r="B2078">
        <v>2.4304000000000001</v>
      </c>
    </row>
    <row r="2079" spans="1:2" x14ac:dyDescent="0.35">
      <c r="A2079" s="7">
        <v>41907</v>
      </c>
      <c r="B2079">
        <v>2.4077999999999999</v>
      </c>
    </row>
    <row r="2080" spans="1:2" x14ac:dyDescent="0.35">
      <c r="A2080" s="7">
        <v>41906</v>
      </c>
      <c r="B2080">
        <v>2.4064000000000001</v>
      </c>
    </row>
    <row r="2081" spans="1:2" x14ac:dyDescent="0.35">
      <c r="A2081" s="7">
        <v>41905</v>
      </c>
      <c r="B2081">
        <v>2.4020000000000001</v>
      </c>
    </row>
    <row r="2082" spans="1:2" x14ac:dyDescent="0.35">
      <c r="A2082" s="7">
        <v>41904</v>
      </c>
      <c r="B2082">
        <v>2.3864000000000001</v>
      </c>
    </row>
    <row r="2083" spans="1:2" x14ac:dyDescent="0.35">
      <c r="A2083" s="7">
        <v>41901</v>
      </c>
      <c r="B2083">
        <v>2.3650000000000002</v>
      </c>
    </row>
    <row r="2084" spans="1:2" x14ac:dyDescent="0.35">
      <c r="A2084" s="7">
        <v>41900</v>
      </c>
      <c r="B2084">
        <v>2.3660999999999999</v>
      </c>
    </row>
    <row r="2085" spans="1:2" x14ac:dyDescent="0.35">
      <c r="A2085" s="7">
        <v>41899</v>
      </c>
      <c r="B2085">
        <v>2.3378000000000001</v>
      </c>
    </row>
    <row r="2086" spans="1:2" x14ac:dyDescent="0.35">
      <c r="A2086" s="7">
        <v>41898</v>
      </c>
      <c r="B2086">
        <v>2.3344999999999998</v>
      </c>
    </row>
    <row r="2087" spans="1:2" x14ac:dyDescent="0.35">
      <c r="A2087" s="7">
        <v>41897</v>
      </c>
      <c r="B2087">
        <v>2.3395000000000001</v>
      </c>
    </row>
    <row r="2088" spans="1:2" x14ac:dyDescent="0.35">
      <c r="A2088" s="7">
        <v>41894</v>
      </c>
      <c r="B2088">
        <v>2.3243999999999998</v>
      </c>
    </row>
    <row r="2089" spans="1:2" x14ac:dyDescent="0.35">
      <c r="A2089" s="7">
        <v>41893</v>
      </c>
      <c r="B2089">
        <v>2.2873999999999999</v>
      </c>
    </row>
    <row r="2090" spans="1:2" x14ac:dyDescent="0.35">
      <c r="A2090" s="7">
        <v>41892</v>
      </c>
      <c r="B2090">
        <v>2.2961</v>
      </c>
    </row>
    <row r="2091" spans="1:2" x14ac:dyDescent="0.35">
      <c r="A2091" s="7">
        <v>41891</v>
      </c>
      <c r="B2091">
        <v>2.2806999999999999</v>
      </c>
    </row>
    <row r="2092" spans="1:2" x14ac:dyDescent="0.35">
      <c r="A2092" s="7">
        <v>41890</v>
      </c>
      <c r="B2092">
        <v>2.2484999999999999</v>
      </c>
    </row>
    <row r="2093" spans="1:2" x14ac:dyDescent="0.35">
      <c r="A2093" s="7">
        <v>41887</v>
      </c>
      <c r="B2093">
        <v>2.2410000000000001</v>
      </c>
    </row>
    <row r="2094" spans="1:2" x14ac:dyDescent="0.35">
      <c r="A2094" s="7">
        <v>41886</v>
      </c>
      <c r="B2094">
        <v>2.2349999999999999</v>
      </c>
    </row>
    <row r="2095" spans="1:2" x14ac:dyDescent="0.35">
      <c r="A2095" s="7">
        <v>41885</v>
      </c>
      <c r="B2095">
        <v>2.2313000000000001</v>
      </c>
    </row>
    <row r="2096" spans="1:2" x14ac:dyDescent="0.35">
      <c r="A2096" s="7">
        <v>41884</v>
      </c>
      <c r="B2096">
        <v>2.2515000000000001</v>
      </c>
    </row>
    <row r="2097" spans="1:2" x14ac:dyDescent="0.35">
      <c r="A2097" s="7">
        <v>41883</v>
      </c>
      <c r="B2097">
        <v>2.2357999999999998</v>
      </c>
    </row>
    <row r="2098" spans="1:2" x14ac:dyDescent="0.35">
      <c r="A2098" s="7">
        <v>41880</v>
      </c>
      <c r="B2098">
        <v>2.2389999999999999</v>
      </c>
    </row>
    <row r="2099" spans="1:2" x14ac:dyDescent="0.35">
      <c r="A2099" s="7">
        <v>41879</v>
      </c>
      <c r="B2099">
        <v>2.2492999999999999</v>
      </c>
    </row>
    <row r="2100" spans="1:2" x14ac:dyDescent="0.35">
      <c r="A2100" s="7">
        <v>41878</v>
      </c>
      <c r="B2100">
        <v>2.2585000000000002</v>
      </c>
    </row>
    <row r="2101" spans="1:2" x14ac:dyDescent="0.35">
      <c r="A2101" s="7">
        <v>41877</v>
      </c>
      <c r="B2101">
        <v>2.2742</v>
      </c>
    </row>
    <row r="2102" spans="1:2" x14ac:dyDescent="0.35">
      <c r="A2102" s="7">
        <v>41876</v>
      </c>
      <c r="B2102">
        <v>2.2801999999999998</v>
      </c>
    </row>
    <row r="2103" spans="1:2" x14ac:dyDescent="0.35">
      <c r="A2103" s="7">
        <v>41873</v>
      </c>
      <c r="B2103">
        <v>2.2772000000000001</v>
      </c>
    </row>
    <row r="2104" spans="1:2" x14ac:dyDescent="0.35">
      <c r="A2104" s="7">
        <v>41872</v>
      </c>
      <c r="B2104">
        <v>2.2576000000000001</v>
      </c>
    </row>
    <row r="2105" spans="1:2" x14ac:dyDescent="0.35">
      <c r="A2105" s="7">
        <v>41871</v>
      </c>
      <c r="B2105">
        <v>2.2544</v>
      </c>
    </row>
    <row r="2106" spans="1:2" x14ac:dyDescent="0.35">
      <c r="A2106" s="7">
        <v>41870</v>
      </c>
      <c r="B2106">
        <v>2.2581000000000002</v>
      </c>
    </row>
    <row r="2107" spans="1:2" x14ac:dyDescent="0.35">
      <c r="A2107" s="7">
        <v>41869</v>
      </c>
      <c r="B2107">
        <v>2.2589000000000001</v>
      </c>
    </row>
    <row r="2108" spans="1:2" x14ac:dyDescent="0.35">
      <c r="A2108" s="7">
        <v>41866</v>
      </c>
      <c r="B2108">
        <v>2.2684000000000002</v>
      </c>
    </row>
    <row r="2109" spans="1:2" x14ac:dyDescent="0.35">
      <c r="A2109" s="7">
        <v>41865</v>
      </c>
      <c r="B2109">
        <v>2.2696999999999998</v>
      </c>
    </row>
    <row r="2110" spans="1:2" x14ac:dyDescent="0.35">
      <c r="A2110" s="7">
        <v>41864</v>
      </c>
      <c r="B2110">
        <v>2.2686000000000002</v>
      </c>
    </row>
    <row r="2111" spans="1:2" x14ac:dyDescent="0.35">
      <c r="A2111" s="7">
        <v>41863</v>
      </c>
      <c r="B2111">
        <v>2.2764000000000002</v>
      </c>
    </row>
    <row r="2112" spans="1:2" x14ac:dyDescent="0.35">
      <c r="A2112" s="7">
        <v>41862</v>
      </c>
      <c r="B2112">
        <v>2.2772999999999999</v>
      </c>
    </row>
    <row r="2113" spans="1:2" x14ac:dyDescent="0.35">
      <c r="A2113" s="7">
        <v>41859</v>
      </c>
      <c r="B2113">
        <v>2.298</v>
      </c>
    </row>
    <row r="2114" spans="1:2" x14ac:dyDescent="0.35">
      <c r="A2114" s="7">
        <v>41858</v>
      </c>
      <c r="B2114">
        <v>2.2795999999999998</v>
      </c>
    </row>
    <row r="2115" spans="1:2" x14ac:dyDescent="0.35">
      <c r="A2115" s="7">
        <v>41857</v>
      </c>
      <c r="B2115">
        <v>2.2784</v>
      </c>
    </row>
    <row r="2116" spans="1:2" x14ac:dyDescent="0.35">
      <c r="A2116" s="7">
        <v>41856</v>
      </c>
      <c r="B2116">
        <v>2.2749999999999999</v>
      </c>
    </row>
    <row r="2117" spans="1:2" x14ac:dyDescent="0.35">
      <c r="A2117" s="7">
        <v>41855</v>
      </c>
      <c r="B2117">
        <v>2.2570999999999999</v>
      </c>
    </row>
    <row r="2118" spans="1:2" x14ac:dyDescent="0.35">
      <c r="A2118" s="7">
        <v>41852</v>
      </c>
      <c r="B2118">
        <v>2.2599999999999998</v>
      </c>
    </row>
    <row r="2119" spans="1:2" x14ac:dyDescent="0.35">
      <c r="A2119" s="7">
        <v>41851</v>
      </c>
      <c r="B2119">
        <v>2.2667999999999999</v>
      </c>
    </row>
    <row r="2120" spans="1:2" x14ac:dyDescent="0.35">
      <c r="A2120" s="7">
        <v>41850</v>
      </c>
      <c r="B2120">
        <v>2.2441</v>
      </c>
    </row>
    <row r="2121" spans="1:2" x14ac:dyDescent="0.35">
      <c r="A2121" s="7">
        <v>41849</v>
      </c>
      <c r="B2121">
        <v>2.2271999999999998</v>
      </c>
    </row>
    <row r="2122" spans="1:2" x14ac:dyDescent="0.35">
      <c r="A2122" s="7">
        <v>41848</v>
      </c>
      <c r="B2122">
        <v>2.2296</v>
      </c>
    </row>
    <row r="2123" spans="1:2" x14ac:dyDescent="0.35">
      <c r="A2123" s="7">
        <v>41845</v>
      </c>
      <c r="B2123">
        <v>2.2286999999999999</v>
      </c>
    </row>
    <row r="2124" spans="1:2" x14ac:dyDescent="0.35">
      <c r="A2124" s="7">
        <v>41844</v>
      </c>
      <c r="B2124">
        <v>2.2198000000000002</v>
      </c>
    </row>
    <row r="2125" spans="1:2" x14ac:dyDescent="0.35">
      <c r="A2125" s="7">
        <v>41843</v>
      </c>
      <c r="B2125">
        <v>2.2195999999999998</v>
      </c>
    </row>
    <row r="2126" spans="1:2" x14ac:dyDescent="0.35">
      <c r="A2126" s="7">
        <v>41842</v>
      </c>
      <c r="B2126">
        <v>2.2122999999999999</v>
      </c>
    </row>
    <row r="2127" spans="1:2" x14ac:dyDescent="0.35">
      <c r="A2127" s="7">
        <v>41841</v>
      </c>
      <c r="B2127">
        <v>2.2231999999999998</v>
      </c>
    </row>
    <row r="2128" spans="1:2" x14ac:dyDescent="0.35">
      <c r="A2128" s="7">
        <v>41838</v>
      </c>
      <c r="B2128">
        <v>2.2355999999999998</v>
      </c>
    </row>
    <row r="2129" spans="1:2" x14ac:dyDescent="0.35">
      <c r="A2129" s="7">
        <v>41837</v>
      </c>
      <c r="B2129">
        <v>2.2397</v>
      </c>
    </row>
    <row r="2130" spans="1:2" x14ac:dyDescent="0.35">
      <c r="A2130" s="7">
        <v>41836</v>
      </c>
      <c r="B2130">
        <v>2.2187000000000001</v>
      </c>
    </row>
    <row r="2131" spans="1:2" x14ac:dyDescent="0.35">
      <c r="A2131" s="7">
        <v>41835</v>
      </c>
      <c r="B2131">
        <v>2.2189000000000001</v>
      </c>
    </row>
    <row r="2132" spans="1:2" x14ac:dyDescent="0.35">
      <c r="A2132" s="7">
        <v>41834</v>
      </c>
      <c r="B2132">
        <v>2.2170000000000001</v>
      </c>
    </row>
    <row r="2133" spans="1:2" x14ac:dyDescent="0.35">
      <c r="A2133" s="7">
        <v>41831</v>
      </c>
      <c r="B2133">
        <v>2.2222</v>
      </c>
    </row>
    <row r="2134" spans="1:2" x14ac:dyDescent="0.35">
      <c r="A2134" s="7">
        <v>41830</v>
      </c>
      <c r="B2134">
        <v>2.2231000000000001</v>
      </c>
    </row>
    <row r="2135" spans="1:2" x14ac:dyDescent="0.35">
      <c r="A2135" s="7">
        <v>41829</v>
      </c>
      <c r="B2135">
        <v>2.2128000000000001</v>
      </c>
    </row>
    <row r="2136" spans="1:2" x14ac:dyDescent="0.35">
      <c r="A2136" s="7">
        <v>41828</v>
      </c>
      <c r="B2136">
        <v>2.2143999999999999</v>
      </c>
    </row>
    <row r="2137" spans="1:2" x14ac:dyDescent="0.35">
      <c r="A2137" s="7">
        <v>41827</v>
      </c>
      <c r="B2137">
        <v>2.2195</v>
      </c>
    </row>
    <row r="2138" spans="1:2" x14ac:dyDescent="0.35">
      <c r="A2138" s="7">
        <v>41824</v>
      </c>
      <c r="B2138">
        <v>2.2143000000000002</v>
      </c>
    </row>
    <row r="2139" spans="1:2" x14ac:dyDescent="0.35">
      <c r="A2139" s="7">
        <v>41823</v>
      </c>
      <c r="B2139">
        <v>2.2275</v>
      </c>
    </row>
    <row r="2140" spans="1:2" x14ac:dyDescent="0.35">
      <c r="A2140" s="7">
        <v>41822</v>
      </c>
      <c r="B2140">
        <v>2.2126999999999999</v>
      </c>
    </row>
    <row r="2141" spans="1:2" x14ac:dyDescent="0.35">
      <c r="A2141" s="7">
        <v>41821</v>
      </c>
      <c r="B2141">
        <v>2.2048000000000001</v>
      </c>
    </row>
    <row r="2142" spans="1:2" x14ac:dyDescent="0.35">
      <c r="A2142" s="7">
        <v>41820</v>
      </c>
      <c r="B2142">
        <v>2.2019000000000002</v>
      </c>
    </row>
    <row r="2143" spans="1:2" x14ac:dyDescent="0.35">
      <c r="A2143" s="7">
        <v>41817</v>
      </c>
      <c r="B2143">
        <v>2.1968999999999999</v>
      </c>
    </row>
    <row r="2144" spans="1:2" x14ac:dyDescent="0.35">
      <c r="A2144" s="7">
        <v>41816</v>
      </c>
      <c r="B2144">
        <v>2.2082999999999999</v>
      </c>
    </row>
    <row r="2145" spans="1:2" x14ac:dyDescent="0.35">
      <c r="A2145" s="7">
        <v>41815</v>
      </c>
      <c r="B2145">
        <v>2.2046000000000001</v>
      </c>
    </row>
    <row r="2146" spans="1:2" x14ac:dyDescent="0.35">
      <c r="A2146" s="7">
        <v>41814</v>
      </c>
      <c r="B2146">
        <v>2.2210999999999999</v>
      </c>
    </row>
    <row r="2147" spans="1:2" x14ac:dyDescent="0.35">
      <c r="A2147" s="7">
        <v>41813</v>
      </c>
      <c r="B2147">
        <v>2.2189000000000001</v>
      </c>
    </row>
    <row r="2148" spans="1:2" x14ac:dyDescent="0.35">
      <c r="A2148" s="7">
        <v>41810</v>
      </c>
      <c r="B2148">
        <v>2.2374000000000001</v>
      </c>
    </row>
    <row r="2149" spans="1:2" x14ac:dyDescent="0.35">
      <c r="A2149" s="7">
        <v>41808</v>
      </c>
      <c r="B2149">
        <v>2.2528000000000001</v>
      </c>
    </row>
    <row r="2150" spans="1:2" x14ac:dyDescent="0.35">
      <c r="A2150" s="7">
        <v>41807</v>
      </c>
      <c r="B2150">
        <v>2.2480000000000002</v>
      </c>
    </row>
    <row r="2151" spans="1:2" x14ac:dyDescent="0.35">
      <c r="A2151" s="7">
        <v>41806</v>
      </c>
      <c r="B2151">
        <v>2.2307000000000001</v>
      </c>
    </row>
    <row r="2152" spans="1:2" x14ac:dyDescent="0.35">
      <c r="A2152" s="7">
        <v>41803</v>
      </c>
      <c r="B2152">
        <v>2.2341000000000002</v>
      </c>
    </row>
    <row r="2153" spans="1:2" x14ac:dyDescent="0.35">
      <c r="A2153" s="7">
        <v>41802</v>
      </c>
      <c r="B2153">
        <v>2.2298</v>
      </c>
    </row>
    <row r="2154" spans="1:2" x14ac:dyDescent="0.35">
      <c r="A2154" s="7">
        <v>41801</v>
      </c>
      <c r="B2154">
        <v>2.2301000000000002</v>
      </c>
    </row>
    <row r="2155" spans="1:2" x14ac:dyDescent="0.35">
      <c r="A2155" s="7">
        <v>41800</v>
      </c>
      <c r="B2155">
        <v>2.2290000000000001</v>
      </c>
    </row>
    <row r="2156" spans="1:2" x14ac:dyDescent="0.35">
      <c r="A2156" s="7">
        <v>41799</v>
      </c>
      <c r="B2156">
        <v>2.2330000000000001</v>
      </c>
    </row>
    <row r="2157" spans="1:2" x14ac:dyDescent="0.35">
      <c r="A2157" s="7">
        <v>41796</v>
      </c>
      <c r="B2157">
        <v>2.2439</v>
      </c>
    </row>
    <row r="2158" spans="1:2" x14ac:dyDescent="0.35">
      <c r="A2158" s="7">
        <v>41795</v>
      </c>
      <c r="B2158">
        <v>2.2688999999999999</v>
      </c>
    </row>
    <row r="2159" spans="1:2" x14ac:dyDescent="0.35">
      <c r="A2159" s="7">
        <v>41794</v>
      </c>
      <c r="B2159">
        <v>2.2795999999999998</v>
      </c>
    </row>
    <row r="2160" spans="1:2" x14ac:dyDescent="0.35">
      <c r="A2160" s="7">
        <v>41793</v>
      </c>
      <c r="B2160">
        <v>2.2648000000000001</v>
      </c>
    </row>
    <row r="2161" spans="1:2" x14ac:dyDescent="0.35">
      <c r="A2161" s="7">
        <v>41792</v>
      </c>
      <c r="B2161">
        <v>2.2633999999999999</v>
      </c>
    </row>
    <row r="2162" spans="1:2" x14ac:dyDescent="0.35">
      <c r="A2162" s="7">
        <v>41789</v>
      </c>
      <c r="B2162">
        <v>2.2383999999999999</v>
      </c>
    </row>
    <row r="2163" spans="1:2" x14ac:dyDescent="0.35">
      <c r="A2163" s="7">
        <v>41788</v>
      </c>
      <c r="B2163">
        <v>2.2244999999999999</v>
      </c>
    </row>
    <row r="2164" spans="1:2" x14ac:dyDescent="0.35">
      <c r="A2164" s="7">
        <v>41787</v>
      </c>
      <c r="B2164">
        <v>2.2399</v>
      </c>
    </row>
    <row r="2165" spans="1:2" x14ac:dyDescent="0.35">
      <c r="A2165" s="7">
        <v>41786</v>
      </c>
      <c r="B2165">
        <v>2.2347999999999999</v>
      </c>
    </row>
    <row r="2166" spans="1:2" x14ac:dyDescent="0.35">
      <c r="A2166" s="7">
        <v>41785</v>
      </c>
      <c r="B2166">
        <v>2.2202999999999999</v>
      </c>
    </row>
    <row r="2167" spans="1:2" x14ac:dyDescent="0.35">
      <c r="A2167" s="7">
        <v>41782</v>
      </c>
      <c r="B2167">
        <v>2.2181000000000002</v>
      </c>
    </row>
    <row r="2168" spans="1:2" x14ac:dyDescent="0.35">
      <c r="A2168" s="7">
        <v>41781</v>
      </c>
      <c r="B2168">
        <v>2.2124999999999999</v>
      </c>
    </row>
    <row r="2169" spans="1:2" x14ac:dyDescent="0.35">
      <c r="A2169" s="7">
        <v>41780</v>
      </c>
      <c r="B2169">
        <v>2.2105000000000001</v>
      </c>
    </row>
    <row r="2170" spans="1:2" x14ac:dyDescent="0.35">
      <c r="A2170" s="7">
        <v>41779</v>
      </c>
      <c r="B2170">
        <v>2.2149999999999999</v>
      </c>
    </row>
    <row r="2171" spans="1:2" x14ac:dyDescent="0.35">
      <c r="A2171" s="7">
        <v>41778</v>
      </c>
      <c r="B2171">
        <v>2.2105000000000001</v>
      </c>
    </row>
    <row r="2172" spans="1:2" x14ac:dyDescent="0.35">
      <c r="A2172" s="7">
        <v>41775</v>
      </c>
      <c r="B2172">
        <v>2.2103999999999999</v>
      </c>
    </row>
    <row r="2173" spans="1:2" x14ac:dyDescent="0.35">
      <c r="A2173" s="7">
        <v>41774</v>
      </c>
      <c r="B2173">
        <v>2.2160000000000002</v>
      </c>
    </row>
    <row r="2174" spans="1:2" x14ac:dyDescent="0.35">
      <c r="A2174" s="7">
        <v>41773</v>
      </c>
      <c r="B2174">
        <v>2.2122999999999999</v>
      </c>
    </row>
    <row r="2175" spans="1:2" x14ac:dyDescent="0.35">
      <c r="A2175" s="7">
        <v>41772</v>
      </c>
      <c r="B2175">
        <v>2.2094999999999998</v>
      </c>
    </row>
    <row r="2176" spans="1:2" x14ac:dyDescent="0.35">
      <c r="A2176" s="7">
        <v>41771</v>
      </c>
      <c r="B2176">
        <v>2.2158000000000002</v>
      </c>
    </row>
    <row r="2177" spans="1:2" x14ac:dyDescent="0.35">
      <c r="A2177" s="7">
        <v>41768</v>
      </c>
      <c r="B2177">
        <v>2.2185999999999999</v>
      </c>
    </row>
    <row r="2178" spans="1:2" x14ac:dyDescent="0.35">
      <c r="A2178" s="7">
        <v>41767</v>
      </c>
      <c r="B2178">
        <v>2.2101000000000002</v>
      </c>
    </row>
    <row r="2179" spans="1:2" x14ac:dyDescent="0.35">
      <c r="A2179" s="7">
        <v>41766</v>
      </c>
      <c r="B2179">
        <v>2.2275999999999998</v>
      </c>
    </row>
    <row r="2180" spans="1:2" x14ac:dyDescent="0.35">
      <c r="A2180" s="7">
        <v>41765</v>
      </c>
      <c r="B2180">
        <v>2.2315999999999998</v>
      </c>
    </row>
    <row r="2181" spans="1:2" x14ac:dyDescent="0.35">
      <c r="A2181" s="7">
        <v>41764</v>
      </c>
      <c r="B2181">
        <v>2.2280000000000002</v>
      </c>
    </row>
    <row r="2182" spans="1:2" x14ac:dyDescent="0.35">
      <c r="A2182" s="7">
        <v>41761</v>
      </c>
      <c r="B2182">
        <v>2.2214999999999998</v>
      </c>
    </row>
    <row r="2183" spans="1:2" x14ac:dyDescent="0.35">
      <c r="A2183" s="7">
        <v>41759</v>
      </c>
      <c r="B2183">
        <v>2.2353999999999998</v>
      </c>
    </row>
    <row r="2184" spans="1:2" x14ac:dyDescent="0.35">
      <c r="A2184" s="7">
        <v>41758</v>
      </c>
      <c r="B2184">
        <v>2.2193000000000001</v>
      </c>
    </row>
    <row r="2185" spans="1:2" x14ac:dyDescent="0.35">
      <c r="A2185" s="7">
        <v>41757</v>
      </c>
      <c r="B2185">
        <v>2.2364000000000002</v>
      </c>
    </row>
    <row r="2186" spans="1:2" x14ac:dyDescent="0.35">
      <c r="A2186" s="7">
        <v>41754</v>
      </c>
      <c r="B2186">
        <v>2.2319</v>
      </c>
    </row>
    <row r="2187" spans="1:2" x14ac:dyDescent="0.35">
      <c r="A2187" s="7">
        <v>41753</v>
      </c>
      <c r="B2187">
        <v>2.2223000000000002</v>
      </c>
    </row>
    <row r="2188" spans="1:2" x14ac:dyDescent="0.35">
      <c r="A2188" s="7">
        <v>41752</v>
      </c>
      <c r="B2188">
        <v>2.242</v>
      </c>
    </row>
    <row r="2189" spans="1:2" x14ac:dyDescent="0.35">
      <c r="A2189" s="7">
        <v>41751</v>
      </c>
      <c r="B2189">
        <v>2.2443</v>
      </c>
    </row>
    <row r="2190" spans="1:2" x14ac:dyDescent="0.35">
      <c r="A2190" s="7">
        <v>41746</v>
      </c>
      <c r="B2190">
        <v>2.2475999999999998</v>
      </c>
    </row>
    <row r="2191" spans="1:2" x14ac:dyDescent="0.35">
      <c r="A2191" s="7">
        <v>41745</v>
      </c>
      <c r="B2191">
        <v>2.2336</v>
      </c>
    </row>
    <row r="2192" spans="1:2" x14ac:dyDescent="0.35">
      <c r="A2192" s="7">
        <v>41744</v>
      </c>
      <c r="B2192">
        <v>2.2250999999999999</v>
      </c>
    </row>
    <row r="2193" spans="1:2" x14ac:dyDescent="0.35">
      <c r="A2193" s="7">
        <v>41743</v>
      </c>
      <c r="B2193">
        <v>2.2090000000000001</v>
      </c>
    </row>
    <row r="2194" spans="1:2" x14ac:dyDescent="0.35">
      <c r="A2194" s="7">
        <v>41740</v>
      </c>
      <c r="B2194">
        <v>2.2052999999999998</v>
      </c>
    </row>
    <row r="2195" spans="1:2" x14ac:dyDescent="0.35">
      <c r="A2195" s="7">
        <v>41739</v>
      </c>
      <c r="B2195">
        <v>2.1981999999999999</v>
      </c>
    </row>
    <row r="2196" spans="1:2" x14ac:dyDescent="0.35">
      <c r="A2196" s="7">
        <v>41738</v>
      </c>
      <c r="B2196">
        <v>2.2105000000000001</v>
      </c>
    </row>
    <row r="2197" spans="1:2" x14ac:dyDescent="0.35">
      <c r="A2197" s="7">
        <v>41737</v>
      </c>
      <c r="B2197">
        <v>2.1968000000000001</v>
      </c>
    </row>
    <row r="2198" spans="1:2" x14ac:dyDescent="0.35">
      <c r="A2198" s="7">
        <v>41736</v>
      </c>
      <c r="B2198">
        <v>2.2229999999999999</v>
      </c>
    </row>
    <row r="2199" spans="1:2" x14ac:dyDescent="0.35">
      <c r="A2199" s="7">
        <v>41733</v>
      </c>
      <c r="B2199">
        <v>2.2414000000000001</v>
      </c>
    </row>
    <row r="2200" spans="1:2" x14ac:dyDescent="0.35">
      <c r="A2200" s="7">
        <v>41732</v>
      </c>
      <c r="B2200">
        <v>2.2805</v>
      </c>
    </row>
    <row r="2201" spans="1:2" x14ac:dyDescent="0.35">
      <c r="A2201" s="7">
        <v>41731</v>
      </c>
      <c r="B2201">
        <v>2.2705000000000002</v>
      </c>
    </row>
    <row r="2202" spans="1:2" x14ac:dyDescent="0.35">
      <c r="A2202" s="7">
        <v>41730</v>
      </c>
      <c r="B2202">
        <v>2.2614000000000001</v>
      </c>
    </row>
    <row r="2203" spans="1:2" x14ac:dyDescent="0.35">
      <c r="A2203" s="7">
        <v>41729</v>
      </c>
      <c r="B2203">
        <v>2.2624</v>
      </c>
    </row>
    <row r="2204" spans="1:2" x14ac:dyDescent="0.35">
      <c r="A2204" s="7">
        <v>41726</v>
      </c>
      <c r="B2204">
        <v>2.2597</v>
      </c>
    </row>
    <row r="2205" spans="1:2" x14ac:dyDescent="0.35">
      <c r="A2205" s="7">
        <v>41725</v>
      </c>
      <c r="B2205">
        <v>2.2824</v>
      </c>
    </row>
    <row r="2206" spans="1:2" x14ac:dyDescent="0.35">
      <c r="A2206" s="7">
        <v>41724</v>
      </c>
      <c r="B2206">
        <v>2.3113000000000001</v>
      </c>
    </row>
    <row r="2207" spans="1:2" x14ac:dyDescent="0.35">
      <c r="A2207" s="7">
        <v>41723</v>
      </c>
      <c r="B2207">
        <v>2.3117999999999999</v>
      </c>
    </row>
    <row r="2208" spans="1:2" x14ac:dyDescent="0.35">
      <c r="A2208" s="7">
        <v>41722</v>
      </c>
      <c r="B2208">
        <v>2.3241999999999998</v>
      </c>
    </row>
    <row r="2209" spans="1:2" x14ac:dyDescent="0.35">
      <c r="A2209" s="7">
        <v>41719</v>
      </c>
      <c r="B2209">
        <v>2.3239000000000001</v>
      </c>
    </row>
    <row r="2210" spans="1:2" x14ac:dyDescent="0.35">
      <c r="A2210" s="7">
        <v>41718</v>
      </c>
      <c r="B2210">
        <v>2.3414000000000001</v>
      </c>
    </row>
    <row r="2211" spans="1:2" x14ac:dyDescent="0.35">
      <c r="A2211" s="7">
        <v>41717</v>
      </c>
      <c r="B2211">
        <v>2.3332999999999999</v>
      </c>
    </row>
    <row r="2212" spans="1:2" x14ac:dyDescent="0.35">
      <c r="A2212" s="7">
        <v>41716</v>
      </c>
      <c r="B2212">
        <v>2.3515999999999999</v>
      </c>
    </row>
    <row r="2213" spans="1:2" x14ac:dyDescent="0.35">
      <c r="A2213" s="7">
        <v>41715</v>
      </c>
      <c r="B2213">
        <v>2.3513000000000002</v>
      </c>
    </row>
    <row r="2214" spans="1:2" x14ac:dyDescent="0.35">
      <c r="A2214" s="7">
        <v>41712</v>
      </c>
      <c r="B2214">
        <v>2.3631000000000002</v>
      </c>
    </row>
    <row r="2215" spans="1:2" x14ac:dyDescent="0.35">
      <c r="A2215" s="7">
        <v>41711</v>
      </c>
      <c r="B2215">
        <v>2.3479999999999999</v>
      </c>
    </row>
    <row r="2216" spans="1:2" x14ac:dyDescent="0.35">
      <c r="A2216" s="7">
        <v>41710</v>
      </c>
      <c r="B2216">
        <v>2.3643000000000001</v>
      </c>
    </row>
    <row r="2217" spans="1:2" x14ac:dyDescent="0.35">
      <c r="A2217" s="7">
        <v>41709</v>
      </c>
      <c r="B2217">
        <v>2.3454999999999999</v>
      </c>
    </row>
    <row r="2218" spans="1:2" x14ac:dyDescent="0.35">
      <c r="A2218" s="7">
        <v>41708</v>
      </c>
      <c r="B2218">
        <v>2.3403999999999998</v>
      </c>
    </row>
    <row r="2219" spans="1:2" x14ac:dyDescent="0.35">
      <c r="A2219" s="7">
        <v>41705</v>
      </c>
      <c r="B2219">
        <v>2.3376000000000001</v>
      </c>
    </row>
    <row r="2220" spans="1:2" x14ac:dyDescent="0.35">
      <c r="A2220" s="7">
        <v>41704</v>
      </c>
      <c r="B2220">
        <v>2.3088000000000002</v>
      </c>
    </row>
    <row r="2221" spans="1:2" x14ac:dyDescent="0.35">
      <c r="A2221" s="7">
        <v>41703</v>
      </c>
      <c r="B2221">
        <v>2.3233999999999999</v>
      </c>
    </row>
    <row r="2222" spans="1:2" x14ac:dyDescent="0.35">
      <c r="A2222" s="7">
        <v>41698</v>
      </c>
      <c r="B2222">
        <v>2.3327</v>
      </c>
    </row>
    <row r="2223" spans="1:2" x14ac:dyDescent="0.35">
      <c r="A2223" s="7">
        <v>41697</v>
      </c>
      <c r="B2223">
        <v>2.3431000000000002</v>
      </c>
    </row>
    <row r="2224" spans="1:2" x14ac:dyDescent="0.35">
      <c r="A2224" s="7">
        <v>41696</v>
      </c>
      <c r="B2224">
        <v>2.3448000000000002</v>
      </c>
    </row>
    <row r="2225" spans="1:2" x14ac:dyDescent="0.35">
      <c r="A2225" s="7">
        <v>41695</v>
      </c>
      <c r="B2225">
        <v>2.3361000000000001</v>
      </c>
    </row>
    <row r="2226" spans="1:2" x14ac:dyDescent="0.35">
      <c r="A2226" s="7">
        <v>41694</v>
      </c>
      <c r="B2226">
        <v>2.3384999999999998</v>
      </c>
    </row>
    <row r="2227" spans="1:2" x14ac:dyDescent="0.35">
      <c r="A2227" s="7">
        <v>41691</v>
      </c>
      <c r="B2227">
        <v>2.3618999999999999</v>
      </c>
    </row>
    <row r="2228" spans="1:2" x14ac:dyDescent="0.35">
      <c r="A2228" s="7">
        <v>41690</v>
      </c>
      <c r="B2228">
        <v>2.3793000000000002</v>
      </c>
    </row>
    <row r="2229" spans="1:2" x14ac:dyDescent="0.35">
      <c r="A2229" s="7">
        <v>41689</v>
      </c>
      <c r="B2229">
        <v>2.3980000000000001</v>
      </c>
    </row>
    <row r="2230" spans="1:2" x14ac:dyDescent="0.35">
      <c r="A2230" s="7">
        <v>41688</v>
      </c>
      <c r="B2230">
        <v>2.3976999999999999</v>
      </c>
    </row>
    <row r="2231" spans="1:2" x14ac:dyDescent="0.35">
      <c r="A2231" s="7">
        <v>41687</v>
      </c>
      <c r="B2231">
        <v>2.3864000000000001</v>
      </c>
    </row>
    <row r="2232" spans="1:2" x14ac:dyDescent="0.35">
      <c r="A2232" s="7">
        <v>41684</v>
      </c>
      <c r="B2232">
        <v>2.3919000000000001</v>
      </c>
    </row>
    <row r="2233" spans="1:2" x14ac:dyDescent="0.35">
      <c r="A2233" s="7">
        <v>41683</v>
      </c>
      <c r="B2233">
        <v>2.4232</v>
      </c>
    </row>
    <row r="2234" spans="1:2" x14ac:dyDescent="0.35">
      <c r="A2234" s="7">
        <v>41682</v>
      </c>
      <c r="B2234">
        <v>2.4079999999999999</v>
      </c>
    </row>
    <row r="2235" spans="1:2" x14ac:dyDescent="0.35">
      <c r="A2235" s="7">
        <v>41681</v>
      </c>
      <c r="B2235">
        <v>2.407</v>
      </c>
    </row>
    <row r="2236" spans="1:2" x14ac:dyDescent="0.35">
      <c r="A2236" s="7">
        <v>41680</v>
      </c>
      <c r="B2236">
        <v>2.3929999999999998</v>
      </c>
    </row>
    <row r="2237" spans="1:2" x14ac:dyDescent="0.35">
      <c r="A2237" s="7">
        <v>41677</v>
      </c>
      <c r="B2237">
        <v>2.3811</v>
      </c>
    </row>
    <row r="2238" spans="1:2" x14ac:dyDescent="0.35">
      <c r="A2238" s="7">
        <v>41676</v>
      </c>
      <c r="B2238">
        <v>2.4035000000000002</v>
      </c>
    </row>
    <row r="2239" spans="1:2" x14ac:dyDescent="0.35">
      <c r="A2239" s="7">
        <v>41675</v>
      </c>
      <c r="B2239">
        <v>2.4100999999999999</v>
      </c>
    </row>
    <row r="2240" spans="1:2" x14ac:dyDescent="0.35">
      <c r="A2240" s="7">
        <v>41674</v>
      </c>
      <c r="B2240">
        <v>2.4171</v>
      </c>
    </row>
    <row r="2241" spans="1:2" x14ac:dyDescent="0.35">
      <c r="A2241" s="7">
        <v>41673</v>
      </c>
      <c r="B2241">
        <v>2.4083999999999999</v>
      </c>
    </row>
    <row r="2242" spans="1:2" x14ac:dyDescent="0.35">
      <c r="A2242" s="7">
        <v>41670</v>
      </c>
      <c r="B2242">
        <v>2.4257</v>
      </c>
    </row>
    <row r="2243" spans="1:2" x14ac:dyDescent="0.35">
      <c r="A2243" s="7">
        <v>41669</v>
      </c>
      <c r="B2243">
        <v>2.4218000000000002</v>
      </c>
    </row>
    <row r="2244" spans="1:2" x14ac:dyDescent="0.35">
      <c r="A2244" s="7">
        <v>41668</v>
      </c>
      <c r="B2244">
        <v>2.4390000000000001</v>
      </c>
    </row>
    <row r="2245" spans="1:2" x14ac:dyDescent="0.35">
      <c r="A2245" s="7">
        <v>41667</v>
      </c>
      <c r="B2245">
        <v>2.4159000000000002</v>
      </c>
    </row>
    <row r="2246" spans="1:2" x14ac:dyDescent="0.35">
      <c r="A2246" s="7">
        <v>41666</v>
      </c>
      <c r="B2246">
        <v>2.4037999999999999</v>
      </c>
    </row>
    <row r="2247" spans="1:2" x14ac:dyDescent="0.35">
      <c r="A2247" s="7">
        <v>41663</v>
      </c>
      <c r="B2247">
        <v>2.4123000000000001</v>
      </c>
    </row>
    <row r="2248" spans="1:2" x14ac:dyDescent="0.35">
      <c r="A2248" s="7">
        <v>41662</v>
      </c>
      <c r="B2248">
        <v>2.3755000000000002</v>
      </c>
    </row>
    <row r="2249" spans="1:2" x14ac:dyDescent="0.35">
      <c r="A2249" s="7">
        <v>41661</v>
      </c>
      <c r="B2249">
        <v>2.3595000000000002</v>
      </c>
    </row>
    <row r="2250" spans="1:2" x14ac:dyDescent="0.35">
      <c r="A2250" s="7">
        <v>41660</v>
      </c>
      <c r="B2250">
        <v>2.3601999999999999</v>
      </c>
    </row>
    <row r="2251" spans="1:2" x14ac:dyDescent="0.35">
      <c r="A2251" s="7">
        <v>41659</v>
      </c>
      <c r="B2251">
        <v>2.3329</v>
      </c>
    </row>
    <row r="2252" spans="1:2" x14ac:dyDescent="0.35">
      <c r="A2252" s="7">
        <v>41656</v>
      </c>
      <c r="B2252">
        <v>2.3595000000000002</v>
      </c>
    </row>
    <row r="2253" spans="1:2" x14ac:dyDescent="0.35">
      <c r="A2253" s="7">
        <v>41655</v>
      </c>
      <c r="B2253">
        <v>2.3677000000000001</v>
      </c>
    </row>
    <row r="2254" spans="1:2" x14ac:dyDescent="0.35">
      <c r="A2254" s="7">
        <v>41654</v>
      </c>
      <c r="B2254">
        <v>2.3464999999999998</v>
      </c>
    </row>
    <row r="2255" spans="1:2" x14ac:dyDescent="0.35">
      <c r="A2255" s="7">
        <v>41653</v>
      </c>
      <c r="B2255">
        <v>2.3611</v>
      </c>
    </row>
    <row r="2256" spans="1:2" x14ac:dyDescent="0.35">
      <c r="A2256" s="7">
        <v>41652</v>
      </c>
      <c r="B2256">
        <v>2.3485</v>
      </c>
    </row>
    <row r="2257" spans="1:2" x14ac:dyDescent="0.35">
      <c r="A2257" s="7">
        <v>41649</v>
      </c>
      <c r="B2257">
        <v>2.3813</v>
      </c>
    </row>
    <row r="2258" spans="1:2" x14ac:dyDescent="0.35">
      <c r="A2258" s="7">
        <v>41648</v>
      </c>
      <c r="B2258">
        <v>2.3954</v>
      </c>
    </row>
    <row r="2259" spans="1:2" x14ac:dyDescent="0.35">
      <c r="A2259" s="7">
        <v>41647</v>
      </c>
      <c r="B2259">
        <v>2.3773</v>
      </c>
    </row>
    <row r="2260" spans="1:2" x14ac:dyDescent="0.35">
      <c r="A2260" s="7">
        <v>41646</v>
      </c>
      <c r="B2260">
        <v>2.3628</v>
      </c>
    </row>
    <row r="2261" spans="1:2" x14ac:dyDescent="0.35">
      <c r="A2261" s="7">
        <v>41645</v>
      </c>
      <c r="B2261">
        <v>2.3782999999999999</v>
      </c>
    </row>
    <row r="2262" spans="1:2" x14ac:dyDescent="0.35">
      <c r="A2262" s="7">
        <v>41642</v>
      </c>
      <c r="B2262">
        <v>2.3734000000000002</v>
      </c>
    </row>
    <row r="2263" spans="1:2" x14ac:dyDescent="0.35">
      <c r="A2263" s="7">
        <v>41641</v>
      </c>
      <c r="B2263">
        <v>2.3969</v>
      </c>
    </row>
    <row r="2264" spans="1:2" x14ac:dyDescent="0.35">
      <c r="A2264" s="7">
        <v>41639</v>
      </c>
      <c r="B2264">
        <v>2.3420000000000001</v>
      </c>
    </row>
    <row r="2265" spans="1:2" x14ac:dyDescent="0.35">
      <c r="A2265" s="7">
        <v>41638</v>
      </c>
      <c r="B2265">
        <v>2.3420000000000001</v>
      </c>
    </row>
    <row r="2266" spans="1:2" x14ac:dyDescent="0.35">
      <c r="A2266" s="7">
        <v>41635</v>
      </c>
      <c r="B2266">
        <v>2.3532000000000002</v>
      </c>
    </row>
    <row r="2267" spans="1:2" x14ac:dyDescent="0.35">
      <c r="A2267" s="7">
        <v>41634</v>
      </c>
      <c r="B2267">
        <v>2.3500999999999999</v>
      </c>
    </row>
    <row r="2268" spans="1:2" x14ac:dyDescent="0.35">
      <c r="A2268" s="7">
        <v>41632</v>
      </c>
      <c r="B2268">
        <v>2.3542999999999998</v>
      </c>
    </row>
    <row r="2269" spans="1:2" x14ac:dyDescent="0.35">
      <c r="A2269" s="7">
        <v>41631</v>
      </c>
      <c r="B2269">
        <v>2.37</v>
      </c>
    </row>
    <row r="2270" spans="1:2" x14ac:dyDescent="0.35">
      <c r="A2270" s="7">
        <v>41628</v>
      </c>
      <c r="B2270">
        <v>2.3811</v>
      </c>
    </row>
    <row r="2271" spans="1:2" x14ac:dyDescent="0.35">
      <c r="A2271" s="7">
        <v>41627</v>
      </c>
      <c r="B2271">
        <v>2.3521999999999998</v>
      </c>
    </row>
    <row r="2272" spans="1:2" x14ac:dyDescent="0.35">
      <c r="A2272" s="7">
        <v>41626</v>
      </c>
      <c r="B2272">
        <v>2.3268</v>
      </c>
    </row>
    <row r="2273" spans="1:2" x14ac:dyDescent="0.35">
      <c r="A2273" s="7">
        <v>41625</v>
      </c>
      <c r="B2273">
        <v>2.3214999999999999</v>
      </c>
    </row>
    <row r="2274" spans="1:2" x14ac:dyDescent="0.35">
      <c r="A2274" s="7">
        <v>41624</v>
      </c>
      <c r="B2274">
        <v>2.3249</v>
      </c>
    </row>
    <row r="2275" spans="1:2" x14ac:dyDescent="0.35">
      <c r="A2275" s="7">
        <v>41621</v>
      </c>
      <c r="B2275">
        <v>2.3348</v>
      </c>
    </row>
    <row r="2276" spans="1:2" x14ac:dyDescent="0.35">
      <c r="A2276" s="7">
        <v>41620</v>
      </c>
      <c r="B2276">
        <v>2.3332999999999999</v>
      </c>
    </row>
    <row r="2277" spans="1:2" x14ac:dyDescent="0.35">
      <c r="A2277" s="7">
        <v>41619</v>
      </c>
      <c r="B2277">
        <v>2.3256000000000001</v>
      </c>
    </row>
    <row r="2278" spans="1:2" x14ac:dyDescent="0.35">
      <c r="A2278" s="7">
        <v>41618</v>
      </c>
      <c r="B2278">
        <v>2.3096000000000001</v>
      </c>
    </row>
    <row r="2279" spans="1:2" x14ac:dyDescent="0.35">
      <c r="A2279" s="7">
        <v>41617</v>
      </c>
      <c r="B2279">
        <v>2.3218000000000001</v>
      </c>
    </row>
    <row r="2280" spans="1:2" x14ac:dyDescent="0.35">
      <c r="A2280" s="7">
        <v>41614</v>
      </c>
      <c r="B2280">
        <v>2.3519000000000001</v>
      </c>
    </row>
    <row r="2281" spans="1:2" x14ac:dyDescent="0.35">
      <c r="A2281" s="7">
        <v>41613</v>
      </c>
      <c r="B2281">
        <v>2.3740999999999999</v>
      </c>
    </row>
    <row r="2282" spans="1:2" x14ac:dyDescent="0.35">
      <c r="A2282" s="7">
        <v>41612</v>
      </c>
      <c r="B2282">
        <v>2.3740000000000001</v>
      </c>
    </row>
    <row r="2283" spans="1:2" x14ac:dyDescent="0.35">
      <c r="A2283" s="7">
        <v>41611</v>
      </c>
      <c r="B2283">
        <v>2.3552</v>
      </c>
    </row>
    <row r="2284" spans="1:2" x14ac:dyDescent="0.35">
      <c r="A2284" s="7">
        <v>41610</v>
      </c>
      <c r="B2284">
        <v>2.3443000000000001</v>
      </c>
    </row>
    <row r="2285" spans="1:2" x14ac:dyDescent="0.35">
      <c r="A2285" s="7">
        <v>41607</v>
      </c>
      <c r="B2285">
        <v>2.3243</v>
      </c>
    </row>
    <row r="2286" spans="1:2" x14ac:dyDescent="0.35">
      <c r="A2286" s="7">
        <v>41606</v>
      </c>
      <c r="B2286">
        <v>2.3201999999999998</v>
      </c>
    </row>
    <row r="2287" spans="1:2" x14ac:dyDescent="0.35">
      <c r="A2287" s="7">
        <v>41605</v>
      </c>
      <c r="B2287">
        <v>2.3052000000000001</v>
      </c>
    </row>
    <row r="2288" spans="1:2" x14ac:dyDescent="0.35">
      <c r="A2288" s="7">
        <v>41604</v>
      </c>
      <c r="B2288">
        <v>2.3033999999999999</v>
      </c>
    </row>
    <row r="2289" spans="1:2" x14ac:dyDescent="0.35">
      <c r="A2289" s="7">
        <v>41603</v>
      </c>
      <c r="B2289">
        <v>2.2865000000000002</v>
      </c>
    </row>
    <row r="2290" spans="1:2" x14ac:dyDescent="0.35">
      <c r="A2290" s="7">
        <v>41600</v>
      </c>
      <c r="B2290">
        <v>2.2906</v>
      </c>
    </row>
    <row r="2291" spans="1:2" x14ac:dyDescent="0.35">
      <c r="A2291" s="7">
        <v>41599</v>
      </c>
      <c r="B2291">
        <v>2.3060999999999998</v>
      </c>
    </row>
    <row r="2292" spans="1:2" x14ac:dyDescent="0.35">
      <c r="A2292" s="7">
        <v>41598</v>
      </c>
      <c r="B2292">
        <v>2.2713000000000001</v>
      </c>
    </row>
    <row r="2293" spans="1:2" x14ac:dyDescent="0.35">
      <c r="A2293" s="7">
        <v>41597</v>
      </c>
      <c r="B2293">
        <v>2.2656000000000001</v>
      </c>
    </row>
    <row r="2294" spans="1:2" x14ac:dyDescent="0.35">
      <c r="A2294" s="7">
        <v>41596</v>
      </c>
      <c r="B2294">
        <v>2.2822</v>
      </c>
    </row>
    <row r="2295" spans="1:2" x14ac:dyDescent="0.35">
      <c r="A2295" s="7">
        <v>41592</v>
      </c>
      <c r="B2295">
        <v>2.3283</v>
      </c>
    </row>
    <row r="2296" spans="1:2" x14ac:dyDescent="0.35">
      <c r="A2296" s="7">
        <v>41591</v>
      </c>
      <c r="B2296">
        <v>2.3228</v>
      </c>
    </row>
    <row r="2297" spans="1:2" x14ac:dyDescent="0.35">
      <c r="A2297" s="7">
        <v>41590</v>
      </c>
      <c r="B2297">
        <v>2.3355999999999999</v>
      </c>
    </row>
    <row r="2298" spans="1:2" x14ac:dyDescent="0.35">
      <c r="A2298" s="7">
        <v>41589</v>
      </c>
      <c r="B2298">
        <v>2.3136000000000001</v>
      </c>
    </row>
    <row r="2299" spans="1:2" x14ac:dyDescent="0.35">
      <c r="A2299" s="7">
        <v>41586</v>
      </c>
      <c r="B2299">
        <v>2.3163999999999998</v>
      </c>
    </row>
    <row r="2300" spans="1:2" x14ac:dyDescent="0.35">
      <c r="A2300" s="7">
        <v>41585</v>
      </c>
      <c r="B2300">
        <v>2.2818999999999998</v>
      </c>
    </row>
    <row r="2301" spans="1:2" x14ac:dyDescent="0.35">
      <c r="A2301" s="7">
        <v>41584</v>
      </c>
      <c r="B2301">
        <v>2.2778999999999998</v>
      </c>
    </row>
    <row r="2302" spans="1:2" x14ac:dyDescent="0.35">
      <c r="A2302" s="7">
        <v>41583</v>
      </c>
      <c r="B2302">
        <v>2.2740999999999998</v>
      </c>
    </row>
    <row r="2303" spans="1:2" x14ac:dyDescent="0.35">
      <c r="A2303" s="7">
        <v>41582</v>
      </c>
      <c r="B2303">
        <v>2.242</v>
      </c>
    </row>
    <row r="2304" spans="1:2" x14ac:dyDescent="0.35">
      <c r="A2304" s="7">
        <v>41579</v>
      </c>
      <c r="B2304">
        <v>2.2462</v>
      </c>
    </row>
    <row r="2305" spans="1:2" x14ac:dyDescent="0.35">
      <c r="A2305" s="7">
        <v>41578</v>
      </c>
      <c r="B2305">
        <v>2.202</v>
      </c>
    </row>
    <row r="2306" spans="1:2" x14ac:dyDescent="0.35">
      <c r="A2306" s="7">
        <v>41577</v>
      </c>
      <c r="B2306">
        <v>2.1882000000000001</v>
      </c>
    </row>
    <row r="2307" spans="1:2" x14ac:dyDescent="0.35">
      <c r="A2307" s="7">
        <v>41576</v>
      </c>
      <c r="B2307">
        <v>2.1798000000000002</v>
      </c>
    </row>
    <row r="2308" spans="1:2" x14ac:dyDescent="0.35">
      <c r="A2308" s="7">
        <v>41575</v>
      </c>
      <c r="B2308">
        <v>2.1840000000000002</v>
      </c>
    </row>
    <row r="2309" spans="1:2" x14ac:dyDescent="0.35">
      <c r="A2309" s="7">
        <v>41572</v>
      </c>
      <c r="B2309">
        <v>2.1842000000000001</v>
      </c>
    </row>
    <row r="2310" spans="1:2" x14ac:dyDescent="0.35">
      <c r="A2310" s="7">
        <v>41571</v>
      </c>
      <c r="B2310">
        <v>2.1997</v>
      </c>
    </row>
    <row r="2311" spans="1:2" x14ac:dyDescent="0.35">
      <c r="A2311" s="7">
        <v>41570</v>
      </c>
      <c r="B2311">
        <v>2.1821000000000002</v>
      </c>
    </row>
    <row r="2312" spans="1:2" x14ac:dyDescent="0.35">
      <c r="A2312" s="7">
        <v>41569</v>
      </c>
      <c r="B2312">
        <v>2.1753999999999998</v>
      </c>
    </row>
    <row r="2313" spans="1:2" x14ac:dyDescent="0.35">
      <c r="A2313" s="7">
        <v>41568</v>
      </c>
      <c r="B2313">
        <v>2.1732</v>
      </c>
    </row>
    <row r="2314" spans="1:2" x14ac:dyDescent="0.35">
      <c r="A2314" s="7">
        <v>41565</v>
      </c>
      <c r="B2314">
        <v>2.161</v>
      </c>
    </row>
    <row r="2315" spans="1:2" x14ac:dyDescent="0.35">
      <c r="A2315" s="7">
        <v>41564</v>
      </c>
      <c r="B2315">
        <v>2.1604999999999999</v>
      </c>
    </row>
    <row r="2316" spans="1:2" x14ac:dyDescent="0.35">
      <c r="A2316" s="7">
        <v>41563</v>
      </c>
      <c r="B2316">
        <v>2.1623000000000001</v>
      </c>
    </row>
    <row r="2317" spans="1:2" x14ac:dyDescent="0.35">
      <c r="A2317" s="7">
        <v>41562</v>
      </c>
      <c r="B2317">
        <v>2.1812</v>
      </c>
    </row>
    <row r="2318" spans="1:2" x14ac:dyDescent="0.35">
      <c r="A2318" s="7">
        <v>41561</v>
      </c>
      <c r="B2318">
        <v>2.1810999999999998</v>
      </c>
    </row>
    <row r="2319" spans="1:2" x14ac:dyDescent="0.35">
      <c r="A2319" s="7">
        <v>41558</v>
      </c>
      <c r="B2319">
        <v>2.1815000000000002</v>
      </c>
    </row>
    <row r="2320" spans="1:2" x14ac:dyDescent="0.35">
      <c r="A2320" s="7">
        <v>41557</v>
      </c>
      <c r="B2320">
        <v>2.1844000000000001</v>
      </c>
    </row>
    <row r="2321" spans="1:2" x14ac:dyDescent="0.35">
      <c r="A2321" s="7">
        <v>41556</v>
      </c>
      <c r="B2321">
        <v>2.2048000000000001</v>
      </c>
    </row>
    <row r="2322" spans="1:2" x14ac:dyDescent="0.35">
      <c r="A2322" s="7">
        <v>41555</v>
      </c>
      <c r="B2322">
        <v>2.2010000000000001</v>
      </c>
    </row>
    <row r="2323" spans="1:2" x14ac:dyDescent="0.35">
      <c r="A2323" s="7">
        <v>41554</v>
      </c>
      <c r="B2323">
        <v>2.2081</v>
      </c>
    </row>
    <row r="2324" spans="1:2" x14ac:dyDescent="0.35">
      <c r="A2324" s="7">
        <v>41551</v>
      </c>
      <c r="B2324">
        <v>2.2044999999999999</v>
      </c>
    </row>
    <row r="2325" spans="1:2" x14ac:dyDescent="0.35">
      <c r="A2325" s="7">
        <v>41550</v>
      </c>
      <c r="B2325">
        <v>2.2063000000000001</v>
      </c>
    </row>
    <row r="2326" spans="1:2" x14ac:dyDescent="0.35">
      <c r="A2326" s="7">
        <v>41549</v>
      </c>
      <c r="B2326">
        <v>2.2082000000000002</v>
      </c>
    </row>
    <row r="2327" spans="1:2" x14ac:dyDescent="0.35">
      <c r="A2327" s="7">
        <v>41548</v>
      </c>
      <c r="B2327">
        <v>2.2118000000000002</v>
      </c>
    </row>
    <row r="2328" spans="1:2" x14ac:dyDescent="0.35">
      <c r="A2328" s="7">
        <v>41547</v>
      </c>
      <c r="B2328">
        <v>2.2294</v>
      </c>
    </row>
    <row r="2329" spans="1:2" x14ac:dyDescent="0.35">
      <c r="A2329" s="7">
        <v>41544</v>
      </c>
      <c r="B2329">
        <v>2.2565</v>
      </c>
    </row>
    <row r="2330" spans="1:2" x14ac:dyDescent="0.35">
      <c r="A2330" s="7">
        <v>41543</v>
      </c>
      <c r="B2330">
        <v>2.2279</v>
      </c>
    </row>
    <row r="2331" spans="1:2" x14ac:dyDescent="0.35">
      <c r="A2331" s="7">
        <v>41542</v>
      </c>
      <c r="B2331">
        <v>2.2218</v>
      </c>
    </row>
    <row r="2332" spans="1:2" x14ac:dyDescent="0.35">
      <c r="A2332" s="7">
        <v>41541</v>
      </c>
      <c r="B2332">
        <v>2.2025000000000001</v>
      </c>
    </row>
    <row r="2333" spans="1:2" x14ac:dyDescent="0.35">
      <c r="A2333" s="7">
        <v>41540</v>
      </c>
      <c r="B2333">
        <v>2.2025999999999999</v>
      </c>
    </row>
    <row r="2334" spans="1:2" x14ac:dyDescent="0.35">
      <c r="A2334" s="7">
        <v>41537</v>
      </c>
      <c r="B2334">
        <v>2.2046999999999999</v>
      </c>
    </row>
    <row r="2335" spans="1:2" x14ac:dyDescent="0.35">
      <c r="A2335" s="7">
        <v>41536</v>
      </c>
      <c r="B2335">
        <v>2.2029000000000001</v>
      </c>
    </row>
    <row r="2336" spans="1:2" x14ac:dyDescent="0.35">
      <c r="A2336" s="7">
        <v>41535</v>
      </c>
      <c r="B2336">
        <v>2.2483</v>
      </c>
    </row>
    <row r="2337" spans="1:2" x14ac:dyDescent="0.35">
      <c r="A2337" s="7">
        <v>41534</v>
      </c>
      <c r="B2337">
        <v>2.2610999999999999</v>
      </c>
    </row>
    <row r="2338" spans="1:2" x14ac:dyDescent="0.35">
      <c r="A2338" s="7">
        <v>41533</v>
      </c>
      <c r="B2338">
        <v>2.2643</v>
      </c>
    </row>
    <row r="2339" spans="1:2" x14ac:dyDescent="0.35">
      <c r="A2339" s="7">
        <v>41530</v>
      </c>
      <c r="B2339">
        <v>2.2778999999999998</v>
      </c>
    </row>
    <row r="2340" spans="1:2" x14ac:dyDescent="0.35">
      <c r="A2340" s="7">
        <v>41529</v>
      </c>
      <c r="B2340">
        <v>2.2763</v>
      </c>
    </row>
    <row r="2341" spans="1:2" x14ac:dyDescent="0.35">
      <c r="A2341" s="7">
        <v>41528</v>
      </c>
      <c r="B2341">
        <v>2.2940999999999998</v>
      </c>
    </row>
    <row r="2342" spans="1:2" x14ac:dyDescent="0.35">
      <c r="A2342" s="7">
        <v>41527</v>
      </c>
      <c r="B2342">
        <v>2.2772999999999999</v>
      </c>
    </row>
    <row r="2343" spans="1:2" x14ac:dyDescent="0.35">
      <c r="A2343" s="7">
        <v>41526</v>
      </c>
      <c r="B2343">
        <v>2.2862</v>
      </c>
    </row>
    <row r="2344" spans="1:2" x14ac:dyDescent="0.35">
      <c r="A2344" s="7">
        <v>41523</v>
      </c>
      <c r="B2344">
        <v>2.2972999999999999</v>
      </c>
    </row>
    <row r="2345" spans="1:2" x14ac:dyDescent="0.35">
      <c r="A2345" s="7">
        <v>41522</v>
      </c>
      <c r="B2345">
        <v>2.3308</v>
      </c>
    </row>
    <row r="2346" spans="1:2" x14ac:dyDescent="0.35">
      <c r="A2346" s="7">
        <v>41521</v>
      </c>
      <c r="B2346">
        <v>2.3532000000000002</v>
      </c>
    </row>
    <row r="2347" spans="1:2" x14ac:dyDescent="0.35">
      <c r="A2347" s="7">
        <v>41520</v>
      </c>
      <c r="B2347">
        <v>2.3891</v>
      </c>
    </row>
    <row r="2348" spans="1:2" x14ac:dyDescent="0.35">
      <c r="A2348" s="7">
        <v>41519</v>
      </c>
      <c r="B2348">
        <v>2.3637000000000001</v>
      </c>
    </row>
    <row r="2349" spans="1:2" x14ac:dyDescent="0.35">
      <c r="A2349" s="7">
        <v>41516</v>
      </c>
      <c r="B2349">
        <v>2.3719000000000001</v>
      </c>
    </row>
    <row r="2350" spans="1:2" x14ac:dyDescent="0.35">
      <c r="A2350" s="7">
        <v>41515</v>
      </c>
      <c r="B2350">
        <v>2.3572000000000002</v>
      </c>
    </row>
    <row r="2351" spans="1:2" x14ac:dyDescent="0.35">
      <c r="A2351" s="7">
        <v>41514</v>
      </c>
      <c r="B2351">
        <v>2.3509000000000002</v>
      </c>
    </row>
    <row r="2352" spans="1:2" x14ac:dyDescent="0.35">
      <c r="A2352" s="7">
        <v>41513</v>
      </c>
      <c r="B2352">
        <v>2.3992</v>
      </c>
    </row>
    <row r="2353" spans="1:2" x14ac:dyDescent="0.35">
      <c r="A2353" s="7">
        <v>41512</v>
      </c>
      <c r="B2353">
        <v>2.3698999999999999</v>
      </c>
    </row>
    <row r="2354" spans="1:2" x14ac:dyDescent="0.35">
      <c r="A2354" s="7">
        <v>41509</v>
      </c>
      <c r="B2354">
        <v>2.3862000000000001</v>
      </c>
    </row>
    <row r="2355" spans="1:2" x14ac:dyDescent="0.35">
      <c r="A2355" s="7">
        <v>41508</v>
      </c>
      <c r="B2355">
        <v>2.4451000000000001</v>
      </c>
    </row>
    <row r="2356" spans="1:2" x14ac:dyDescent="0.35">
      <c r="A2356" s="7">
        <v>41507</v>
      </c>
      <c r="B2356">
        <v>2.4163000000000001</v>
      </c>
    </row>
    <row r="2357" spans="1:2" x14ac:dyDescent="0.35">
      <c r="A2357" s="7">
        <v>41506</v>
      </c>
      <c r="B2357">
        <v>2.3936999999999999</v>
      </c>
    </row>
    <row r="2358" spans="1:2" x14ac:dyDescent="0.35">
      <c r="A2358" s="7">
        <v>41505</v>
      </c>
      <c r="B2358">
        <v>2.3974000000000002</v>
      </c>
    </row>
    <row r="2359" spans="1:2" x14ac:dyDescent="0.35">
      <c r="A2359" s="7">
        <v>41502</v>
      </c>
      <c r="B2359">
        <v>2.3559000000000001</v>
      </c>
    </row>
    <row r="2360" spans="1:2" x14ac:dyDescent="0.35">
      <c r="A2360" s="7">
        <v>41501</v>
      </c>
      <c r="B2360">
        <v>2.3428</v>
      </c>
    </row>
    <row r="2361" spans="1:2" x14ac:dyDescent="0.35">
      <c r="A2361" s="7">
        <v>41500</v>
      </c>
      <c r="B2361">
        <v>2.3111999999999999</v>
      </c>
    </row>
    <row r="2362" spans="1:2" x14ac:dyDescent="0.35">
      <c r="A2362" s="7">
        <v>41499</v>
      </c>
      <c r="B2362">
        <v>2.3029000000000002</v>
      </c>
    </row>
    <row r="2363" spans="1:2" x14ac:dyDescent="0.35">
      <c r="A2363" s="7">
        <v>41498</v>
      </c>
      <c r="B2363">
        <v>2.2715999999999998</v>
      </c>
    </row>
    <row r="2364" spans="1:2" x14ac:dyDescent="0.35">
      <c r="A2364" s="7">
        <v>41495</v>
      </c>
      <c r="B2364">
        <v>2.2743000000000002</v>
      </c>
    </row>
    <row r="2365" spans="1:2" x14ac:dyDescent="0.35">
      <c r="A2365" s="7">
        <v>41494</v>
      </c>
      <c r="B2365">
        <v>2.2875999999999999</v>
      </c>
    </row>
    <row r="2366" spans="1:2" x14ac:dyDescent="0.35">
      <c r="A2366" s="7">
        <v>41493</v>
      </c>
      <c r="B2366">
        <v>2.3022</v>
      </c>
    </row>
    <row r="2367" spans="1:2" x14ac:dyDescent="0.35">
      <c r="A2367" s="7">
        <v>41492</v>
      </c>
      <c r="B2367">
        <v>2.2949000000000002</v>
      </c>
    </row>
    <row r="2368" spans="1:2" x14ac:dyDescent="0.35">
      <c r="A2368" s="7">
        <v>41491</v>
      </c>
      <c r="B2368">
        <v>2.3003999999999998</v>
      </c>
    </row>
    <row r="2369" spans="1:2" x14ac:dyDescent="0.35">
      <c r="A2369" s="7">
        <v>41488</v>
      </c>
      <c r="B2369">
        <v>2.2927</v>
      </c>
    </row>
    <row r="2370" spans="1:2" x14ac:dyDescent="0.35">
      <c r="A2370" s="7">
        <v>41487</v>
      </c>
      <c r="B2370">
        <v>2.2907999999999999</v>
      </c>
    </row>
    <row r="2371" spans="1:2" x14ac:dyDescent="0.35">
      <c r="A2371" s="7">
        <v>41486</v>
      </c>
      <c r="B2371">
        <v>2.2896999999999998</v>
      </c>
    </row>
    <row r="2372" spans="1:2" x14ac:dyDescent="0.35">
      <c r="A2372" s="7">
        <v>41485</v>
      </c>
      <c r="B2372">
        <v>2.2728999999999999</v>
      </c>
    </row>
    <row r="2373" spans="1:2" x14ac:dyDescent="0.35">
      <c r="A2373" s="7">
        <v>41484</v>
      </c>
      <c r="B2373">
        <v>2.2603</v>
      </c>
    </row>
    <row r="2374" spans="1:2" x14ac:dyDescent="0.35">
      <c r="A2374" s="7">
        <v>41481</v>
      </c>
      <c r="B2374">
        <v>2.2483</v>
      </c>
    </row>
    <row r="2375" spans="1:2" x14ac:dyDescent="0.35">
      <c r="A2375" s="7">
        <v>41480</v>
      </c>
      <c r="B2375">
        <v>2.2490999999999999</v>
      </c>
    </row>
    <row r="2376" spans="1:2" x14ac:dyDescent="0.35">
      <c r="A2376" s="7">
        <v>41479</v>
      </c>
      <c r="B2376">
        <v>2.2342</v>
      </c>
    </row>
    <row r="2377" spans="1:2" x14ac:dyDescent="0.35">
      <c r="A2377" s="7">
        <v>41478</v>
      </c>
      <c r="B2377">
        <v>2.2261000000000002</v>
      </c>
    </row>
    <row r="2378" spans="1:2" x14ac:dyDescent="0.35">
      <c r="A2378" s="7">
        <v>41477</v>
      </c>
      <c r="B2378">
        <v>2.238</v>
      </c>
    </row>
    <row r="2379" spans="1:2" x14ac:dyDescent="0.35">
      <c r="A2379" s="7">
        <v>41474</v>
      </c>
      <c r="B2379">
        <v>2.2357999999999998</v>
      </c>
    </row>
    <row r="2380" spans="1:2" x14ac:dyDescent="0.35">
      <c r="A2380" s="7">
        <v>41473</v>
      </c>
      <c r="B2380">
        <v>2.2290999999999999</v>
      </c>
    </row>
    <row r="2381" spans="1:2" x14ac:dyDescent="0.35">
      <c r="A2381" s="7">
        <v>41472</v>
      </c>
      <c r="B2381">
        <v>2.2366000000000001</v>
      </c>
    </row>
    <row r="2382" spans="1:2" x14ac:dyDescent="0.35">
      <c r="A2382" s="7">
        <v>41471</v>
      </c>
      <c r="B2382">
        <v>2.2347000000000001</v>
      </c>
    </row>
    <row r="2383" spans="1:2" x14ac:dyDescent="0.35">
      <c r="A2383" s="7">
        <v>41470</v>
      </c>
      <c r="B2383">
        <v>2.2543000000000002</v>
      </c>
    </row>
    <row r="2384" spans="1:2" x14ac:dyDescent="0.35">
      <c r="A2384" s="7">
        <v>41467</v>
      </c>
      <c r="B2384">
        <v>2.2664</v>
      </c>
    </row>
    <row r="2385" spans="1:2" x14ac:dyDescent="0.35">
      <c r="A2385" s="7">
        <v>41466</v>
      </c>
      <c r="B2385">
        <v>2.2665999999999999</v>
      </c>
    </row>
    <row r="2386" spans="1:2" x14ac:dyDescent="0.35">
      <c r="A2386" s="7">
        <v>41465</v>
      </c>
      <c r="B2386">
        <v>2.2690999999999999</v>
      </c>
    </row>
    <row r="2387" spans="1:2" x14ac:dyDescent="0.35">
      <c r="A2387" s="7">
        <v>41464</v>
      </c>
      <c r="B2387">
        <v>2.2614999999999998</v>
      </c>
    </row>
    <row r="2388" spans="1:2" x14ac:dyDescent="0.35">
      <c r="A2388" s="7">
        <v>41463</v>
      </c>
      <c r="B2388">
        <v>2.2576999999999998</v>
      </c>
    </row>
    <row r="2389" spans="1:2" x14ac:dyDescent="0.35">
      <c r="A2389" s="7">
        <v>41460</v>
      </c>
      <c r="B2389">
        <v>2.2639</v>
      </c>
    </row>
    <row r="2390" spans="1:2" x14ac:dyDescent="0.35">
      <c r="A2390" s="7">
        <v>41459</v>
      </c>
      <c r="B2390">
        <v>2.2589000000000001</v>
      </c>
    </row>
    <row r="2391" spans="1:2" x14ac:dyDescent="0.35">
      <c r="A2391" s="7">
        <v>41458</v>
      </c>
      <c r="B2391">
        <v>2.2627999999999999</v>
      </c>
    </row>
    <row r="2392" spans="1:2" x14ac:dyDescent="0.35">
      <c r="A2392" s="7">
        <v>41457</v>
      </c>
      <c r="B2392">
        <v>2.2406999999999999</v>
      </c>
    </row>
    <row r="2393" spans="1:2" x14ac:dyDescent="0.35">
      <c r="A2393" s="7">
        <v>41456</v>
      </c>
      <c r="B2393">
        <v>2.2292000000000001</v>
      </c>
    </row>
    <row r="2394" spans="1:2" x14ac:dyDescent="0.35">
      <c r="A2394" s="7">
        <v>41453</v>
      </c>
      <c r="B2394">
        <v>2.2149999999999999</v>
      </c>
    </row>
    <row r="2395" spans="1:2" x14ac:dyDescent="0.35">
      <c r="A2395" s="7">
        <v>41452</v>
      </c>
      <c r="B2395">
        <v>2.1840000000000002</v>
      </c>
    </row>
    <row r="2396" spans="1:2" x14ac:dyDescent="0.35">
      <c r="A2396" s="7">
        <v>41451</v>
      </c>
      <c r="B2396">
        <v>2.1968999999999999</v>
      </c>
    </row>
    <row r="2397" spans="1:2" x14ac:dyDescent="0.35">
      <c r="A2397" s="7">
        <v>41450</v>
      </c>
      <c r="B2397">
        <v>2.218</v>
      </c>
    </row>
    <row r="2398" spans="1:2" x14ac:dyDescent="0.35">
      <c r="A2398" s="7">
        <v>41449</v>
      </c>
      <c r="B2398">
        <v>2.2509000000000001</v>
      </c>
    </row>
    <row r="2399" spans="1:2" x14ac:dyDescent="0.35">
      <c r="A2399" s="7">
        <v>41446</v>
      </c>
      <c r="B2399">
        <v>2.2642000000000002</v>
      </c>
    </row>
    <row r="2400" spans="1:2" x14ac:dyDescent="0.35">
      <c r="A2400" s="7">
        <v>41445</v>
      </c>
      <c r="B2400">
        <v>2.2517</v>
      </c>
    </row>
    <row r="2401" spans="1:2" x14ac:dyDescent="0.35">
      <c r="A2401" s="7">
        <v>41444</v>
      </c>
      <c r="B2401">
        <v>2.1738</v>
      </c>
    </row>
    <row r="2402" spans="1:2" x14ac:dyDescent="0.35">
      <c r="A2402" s="7">
        <v>41443</v>
      </c>
      <c r="B2402">
        <v>2.17</v>
      </c>
    </row>
    <row r="2403" spans="1:2" x14ac:dyDescent="0.35">
      <c r="A2403" s="7">
        <v>41442</v>
      </c>
      <c r="B2403">
        <v>2.1532</v>
      </c>
    </row>
    <row r="2404" spans="1:2" x14ac:dyDescent="0.35">
      <c r="A2404" s="7">
        <v>41439</v>
      </c>
      <c r="B2404">
        <v>2.1360999999999999</v>
      </c>
    </row>
    <row r="2405" spans="1:2" x14ac:dyDescent="0.35">
      <c r="A2405" s="7">
        <v>41438</v>
      </c>
      <c r="B2405">
        <v>2.1440999999999999</v>
      </c>
    </row>
    <row r="2406" spans="1:2" x14ac:dyDescent="0.35">
      <c r="A2406" s="7">
        <v>41437</v>
      </c>
      <c r="B2406">
        <v>2.1415000000000002</v>
      </c>
    </row>
    <row r="2407" spans="1:2" x14ac:dyDescent="0.35">
      <c r="A2407" s="7">
        <v>41436</v>
      </c>
      <c r="B2407">
        <v>2.1515</v>
      </c>
    </row>
    <row r="2408" spans="1:2" x14ac:dyDescent="0.35">
      <c r="A2408" s="7">
        <v>41435</v>
      </c>
      <c r="B2408">
        <v>2.1501000000000001</v>
      </c>
    </row>
    <row r="2409" spans="1:2" x14ac:dyDescent="0.35">
      <c r="A2409" s="7">
        <v>41432</v>
      </c>
      <c r="B2409">
        <v>2.1366999999999998</v>
      </c>
    </row>
    <row r="2410" spans="1:2" x14ac:dyDescent="0.35">
      <c r="A2410" s="7">
        <v>41431</v>
      </c>
      <c r="B2410">
        <v>2.1244000000000001</v>
      </c>
    </row>
    <row r="2411" spans="1:2" x14ac:dyDescent="0.35">
      <c r="A2411" s="7">
        <v>41430</v>
      </c>
      <c r="B2411">
        <v>2.1229</v>
      </c>
    </row>
    <row r="2412" spans="1:2" x14ac:dyDescent="0.35">
      <c r="A2412" s="7">
        <v>41429</v>
      </c>
      <c r="B2412">
        <v>2.1276000000000002</v>
      </c>
    </row>
    <row r="2413" spans="1:2" x14ac:dyDescent="0.35">
      <c r="A2413" s="7">
        <v>41428</v>
      </c>
      <c r="B2413">
        <v>2.1349</v>
      </c>
    </row>
    <row r="2414" spans="1:2" x14ac:dyDescent="0.35">
      <c r="A2414" s="7">
        <v>41425</v>
      </c>
      <c r="B2414">
        <v>2.1314000000000002</v>
      </c>
    </row>
    <row r="2415" spans="1:2" x14ac:dyDescent="0.35">
      <c r="A2415" s="7">
        <v>41423</v>
      </c>
      <c r="B2415">
        <v>2.0888</v>
      </c>
    </row>
    <row r="2416" spans="1:2" x14ac:dyDescent="0.35">
      <c r="A2416" s="7">
        <v>41422</v>
      </c>
      <c r="B2416">
        <v>2.0609999999999999</v>
      </c>
    </row>
    <row r="2417" spans="1:2" x14ac:dyDescent="0.35">
      <c r="A2417" s="7">
        <v>41421</v>
      </c>
      <c r="B2417">
        <v>2.0520999999999998</v>
      </c>
    </row>
    <row r="2418" spans="1:2" x14ac:dyDescent="0.35">
      <c r="A2418" s="7">
        <v>41418</v>
      </c>
      <c r="B2418">
        <v>2.0489000000000002</v>
      </c>
    </row>
    <row r="2419" spans="1:2" x14ac:dyDescent="0.35">
      <c r="A2419" s="7">
        <v>41417</v>
      </c>
      <c r="B2419">
        <v>2.0531000000000001</v>
      </c>
    </row>
    <row r="2420" spans="1:2" x14ac:dyDescent="0.35">
      <c r="A2420" s="7">
        <v>41416</v>
      </c>
      <c r="B2420">
        <v>2.0381</v>
      </c>
    </row>
    <row r="2421" spans="1:2" x14ac:dyDescent="0.35">
      <c r="A2421" s="7">
        <v>41415</v>
      </c>
      <c r="B2421">
        <v>2.0396000000000001</v>
      </c>
    </row>
    <row r="2422" spans="1:2" x14ac:dyDescent="0.35">
      <c r="A2422" s="7">
        <v>41414</v>
      </c>
      <c r="B2422">
        <v>2.0327999999999999</v>
      </c>
    </row>
    <row r="2423" spans="1:2" x14ac:dyDescent="0.35">
      <c r="A2423" s="7">
        <v>41411</v>
      </c>
      <c r="B2423">
        <v>2.0348000000000002</v>
      </c>
    </row>
    <row r="2424" spans="1:2" x14ac:dyDescent="0.35">
      <c r="A2424" s="7">
        <v>41410</v>
      </c>
      <c r="B2424">
        <v>2.0249000000000001</v>
      </c>
    </row>
    <row r="2425" spans="1:2" x14ac:dyDescent="0.35">
      <c r="A2425" s="7">
        <v>41409</v>
      </c>
      <c r="B2425">
        <v>2.0226999999999999</v>
      </c>
    </row>
    <row r="2426" spans="1:2" x14ac:dyDescent="0.35">
      <c r="A2426" s="7">
        <v>41408</v>
      </c>
      <c r="B2426">
        <v>2.0057</v>
      </c>
    </row>
    <row r="2427" spans="1:2" x14ac:dyDescent="0.35">
      <c r="A2427" s="7">
        <v>41407</v>
      </c>
      <c r="B2427">
        <v>2.0144000000000002</v>
      </c>
    </row>
    <row r="2428" spans="1:2" x14ac:dyDescent="0.35">
      <c r="A2428" s="7">
        <v>41404</v>
      </c>
      <c r="B2428">
        <v>2.0225</v>
      </c>
    </row>
    <row r="2429" spans="1:2" x14ac:dyDescent="0.35">
      <c r="A2429" s="7">
        <v>41403</v>
      </c>
      <c r="B2429">
        <v>2.0045999999999999</v>
      </c>
    </row>
    <row r="2430" spans="1:2" x14ac:dyDescent="0.35">
      <c r="A2430" s="7">
        <v>41402</v>
      </c>
      <c r="B2430">
        <v>2.0024000000000002</v>
      </c>
    </row>
    <row r="2431" spans="1:2" x14ac:dyDescent="0.35">
      <c r="A2431" s="7">
        <v>41401</v>
      </c>
      <c r="B2431">
        <v>2.0104000000000002</v>
      </c>
    </row>
    <row r="2432" spans="1:2" x14ac:dyDescent="0.35">
      <c r="A2432" s="7">
        <v>41400</v>
      </c>
      <c r="B2432">
        <v>2.0137</v>
      </c>
    </row>
    <row r="2433" spans="1:2" x14ac:dyDescent="0.35">
      <c r="A2433" s="7">
        <v>41397</v>
      </c>
      <c r="B2433">
        <v>2.0087999999999999</v>
      </c>
    </row>
    <row r="2434" spans="1:2" x14ac:dyDescent="0.35">
      <c r="A2434" s="7">
        <v>41396</v>
      </c>
      <c r="B2434">
        <v>2.0089000000000001</v>
      </c>
    </row>
    <row r="2435" spans="1:2" x14ac:dyDescent="0.35">
      <c r="A2435" s="7">
        <v>41394</v>
      </c>
      <c r="B2435">
        <v>2.0011000000000001</v>
      </c>
    </row>
    <row r="2436" spans="1:2" x14ac:dyDescent="0.35">
      <c r="A2436" s="7">
        <v>41393</v>
      </c>
      <c r="B2436">
        <v>1.9993000000000001</v>
      </c>
    </row>
    <row r="2437" spans="1:2" x14ac:dyDescent="0.35">
      <c r="A2437" s="7">
        <v>41390</v>
      </c>
      <c r="B2437">
        <v>1.9995000000000001</v>
      </c>
    </row>
    <row r="2438" spans="1:2" x14ac:dyDescent="0.35">
      <c r="A2438" s="7">
        <v>41389</v>
      </c>
      <c r="B2438">
        <v>2.0114000000000001</v>
      </c>
    </row>
    <row r="2439" spans="1:2" x14ac:dyDescent="0.35">
      <c r="A2439" s="7">
        <v>41388</v>
      </c>
      <c r="B2439">
        <v>2.0238</v>
      </c>
    </row>
    <row r="2440" spans="1:2" x14ac:dyDescent="0.35">
      <c r="A2440" s="7">
        <v>41387</v>
      </c>
      <c r="B2440">
        <v>2.0164</v>
      </c>
    </row>
    <row r="2441" spans="1:2" x14ac:dyDescent="0.35">
      <c r="A2441" s="7">
        <v>41386</v>
      </c>
      <c r="B2441">
        <v>2.0148000000000001</v>
      </c>
    </row>
    <row r="2442" spans="1:2" x14ac:dyDescent="0.35">
      <c r="A2442" s="7">
        <v>41383</v>
      </c>
      <c r="B2442">
        <v>2.0084</v>
      </c>
    </row>
    <row r="2443" spans="1:2" x14ac:dyDescent="0.35">
      <c r="A2443" s="7">
        <v>41382</v>
      </c>
      <c r="B2443">
        <v>2.0146000000000002</v>
      </c>
    </row>
    <row r="2444" spans="1:2" x14ac:dyDescent="0.35">
      <c r="A2444" s="7">
        <v>41381</v>
      </c>
      <c r="B2444">
        <v>1.9933000000000001</v>
      </c>
    </row>
    <row r="2445" spans="1:2" x14ac:dyDescent="0.35">
      <c r="A2445" s="7">
        <v>41380</v>
      </c>
      <c r="B2445">
        <v>1.9897</v>
      </c>
    </row>
    <row r="2446" spans="1:2" x14ac:dyDescent="0.35">
      <c r="A2446" s="7">
        <v>41379</v>
      </c>
      <c r="B2446">
        <v>1.9783999999999999</v>
      </c>
    </row>
    <row r="2447" spans="1:2" x14ac:dyDescent="0.35">
      <c r="A2447" s="7">
        <v>41376</v>
      </c>
      <c r="B2447">
        <v>1.9755</v>
      </c>
    </row>
    <row r="2448" spans="1:2" x14ac:dyDescent="0.35">
      <c r="A2448" s="7">
        <v>41375</v>
      </c>
      <c r="B2448">
        <v>1.9731000000000001</v>
      </c>
    </row>
    <row r="2449" spans="1:2" x14ac:dyDescent="0.35">
      <c r="A2449" s="7">
        <v>41374</v>
      </c>
      <c r="B2449">
        <v>1.9803999999999999</v>
      </c>
    </row>
    <row r="2450" spans="1:2" x14ac:dyDescent="0.35">
      <c r="A2450" s="7">
        <v>41373</v>
      </c>
      <c r="B2450">
        <v>1.9855</v>
      </c>
    </row>
    <row r="2451" spans="1:2" x14ac:dyDescent="0.35">
      <c r="A2451" s="7">
        <v>41372</v>
      </c>
      <c r="B2451">
        <v>1.9897</v>
      </c>
    </row>
    <row r="2452" spans="1:2" x14ac:dyDescent="0.35">
      <c r="A2452" s="7">
        <v>41369</v>
      </c>
      <c r="B2452">
        <v>2.0028999999999999</v>
      </c>
    </row>
    <row r="2453" spans="1:2" x14ac:dyDescent="0.35">
      <c r="A2453" s="7">
        <v>41368</v>
      </c>
      <c r="B2453">
        <v>2.0194999999999999</v>
      </c>
    </row>
    <row r="2454" spans="1:2" x14ac:dyDescent="0.35">
      <c r="A2454" s="7">
        <v>41367</v>
      </c>
      <c r="B2454">
        <v>2.0232999999999999</v>
      </c>
    </row>
    <row r="2455" spans="1:2" x14ac:dyDescent="0.35">
      <c r="A2455" s="7">
        <v>41366</v>
      </c>
      <c r="B2455">
        <v>2.0173000000000001</v>
      </c>
    </row>
    <row r="2456" spans="1:2" x14ac:dyDescent="0.35">
      <c r="A2456" s="7">
        <v>41365</v>
      </c>
      <c r="B2456">
        <v>2.0179999999999998</v>
      </c>
    </row>
    <row r="2457" spans="1:2" x14ac:dyDescent="0.35">
      <c r="A2457" s="7">
        <v>41361</v>
      </c>
      <c r="B2457">
        <v>2.0131999999999999</v>
      </c>
    </row>
    <row r="2458" spans="1:2" x14ac:dyDescent="0.35">
      <c r="A2458" s="7">
        <v>41360</v>
      </c>
      <c r="B2458">
        <v>2.0179</v>
      </c>
    </row>
    <row r="2459" spans="1:2" x14ac:dyDescent="0.35">
      <c r="A2459" s="7">
        <v>41359</v>
      </c>
      <c r="B2459">
        <v>2.0081000000000002</v>
      </c>
    </row>
    <row r="2460" spans="1:2" x14ac:dyDescent="0.35">
      <c r="A2460" s="7">
        <v>41358</v>
      </c>
      <c r="B2460">
        <v>2.0133999999999999</v>
      </c>
    </row>
    <row r="2461" spans="1:2" x14ac:dyDescent="0.35">
      <c r="A2461" s="7">
        <v>41355</v>
      </c>
      <c r="B2461">
        <v>2.012</v>
      </c>
    </row>
    <row r="2462" spans="1:2" x14ac:dyDescent="0.35">
      <c r="A2462" s="7">
        <v>41354</v>
      </c>
      <c r="B2462">
        <v>1.9924999999999999</v>
      </c>
    </row>
    <row r="2463" spans="1:2" x14ac:dyDescent="0.35">
      <c r="A2463" s="7">
        <v>41353</v>
      </c>
      <c r="B2463">
        <v>1.9862</v>
      </c>
    </row>
    <row r="2464" spans="1:2" x14ac:dyDescent="0.35">
      <c r="A2464" s="7">
        <v>41352</v>
      </c>
      <c r="B2464">
        <v>1.9823999999999999</v>
      </c>
    </row>
    <row r="2465" spans="1:2" x14ac:dyDescent="0.35">
      <c r="A2465" s="7">
        <v>41351</v>
      </c>
      <c r="B2465">
        <v>1.9864999999999999</v>
      </c>
    </row>
    <row r="2466" spans="1:2" x14ac:dyDescent="0.35">
      <c r="A2466" s="7">
        <v>41348</v>
      </c>
      <c r="B2466">
        <v>1.9742999999999999</v>
      </c>
    </row>
    <row r="2467" spans="1:2" x14ac:dyDescent="0.35">
      <c r="A2467" s="7">
        <v>41347</v>
      </c>
      <c r="B2467">
        <v>1.9671000000000001</v>
      </c>
    </row>
    <row r="2468" spans="1:2" x14ac:dyDescent="0.35">
      <c r="A2468" s="7">
        <v>41346</v>
      </c>
      <c r="B2468">
        <v>1.9614</v>
      </c>
    </row>
    <row r="2469" spans="1:2" x14ac:dyDescent="0.35">
      <c r="A2469" s="7">
        <v>41345</v>
      </c>
      <c r="B2469">
        <v>1.9579</v>
      </c>
    </row>
    <row r="2470" spans="1:2" x14ac:dyDescent="0.35">
      <c r="A2470" s="7">
        <v>41344</v>
      </c>
      <c r="B2470">
        <v>1.9545999999999999</v>
      </c>
    </row>
    <row r="2471" spans="1:2" x14ac:dyDescent="0.35">
      <c r="A2471" s="7">
        <v>41341</v>
      </c>
      <c r="B2471">
        <v>1.9521999999999999</v>
      </c>
    </row>
    <row r="2472" spans="1:2" x14ac:dyDescent="0.35">
      <c r="A2472" s="7">
        <v>41340</v>
      </c>
      <c r="B2472">
        <v>1.9636</v>
      </c>
    </row>
    <row r="2473" spans="1:2" x14ac:dyDescent="0.35">
      <c r="A2473" s="7">
        <v>41339</v>
      </c>
      <c r="B2473">
        <v>1.9668000000000001</v>
      </c>
    </row>
    <row r="2474" spans="1:2" x14ac:dyDescent="0.35">
      <c r="A2474" s="7">
        <v>41338</v>
      </c>
      <c r="B2474">
        <v>1.9688000000000001</v>
      </c>
    </row>
    <row r="2475" spans="1:2" x14ac:dyDescent="0.35">
      <c r="A2475" s="7">
        <v>41337</v>
      </c>
      <c r="B2475">
        <v>1.9822</v>
      </c>
    </row>
    <row r="2476" spans="1:2" x14ac:dyDescent="0.35">
      <c r="A2476" s="7">
        <v>41334</v>
      </c>
      <c r="B2476">
        <v>1.9843</v>
      </c>
    </row>
    <row r="2477" spans="1:2" x14ac:dyDescent="0.35">
      <c r="A2477" s="7">
        <v>41333</v>
      </c>
      <c r="B2477">
        <v>1.9749000000000001</v>
      </c>
    </row>
    <row r="2478" spans="1:2" x14ac:dyDescent="0.35">
      <c r="A2478" s="7">
        <v>41332</v>
      </c>
      <c r="B2478">
        <v>1.9801</v>
      </c>
    </row>
    <row r="2479" spans="1:2" x14ac:dyDescent="0.35">
      <c r="A2479" s="7">
        <v>41331</v>
      </c>
      <c r="B2479">
        <v>1.9812000000000001</v>
      </c>
    </row>
    <row r="2480" spans="1:2" x14ac:dyDescent="0.35">
      <c r="A2480" s="7">
        <v>41330</v>
      </c>
      <c r="B2480">
        <v>1.9670000000000001</v>
      </c>
    </row>
    <row r="2481" spans="1:2" x14ac:dyDescent="0.35">
      <c r="A2481" s="7">
        <v>41327</v>
      </c>
      <c r="B2481">
        <v>1.9699</v>
      </c>
    </row>
    <row r="2482" spans="1:2" x14ac:dyDescent="0.35">
      <c r="A2482" s="7">
        <v>41326</v>
      </c>
      <c r="B2482">
        <v>1.9715</v>
      </c>
    </row>
    <row r="2483" spans="1:2" x14ac:dyDescent="0.35">
      <c r="A2483" s="7">
        <v>41325</v>
      </c>
      <c r="B2483">
        <v>1.9563999999999999</v>
      </c>
    </row>
    <row r="2484" spans="1:2" x14ac:dyDescent="0.35">
      <c r="A2484" s="7">
        <v>41324</v>
      </c>
      <c r="B2484">
        <v>1.9591000000000001</v>
      </c>
    </row>
    <row r="2485" spans="1:2" x14ac:dyDescent="0.35">
      <c r="A2485" s="7">
        <v>41323</v>
      </c>
      <c r="B2485">
        <v>1.9670000000000001</v>
      </c>
    </row>
    <row r="2486" spans="1:2" x14ac:dyDescent="0.35">
      <c r="A2486" s="7">
        <v>41320</v>
      </c>
      <c r="B2486">
        <v>1.9594</v>
      </c>
    </row>
    <row r="2487" spans="1:2" x14ac:dyDescent="0.35">
      <c r="A2487" s="7">
        <v>41319</v>
      </c>
      <c r="B2487">
        <v>1.966</v>
      </c>
    </row>
    <row r="2488" spans="1:2" x14ac:dyDescent="0.35">
      <c r="A2488" s="7">
        <v>41318</v>
      </c>
      <c r="B2488">
        <v>1.9664999999999999</v>
      </c>
    </row>
    <row r="2489" spans="1:2" x14ac:dyDescent="0.35">
      <c r="A2489" s="7">
        <v>41313</v>
      </c>
      <c r="B2489">
        <v>1.9630000000000001</v>
      </c>
    </row>
    <row r="2490" spans="1:2" x14ac:dyDescent="0.35">
      <c r="A2490" s="7">
        <v>41312</v>
      </c>
      <c r="B2490">
        <v>1.9782999999999999</v>
      </c>
    </row>
    <row r="2491" spans="1:2" x14ac:dyDescent="0.35">
      <c r="A2491" s="7">
        <v>41311</v>
      </c>
      <c r="B2491">
        <v>1.9878</v>
      </c>
    </row>
    <row r="2492" spans="1:2" x14ac:dyDescent="0.35">
      <c r="A2492" s="7">
        <v>41310</v>
      </c>
      <c r="B2492">
        <v>1.9875</v>
      </c>
    </row>
    <row r="2493" spans="1:2" x14ac:dyDescent="0.35">
      <c r="A2493" s="7">
        <v>41309</v>
      </c>
      <c r="B2493">
        <v>1.9887999999999999</v>
      </c>
    </row>
    <row r="2494" spans="1:2" x14ac:dyDescent="0.35">
      <c r="A2494" s="7">
        <v>41306</v>
      </c>
      <c r="B2494">
        <v>1.9838</v>
      </c>
    </row>
    <row r="2495" spans="1:2" x14ac:dyDescent="0.35">
      <c r="A2495" s="7">
        <v>41305</v>
      </c>
      <c r="B2495">
        <v>1.9877</v>
      </c>
    </row>
    <row r="2496" spans="1:2" x14ac:dyDescent="0.35">
      <c r="A2496" s="7">
        <v>41304</v>
      </c>
      <c r="B2496">
        <v>1.9894000000000001</v>
      </c>
    </row>
    <row r="2497" spans="1:2" x14ac:dyDescent="0.35">
      <c r="A2497" s="7">
        <v>41303</v>
      </c>
      <c r="B2497">
        <v>1.9905999999999999</v>
      </c>
    </row>
    <row r="2498" spans="1:2" x14ac:dyDescent="0.35">
      <c r="A2498" s="7">
        <v>41302</v>
      </c>
      <c r="B2498">
        <v>2.0234999999999999</v>
      </c>
    </row>
    <row r="2499" spans="1:2" x14ac:dyDescent="0.35">
      <c r="A2499" s="7">
        <v>41299</v>
      </c>
      <c r="B2499">
        <v>2.0276999999999998</v>
      </c>
    </row>
    <row r="2500" spans="1:2" x14ac:dyDescent="0.35">
      <c r="A2500" s="7">
        <v>41298</v>
      </c>
      <c r="B2500">
        <v>2.0337999999999998</v>
      </c>
    </row>
    <row r="2501" spans="1:2" x14ac:dyDescent="0.35">
      <c r="A2501" s="7">
        <v>41297</v>
      </c>
      <c r="B2501">
        <v>2.0388000000000002</v>
      </c>
    </row>
    <row r="2502" spans="1:2" x14ac:dyDescent="0.35">
      <c r="A2502" s="7">
        <v>41296</v>
      </c>
      <c r="B2502">
        <v>2.0466000000000002</v>
      </c>
    </row>
    <row r="2503" spans="1:2" x14ac:dyDescent="0.35">
      <c r="A2503" s="7">
        <v>41295</v>
      </c>
      <c r="B2503">
        <v>2.0415000000000001</v>
      </c>
    </row>
    <row r="2504" spans="1:2" x14ac:dyDescent="0.35">
      <c r="A2504" s="7">
        <v>41292</v>
      </c>
      <c r="B2504">
        <v>2.0434999999999999</v>
      </c>
    </row>
    <row r="2505" spans="1:2" x14ac:dyDescent="0.35">
      <c r="A2505" s="7">
        <v>41291</v>
      </c>
      <c r="B2505">
        <v>2.0405000000000002</v>
      </c>
    </row>
    <row r="2506" spans="1:2" x14ac:dyDescent="0.35">
      <c r="A2506" s="7">
        <v>41290</v>
      </c>
      <c r="B2506">
        <v>2.0402999999999998</v>
      </c>
    </row>
    <row r="2507" spans="1:2" x14ac:dyDescent="0.35">
      <c r="A2507" s="7">
        <v>41289</v>
      </c>
      <c r="B2507">
        <v>2.0367999999999999</v>
      </c>
    </row>
    <row r="2508" spans="1:2" x14ac:dyDescent="0.35">
      <c r="A2508" s="7">
        <v>41288</v>
      </c>
      <c r="B2508">
        <v>2.0327999999999999</v>
      </c>
    </row>
    <row r="2509" spans="1:2" x14ac:dyDescent="0.35">
      <c r="A2509" s="7">
        <v>41285</v>
      </c>
      <c r="B2509">
        <v>2.0335000000000001</v>
      </c>
    </row>
    <row r="2510" spans="1:2" x14ac:dyDescent="0.35">
      <c r="A2510" s="7">
        <v>41284</v>
      </c>
      <c r="B2510">
        <v>2.0352000000000001</v>
      </c>
    </row>
    <row r="2511" spans="1:2" x14ac:dyDescent="0.35">
      <c r="A2511" s="7">
        <v>41283</v>
      </c>
      <c r="B2511">
        <v>2.0411000000000001</v>
      </c>
    </row>
    <row r="2512" spans="1:2" x14ac:dyDescent="0.35">
      <c r="A2512" s="7">
        <v>41282</v>
      </c>
      <c r="B2512">
        <v>2.028</v>
      </c>
    </row>
    <row r="2513" spans="1:2" x14ac:dyDescent="0.35">
      <c r="A2513" s="7">
        <v>41281</v>
      </c>
      <c r="B2513">
        <v>2.0306000000000002</v>
      </c>
    </row>
    <row r="2514" spans="1:2" x14ac:dyDescent="0.35">
      <c r="A2514" s="7">
        <v>41278</v>
      </c>
      <c r="B2514">
        <v>2.0419</v>
      </c>
    </row>
    <row r="2515" spans="1:2" x14ac:dyDescent="0.35">
      <c r="A2515" s="7">
        <v>41277</v>
      </c>
      <c r="B2515">
        <v>2.0457999999999998</v>
      </c>
    </row>
    <row r="2516" spans="1:2" x14ac:dyDescent="0.35">
      <c r="A2516" s="7">
        <v>41276</v>
      </c>
      <c r="B2516">
        <v>2.0409000000000002</v>
      </c>
    </row>
    <row r="2517" spans="1:2" x14ac:dyDescent="0.35">
      <c r="A2517" s="7">
        <v>41274</v>
      </c>
      <c r="B2517">
        <v>2.0428999999999999</v>
      </c>
    </row>
    <row r="2518" spans="1:2" x14ac:dyDescent="0.35">
      <c r="A2518" s="7">
        <v>41271</v>
      </c>
      <c r="B2518">
        <v>2.0428999999999999</v>
      </c>
    </row>
    <row r="2519" spans="1:2" x14ac:dyDescent="0.35">
      <c r="A2519" s="7">
        <v>41270</v>
      </c>
      <c r="B2519">
        <v>2.0476999999999999</v>
      </c>
    </row>
    <row r="2520" spans="1:2" x14ac:dyDescent="0.35">
      <c r="A2520" s="7">
        <v>41269</v>
      </c>
      <c r="B2520">
        <v>2.0562999999999998</v>
      </c>
    </row>
    <row r="2521" spans="1:2" x14ac:dyDescent="0.35">
      <c r="A2521" s="7">
        <v>41267</v>
      </c>
      <c r="B2521">
        <v>2.0767000000000002</v>
      </c>
    </row>
    <row r="2522" spans="1:2" x14ac:dyDescent="0.35">
      <c r="A2522" s="7">
        <v>41264</v>
      </c>
      <c r="B2522">
        <v>2.0750999999999999</v>
      </c>
    </row>
    <row r="2523" spans="1:2" x14ac:dyDescent="0.35">
      <c r="A2523" s="7">
        <v>41263</v>
      </c>
      <c r="B2523">
        <v>2.0619999999999998</v>
      </c>
    </row>
    <row r="2524" spans="1:2" x14ac:dyDescent="0.35">
      <c r="A2524" s="7">
        <v>41262</v>
      </c>
      <c r="B2524">
        <v>2.0785</v>
      </c>
    </row>
    <row r="2525" spans="1:2" x14ac:dyDescent="0.35">
      <c r="A2525" s="7">
        <v>41261</v>
      </c>
      <c r="B2525">
        <v>2.0960000000000001</v>
      </c>
    </row>
    <row r="2526" spans="1:2" x14ac:dyDescent="0.35">
      <c r="A2526" s="7">
        <v>41260</v>
      </c>
      <c r="B2526">
        <v>2.0895999999999999</v>
      </c>
    </row>
    <row r="2527" spans="1:2" x14ac:dyDescent="0.35">
      <c r="A2527" s="7">
        <v>41257</v>
      </c>
      <c r="B2527">
        <v>2.0834000000000001</v>
      </c>
    </row>
    <row r="2528" spans="1:2" x14ac:dyDescent="0.35">
      <c r="A2528" s="7">
        <v>41256</v>
      </c>
      <c r="B2528">
        <v>2.0745</v>
      </c>
    </row>
    <row r="2529" spans="1:2" x14ac:dyDescent="0.35">
      <c r="A2529" s="7">
        <v>41255</v>
      </c>
      <c r="B2529">
        <v>2.0794999999999999</v>
      </c>
    </row>
    <row r="2530" spans="1:2" x14ac:dyDescent="0.35">
      <c r="A2530" s="7">
        <v>41254</v>
      </c>
      <c r="B2530">
        <v>2.0737000000000001</v>
      </c>
    </row>
    <row r="2531" spans="1:2" x14ac:dyDescent="0.35">
      <c r="A2531" s="7">
        <v>41253</v>
      </c>
      <c r="B2531">
        <v>2.0804</v>
      </c>
    </row>
    <row r="2532" spans="1:2" x14ac:dyDescent="0.35">
      <c r="A2532" s="7">
        <v>41250</v>
      </c>
      <c r="B2532">
        <v>2.0798000000000001</v>
      </c>
    </row>
    <row r="2533" spans="1:2" x14ac:dyDescent="0.35">
      <c r="A2533" s="7">
        <v>41249</v>
      </c>
      <c r="B2533">
        <v>2.0831</v>
      </c>
    </row>
    <row r="2534" spans="1:2" x14ac:dyDescent="0.35">
      <c r="A2534" s="7">
        <v>41248</v>
      </c>
      <c r="B2534">
        <v>2.1040000000000001</v>
      </c>
    </row>
    <row r="2535" spans="1:2" x14ac:dyDescent="0.35">
      <c r="A2535" s="7">
        <v>41247</v>
      </c>
      <c r="B2535">
        <v>2.1072000000000002</v>
      </c>
    </row>
    <row r="2536" spans="1:2" x14ac:dyDescent="0.35">
      <c r="A2536" s="7">
        <v>41246</v>
      </c>
      <c r="B2536">
        <v>2.1114999999999999</v>
      </c>
    </row>
    <row r="2537" spans="1:2" x14ac:dyDescent="0.35">
      <c r="A2537" s="7">
        <v>41243</v>
      </c>
      <c r="B2537">
        <v>2.1067999999999998</v>
      </c>
    </row>
    <row r="2538" spans="1:2" x14ac:dyDescent="0.35">
      <c r="A2538" s="7">
        <v>41242</v>
      </c>
      <c r="B2538">
        <v>2.0985999999999998</v>
      </c>
    </row>
    <row r="2539" spans="1:2" x14ac:dyDescent="0.35">
      <c r="A2539" s="7">
        <v>41241</v>
      </c>
      <c r="B2539">
        <v>2.0907</v>
      </c>
    </row>
    <row r="2540" spans="1:2" x14ac:dyDescent="0.35">
      <c r="A2540" s="7">
        <v>41240</v>
      </c>
      <c r="B2540">
        <v>2.0746000000000002</v>
      </c>
    </row>
    <row r="2541" spans="1:2" x14ac:dyDescent="0.35">
      <c r="A2541" s="7">
        <v>41239</v>
      </c>
      <c r="B2541">
        <v>2.0781999999999998</v>
      </c>
    </row>
    <row r="2542" spans="1:2" x14ac:dyDescent="0.35">
      <c r="A2542" s="7">
        <v>41236</v>
      </c>
      <c r="B2542">
        <v>2.0979999999999999</v>
      </c>
    </row>
    <row r="2543" spans="1:2" x14ac:dyDescent="0.35">
      <c r="A2543" s="7">
        <v>41235</v>
      </c>
      <c r="B2543">
        <v>2.0907</v>
      </c>
    </row>
    <row r="2544" spans="1:2" x14ac:dyDescent="0.35">
      <c r="A2544" s="7">
        <v>41234</v>
      </c>
      <c r="B2544">
        <v>2.0918000000000001</v>
      </c>
    </row>
    <row r="2545" spans="1:2" x14ac:dyDescent="0.35">
      <c r="A2545" s="7">
        <v>41233</v>
      </c>
      <c r="B2545">
        <v>2.0827</v>
      </c>
    </row>
    <row r="2546" spans="1:2" x14ac:dyDescent="0.35">
      <c r="A2546" s="7">
        <v>41232</v>
      </c>
      <c r="B2546">
        <v>2.0739999999999998</v>
      </c>
    </row>
    <row r="2547" spans="1:2" x14ac:dyDescent="0.35">
      <c r="A2547" s="7">
        <v>41229</v>
      </c>
      <c r="B2547">
        <v>2.0706000000000002</v>
      </c>
    </row>
    <row r="2548" spans="1:2" x14ac:dyDescent="0.35">
      <c r="A2548" s="7">
        <v>41227</v>
      </c>
      <c r="B2548">
        <v>2.0623999999999998</v>
      </c>
    </row>
    <row r="2549" spans="1:2" x14ac:dyDescent="0.35">
      <c r="A2549" s="7">
        <v>41226</v>
      </c>
      <c r="B2549">
        <v>2.0609000000000002</v>
      </c>
    </row>
    <row r="2550" spans="1:2" x14ac:dyDescent="0.35">
      <c r="A2550" s="7">
        <v>41225</v>
      </c>
      <c r="B2550">
        <v>2.0470000000000002</v>
      </c>
    </row>
    <row r="2551" spans="1:2" x14ac:dyDescent="0.35">
      <c r="A2551" s="7">
        <v>41222</v>
      </c>
      <c r="B2551">
        <v>2.0507</v>
      </c>
    </row>
    <row r="2552" spans="1:2" x14ac:dyDescent="0.35">
      <c r="A2552" s="7">
        <v>41221</v>
      </c>
      <c r="B2552">
        <v>2.0352000000000001</v>
      </c>
    </row>
    <row r="2553" spans="1:2" x14ac:dyDescent="0.35">
      <c r="A2553" s="7">
        <v>41220</v>
      </c>
      <c r="B2553">
        <v>2.0324</v>
      </c>
    </row>
    <row r="2554" spans="1:2" x14ac:dyDescent="0.35">
      <c r="A2554" s="7">
        <v>41219</v>
      </c>
      <c r="B2554">
        <v>2.0335999999999999</v>
      </c>
    </row>
    <row r="2555" spans="1:2" x14ac:dyDescent="0.35">
      <c r="A2555" s="7">
        <v>41218</v>
      </c>
      <c r="B2555">
        <v>2.0344000000000002</v>
      </c>
    </row>
    <row r="2556" spans="1:2" x14ac:dyDescent="0.35">
      <c r="A2556" s="7">
        <v>41214</v>
      </c>
      <c r="B2556">
        <v>2.0306000000000002</v>
      </c>
    </row>
    <row r="2557" spans="1:2" x14ac:dyDescent="0.35">
      <c r="A2557" s="7">
        <v>41213</v>
      </c>
      <c r="B2557">
        <v>2.0308000000000002</v>
      </c>
    </row>
    <row r="2558" spans="1:2" x14ac:dyDescent="0.35">
      <c r="A2558" s="7">
        <v>41212</v>
      </c>
      <c r="B2558">
        <v>2.0318000000000001</v>
      </c>
    </row>
    <row r="2559" spans="1:2" x14ac:dyDescent="0.35">
      <c r="A2559" s="7">
        <v>41211</v>
      </c>
      <c r="B2559">
        <v>2.0291000000000001</v>
      </c>
    </row>
    <row r="2560" spans="1:2" x14ac:dyDescent="0.35">
      <c r="A2560" s="7">
        <v>41208</v>
      </c>
      <c r="B2560">
        <v>2.0257000000000001</v>
      </c>
    </row>
    <row r="2561" spans="1:2" x14ac:dyDescent="0.35">
      <c r="A2561" s="7">
        <v>41207</v>
      </c>
      <c r="B2561">
        <v>2.0255999999999998</v>
      </c>
    </row>
    <row r="2562" spans="1:2" x14ac:dyDescent="0.35">
      <c r="A2562" s="7">
        <v>41206</v>
      </c>
      <c r="B2562">
        <v>2.0257000000000001</v>
      </c>
    </row>
    <row r="2563" spans="1:2" x14ac:dyDescent="0.35">
      <c r="A2563" s="7">
        <v>41205</v>
      </c>
      <c r="B2563">
        <v>2.0280999999999998</v>
      </c>
    </row>
    <row r="2564" spans="1:2" x14ac:dyDescent="0.35">
      <c r="A2564" s="7">
        <v>41204</v>
      </c>
      <c r="B2564">
        <v>2.0259999999999998</v>
      </c>
    </row>
    <row r="2565" spans="1:2" x14ac:dyDescent="0.35">
      <c r="A2565" s="7">
        <v>41201</v>
      </c>
      <c r="B2565">
        <v>2.0266000000000002</v>
      </c>
    </row>
    <row r="2566" spans="1:2" x14ac:dyDescent="0.35">
      <c r="A2566" s="7">
        <v>41200</v>
      </c>
      <c r="B2566">
        <v>2.0289999999999999</v>
      </c>
    </row>
    <row r="2567" spans="1:2" x14ac:dyDescent="0.35">
      <c r="A2567" s="7">
        <v>41199</v>
      </c>
      <c r="B2567">
        <v>2.0329999999999999</v>
      </c>
    </row>
    <row r="2568" spans="1:2" x14ac:dyDescent="0.35">
      <c r="A2568" s="7">
        <v>41198</v>
      </c>
      <c r="B2568">
        <v>2.0345</v>
      </c>
    </row>
    <row r="2569" spans="1:2" x14ac:dyDescent="0.35">
      <c r="A2569" s="7">
        <v>41197</v>
      </c>
      <c r="B2569">
        <v>2.0377000000000001</v>
      </c>
    </row>
    <row r="2570" spans="1:2" x14ac:dyDescent="0.35">
      <c r="A2570" s="7">
        <v>41193</v>
      </c>
      <c r="B2570">
        <v>2.0363000000000002</v>
      </c>
    </row>
    <row r="2571" spans="1:2" x14ac:dyDescent="0.35">
      <c r="A2571" s="7">
        <v>41192</v>
      </c>
      <c r="B2571">
        <v>2.0373000000000001</v>
      </c>
    </row>
    <row r="2572" spans="1:2" x14ac:dyDescent="0.35">
      <c r="A2572" s="7">
        <v>41191</v>
      </c>
      <c r="B2572">
        <v>2.0331000000000001</v>
      </c>
    </row>
    <row r="2573" spans="1:2" x14ac:dyDescent="0.35">
      <c r="A2573" s="7">
        <v>41190</v>
      </c>
      <c r="B2573">
        <v>2.0306999999999999</v>
      </c>
    </row>
    <row r="2574" spans="1:2" x14ac:dyDescent="0.35">
      <c r="A2574" s="7">
        <v>41187</v>
      </c>
      <c r="B2574">
        <v>2.024</v>
      </c>
    </row>
    <row r="2575" spans="1:2" x14ac:dyDescent="0.35">
      <c r="A2575" s="7">
        <v>41186</v>
      </c>
      <c r="B2575">
        <v>2.0217999999999998</v>
      </c>
    </row>
    <row r="2576" spans="1:2" x14ac:dyDescent="0.35">
      <c r="A2576" s="7">
        <v>41185</v>
      </c>
      <c r="B2576">
        <v>2.0259999999999998</v>
      </c>
    </row>
    <row r="2577" spans="1:2" x14ac:dyDescent="0.35">
      <c r="A2577" s="7">
        <v>41184</v>
      </c>
      <c r="B2577">
        <v>2.0259999999999998</v>
      </c>
    </row>
    <row r="2578" spans="1:2" x14ac:dyDescent="0.35">
      <c r="A2578" s="7">
        <v>41183</v>
      </c>
      <c r="B2578">
        <v>2.0253999999999999</v>
      </c>
    </row>
    <row r="2579" spans="1:2" x14ac:dyDescent="0.35">
      <c r="A2579" s="7">
        <v>41180</v>
      </c>
      <c r="B2579">
        <v>2.0299999999999998</v>
      </c>
    </row>
    <row r="2580" spans="1:2" x14ac:dyDescent="0.35">
      <c r="A2580" s="7">
        <v>41179</v>
      </c>
      <c r="B2580">
        <v>2.0305</v>
      </c>
    </row>
    <row r="2581" spans="1:2" x14ac:dyDescent="0.35">
      <c r="A2581" s="7">
        <v>41178</v>
      </c>
      <c r="B2581">
        <v>2.0335000000000001</v>
      </c>
    </row>
    <row r="2582" spans="1:2" x14ac:dyDescent="0.35">
      <c r="A2582" s="7">
        <v>41177</v>
      </c>
      <c r="B2582">
        <v>2.0245000000000002</v>
      </c>
    </row>
    <row r="2583" spans="1:2" x14ac:dyDescent="0.35">
      <c r="A2583" s="7">
        <v>41176</v>
      </c>
      <c r="B2583">
        <v>2.0266999999999999</v>
      </c>
    </row>
    <row r="2584" spans="1:2" x14ac:dyDescent="0.35">
      <c r="A2584" s="7">
        <v>41173</v>
      </c>
      <c r="B2584">
        <v>2.0234999999999999</v>
      </c>
    </row>
    <row r="2585" spans="1:2" x14ac:dyDescent="0.35">
      <c r="A2585" s="7">
        <v>41172</v>
      </c>
      <c r="B2585">
        <v>2.0257000000000001</v>
      </c>
    </row>
    <row r="2586" spans="1:2" x14ac:dyDescent="0.35">
      <c r="A2586" s="7">
        <v>41171</v>
      </c>
      <c r="B2586">
        <v>2.0230000000000001</v>
      </c>
    </row>
    <row r="2587" spans="1:2" x14ac:dyDescent="0.35">
      <c r="A2587" s="7">
        <v>41170</v>
      </c>
      <c r="B2587">
        <v>2.0268000000000002</v>
      </c>
    </row>
    <row r="2588" spans="1:2" x14ac:dyDescent="0.35">
      <c r="A2588" s="7">
        <v>41169</v>
      </c>
      <c r="B2588">
        <v>2.0306000000000002</v>
      </c>
    </row>
    <row r="2589" spans="1:2" x14ac:dyDescent="0.35">
      <c r="A2589" s="7">
        <v>41166</v>
      </c>
      <c r="B2589">
        <v>2.0133000000000001</v>
      </c>
    </row>
    <row r="2590" spans="1:2" x14ac:dyDescent="0.35">
      <c r="A2590" s="7">
        <v>41165</v>
      </c>
      <c r="B2590">
        <v>2.0249000000000001</v>
      </c>
    </row>
    <row r="2591" spans="1:2" x14ac:dyDescent="0.35">
      <c r="A2591" s="7">
        <v>41164</v>
      </c>
      <c r="B2591">
        <v>2.0198</v>
      </c>
    </row>
    <row r="2592" spans="1:2" x14ac:dyDescent="0.35">
      <c r="A2592" s="7">
        <v>41163</v>
      </c>
      <c r="B2592">
        <v>2.0192000000000001</v>
      </c>
    </row>
    <row r="2593" spans="1:2" x14ac:dyDescent="0.35">
      <c r="A2593" s="7">
        <v>41162</v>
      </c>
      <c r="B2593">
        <v>2.0234999999999999</v>
      </c>
    </row>
    <row r="2594" spans="1:2" x14ac:dyDescent="0.35">
      <c r="A2594" s="7">
        <v>41158</v>
      </c>
      <c r="B2594">
        <v>2.0375000000000001</v>
      </c>
    </row>
    <row r="2595" spans="1:2" x14ac:dyDescent="0.35">
      <c r="A2595" s="7">
        <v>41157</v>
      </c>
      <c r="B2595">
        <v>2.0379999999999998</v>
      </c>
    </row>
    <row r="2596" spans="1:2" x14ac:dyDescent="0.35">
      <c r="A2596" s="7">
        <v>41156</v>
      </c>
      <c r="B2596">
        <v>2.0386000000000002</v>
      </c>
    </row>
    <row r="2597" spans="1:2" x14ac:dyDescent="0.35">
      <c r="A2597" s="7">
        <v>41155</v>
      </c>
      <c r="B2597">
        <v>2.0329000000000002</v>
      </c>
    </row>
    <row r="2598" spans="1:2" x14ac:dyDescent="0.35">
      <c r="A2598" s="7">
        <v>41152</v>
      </c>
      <c r="B2598">
        <v>2.0366</v>
      </c>
    </row>
    <row r="2599" spans="1:2" x14ac:dyDescent="0.35">
      <c r="A2599" s="7">
        <v>41151</v>
      </c>
      <c r="B2599">
        <v>2.0507</v>
      </c>
    </row>
    <row r="2600" spans="1:2" x14ac:dyDescent="0.35">
      <c r="A2600" s="7">
        <v>41150</v>
      </c>
      <c r="B2600">
        <v>2.0503</v>
      </c>
    </row>
    <row r="2601" spans="1:2" x14ac:dyDescent="0.35">
      <c r="A2601" s="7">
        <v>41149</v>
      </c>
      <c r="B2601">
        <v>2.0427</v>
      </c>
    </row>
    <row r="2602" spans="1:2" x14ac:dyDescent="0.35">
      <c r="A2602" s="7">
        <v>41148</v>
      </c>
      <c r="B2602">
        <v>2.0287000000000002</v>
      </c>
    </row>
    <row r="2603" spans="1:2" x14ac:dyDescent="0.35">
      <c r="A2603" s="7">
        <v>41145</v>
      </c>
      <c r="B2603">
        <v>2.0249999999999999</v>
      </c>
    </row>
    <row r="2604" spans="1:2" x14ac:dyDescent="0.35">
      <c r="A2604" s="7">
        <v>41144</v>
      </c>
      <c r="B2604">
        <v>2.0236000000000001</v>
      </c>
    </row>
    <row r="2605" spans="1:2" x14ac:dyDescent="0.35">
      <c r="A2605" s="7">
        <v>41143</v>
      </c>
      <c r="B2605">
        <v>2.0204</v>
      </c>
    </row>
    <row r="2606" spans="1:2" x14ac:dyDescent="0.35">
      <c r="A2606" s="7">
        <v>41142</v>
      </c>
      <c r="B2606">
        <v>2.0167000000000002</v>
      </c>
    </row>
    <row r="2607" spans="1:2" x14ac:dyDescent="0.35">
      <c r="A2607" s="7">
        <v>41141</v>
      </c>
      <c r="B2607">
        <v>2.0203000000000002</v>
      </c>
    </row>
    <row r="2608" spans="1:2" x14ac:dyDescent="0.35">
      <c r="A2608" s="7">
        <v>41138</v>
      </c>
      <c r="B2608">
        <v>2.0175999999999998</v>
      </c>
    </row>
    <row r="2609" spans="1:2" x14ac:dyDescent="0.35">
      <c r="A2609" s="7">
        <v>41137</v>
      </c>
      <c r="B2609">
        <v>2.0207999999999999</v>
      </c>
    </row>
    <row r="2610" spans="1:2" x14ac:dyDescent="0.35">
      <c r="A2610" s="7">
        <v>41136</v>
      </c>
      <c r="B2610">
        <v>2.0228000000000002</v>
      </c>
    </row>
    <row r="2611" spans="1:2" x14ac:dyDescent="0.35">
      <c r="A2611" s="7">
        <v>41135</v>
      </c>
      <c r="B2611">
        <v>2.0251999999999999</v>
      </c>
    </row>
    <row r="2612" spans="1:2" x14ac:dyDescent="0.35">
      <c r="A2612" s="7">
        <v>41134</v>
      </c>
      <c r="B2612">
        <v>2.0259999999999998</v>
      </c>
    </row>
    <row r="2613" spans="1:2" x14ac:dyDescent="0.35">
      <c r="A2613" s="7">
        <v>41131</v>
      </c>
      <c r="B2613">
        <v>2.0169000000000001</v>
      </c>
    </row>
    <row r="2614" spans="1:2" x14ac:dyDescent="0.35">
      <c r="A2614" s="7">
        <v>41130</v>
      </c>
      <c r="B2614">
        <v>2.0177</v>
      </c>
    </row>
    <row r="2615" spans="1:2" x14ac:dyDescent="0.35">
      <c r="A2615" s="7">
        <v>41129</v>
      </c>
      <c r="B2615">
        <v>2.0266999999999999</v>
      </c>
    </row>
    <row r="2616" spans="1:2" x14ac:dyDescent="0.35">
      <c r="A2616" s="7">
        <v>41128</v>
      </c>
      <c r="B2616">
        <v>2.0276000000000001</v>
      </c>
    </row>
    <row r="2617" spans="1:2" x14ac:dyDescent="0.35">
      <c r="A2617" s="7">
        <v>41127</v>
      </c>
      <c r="B2617">
        <v>2.0272999999999999</v>
      </c>
    </row>
    <row r="2618" spans="1:2" x14ac:dyDescent="0.35">
      <c r="A2618" s="7">
        <v>41124</v>
      </c>
      <c r="B2618">
        <v>2.0306999999999999</v>
      </c>
    </row>
    <row r="2619" spans="1:2" x14ac:dyDescent="0.35">
      <c r="A2619" s="7">
        <v>41123</v>
      </c>
      <c r="B2619">
        <v>2.0470000000000002</v>
      </c>
    </row>
    <row r="2620" spans="1:2" x14ac:dyDescent="0.35">
      <c r="A2620" s="7">
        <v>41122</v>
      </c>
      <c r="B2620">
        <v>2.0426000000000002</v>
      </c>
    </row>
    <row r="2621" spans="1:2" x14ac:dyDescent="0.35">
      <c r="A2621" s="7">
        <v>41121</v>
      </c>
      <c r="B2621">
        <v>2.0493999999999999</v>
      </c>
    </row>
    <row r="2622" spans="1:2" x14ac:dyDescent="0.35">
      <c r="A2622" s="7">
        <v>41120</v>
      </c>
      <c r="B2622">
        <v>2.0308000000000002</v>
      </c>
    </row>
    <row r="2623" spans="1:2" x14ac:dyDescent="0.35">
      <c r="A2623" s="7">
        <v>41117</v>
      </c>
      <c r="B2623">
        <v>2.0167000000000002</v>
      </c>
    </row>
    <row r="2624" spans="1:2" x14ac:dyDescent="0.35">
      <c r="A2624" s="7">
        <v>41116</v>
      </c>
      <c r="B2624">
        <v>2.0249000000000001</v>
      </c>
    </row>
    <row r="2625" spans="1:2" x14ac:dyDescent="0.35">
      <c r="A2625" s="7">
        <v>41115</v>
      </c>
      <c r="B2625">
        <v>2.0396999999999998</v>
      </c>
    </row>
    <row r="2626" spans="1:2" x14ac:dyDescent="0.35">
      <c r="A2626" s="7">
        <v>41114</v>
      </c>
      <c r="B2626">
        <v>2.0413000000000001</v>
      </c>
    </row>
    <row r="2627" spans="1:2" x14ac:dyDescent="0.35">
      <c r="A2627" s="7">
        <v>41113</v>
      </c>
      <c r="B2627">
        <v>2.0406</v>
      </c>
    </row>
    <row r="2628" spans="1:2" x14ac:dyDescent="0.35">
      <c r="A2628" s="7">
        <v>41110</v>
      </c>
      <c r="B2628">
        <v>2.0219999999999998</v>
      </c>
    </row>
    <row r="2629" spans="1:2" x14ac:dyDescent="0.35">
      <c r="A2629" s="7">
        <v>41109</v>
      </c>
      <c r="B2629">
        <v>2.0232999999999999</v>
      </c>
    </row>
    <row r="2630" spans="1:2" x14ac:dyDescent="0.35">
      <c r="A2630" s="7">
        <v>41108</v>
      </c>
      <c r="B2630">
        <v>2.0253000000000001</v>
      </c>
    </row>
    <row r="2631" spans="1:2" x14ac:dyDescent="0.35">
      <c r="A2631" s="7">
        <v>41107</v>
      </c>
      <c r="B2631">
        <v>2.0343</v>
      </c>
    </row>
    <row r="2632" spans="1:2" x14ac:dyDescent="0.35">
      <c r="A2632" s="7">
        <v>41106</v>
      </c>
      <c r="B2632">
        <v>2.0375000000000001</v>
      </c>
    </row>
    <row r="2633" spans="1:2" x14ac:dyDescent="0.35">
      <c r="A2633" s="7">
        <v>41103</v>
      </c>
      <c r="B2633">
        <v>2.0331999999999999</v>
      </c>
    </row>
    <row r="2634" spans="1:2" x14ac:dyDescent="0.35">
      <c r="A2634" s="7">
        <v>41102</v>
      </c>
      <c r="B2634">
        <v>2.0465</v>
      </c>
    </row>
    <row r="2635" spans="1:2" x14ac:dyDescent="0.35">
      <c r="A2635" s="7">
        <v>41101</v>
      </c>
      <c r="B2635">
        <v>2.0304000000000002</v>
      </c>
    </row>
    <row r="2636" spans="1:2" x14ac:dyDescent="0.35">
      <c r="A2636" s="7">
        <v>41100</v>
      </c>
      <c r="B2636">
        <v>2.0327000000000002</v>
      </c>
    </row>
    <row r="2637" spans="1:2" x14ac:dyDescent="0.35">
      <c r="A2637" s="7">
        <v>41099</v>
      </c>
      <c r="B2637">
        <v>2.0303</v>
      </c>
    </row>
    <row r="2638" spans="1:2" x14ac:dyDescent="0.35">
      <c r="A2638" s="7">
        <v>41096</v>
      </c>
      <c r="B2638">
        <v>2.0287000000000002</v>
      </c>
    </row>
    <row r="2639" spans="1:2" x14ac:dyDescent="0.35">
      <c r="A2639" s="7">
        <v>41095</v>
      </c>
      <c r="B2639">
        <v>2.0287000000000002</v>
      </c>
    </row>
    <row r="2640" spans="1:2" x14ac:dyDescent="0.35">
      <c r="A2640" s="7">
        <v>41094</v>
      </c>
      <c r="B2640">
        <v>2.0194999999999999</v>
      </c>
    </row>
    <row r="2641" spans="1:2" x14ac:dyDescent="0.35">
      <c r="A2641" s="7">
        <v>41093</v>
      </c>
      <c r="B2641">
        <v>1.9882</v>
      </c>
    </row>
    <row r="2642" spans="1:2" x14ac:dyDescent="0.35">
      <c r="A2642" s="7">
        <v>41092</v>
      </c>
      <c r="B2642">
        <v>1.9886999999999999</v>
      </c>
    </row>
    <row r="2643" spans="1:2" x14ac:dyDescent="0.35">
      <c r="A2643" s="7">
        <v>41089</v>
      </c>
      <c r="B2643">
        <v>2.0207000000000002</v>
      </c>
    </row>
    <row r="2644" spans="1:2" x14ac:dyDescent="0.35">
      <c r="A2644" s="7">
        <v>41088</v>
      </c>
      <c r="B2644">
        <v>2.0897000000000001</v>
      </c>
    </row>
    <row r="2645" spans="1:2" x14ac:dyDescent="0.35">
      <c r="A2645" s="7">
        <v>41087</v>
      </c>
      <c r="B2645">
        <v>2.0758000000000001</v>
      </c>
    </row>
    <row r="2646" spans="1:2" x14ac:dyDescent="0.35">
      <c r="A2646" s="7">
        <v>41086</v>
      </c>
      <c r="B2646">
        <v>2.0737000000000001</v>
      </c>
    </row>
    <row r="2647" spans="1:2" x14ac:dyDescent="0.35">
      <c r="A2647" s="7">
        <v>41085</v>
      </c>
      <c r="B2647">
        <v>2.0712000000000002</v>
      </c>
    </row>
    <row r="2648" spans="1:2" x14ac:dyDescent="0.35">
      <c r="A2648" s="7">
        <v>41082</v>
      </c>
      <c r="B2648">
        <v>2.0548999999999999</v>
      </c>
    </row>
    <row r="2649" spans="1:2" x14ac:dyDescent="0.35">
      <c r="A2649" s="7">
        <v>41081</v>
      </c>
      <c r="B2649">
        <v>2.0356999999999998</v>
      </c>
    </row>
    <row r="2650" spans="1:2" x14ac:dyDescent="0.35">
      <c r="A2650" s="7">
        <v>41080</v>
      </c>
      <c r="B2650">
        <v>2.0287000000000002</v>
      </c>
    </row>
    <row r="2651" spans="1:2" x14ac:dyDescent="0.35">
      <c r="A2651" s="7">
        <v>41079</v>
      </c>
      <c r="B2651">
        <v>2.0432999999999999</v>
      </c>
    </row>
    <row r="2652" spans="1:2" x14ac:dyDescent="0.35">
      <c r="A2652" s="7">
        <v>41078</v>
      </c>
      <c r="B2652">
        <v>2.0628000000000002</v>
      </c>
    </row>
    <row r="2653" spans="1:2" x14ac:dyDescent="0.35">
      <c r="A2653" s="7">
        <v>41075</v>
      </c>
      <c r="B2653">
        <v>2.0436999999999999</v>
      </c>
    </row>
    <row r="2654" spans="1:2" x14ac:dyDescent="0.35">
      <c r="A2654" s="7">
        <v>41074</v>
      </c>
      <c r="B2654">
        <v>2.0684999999999998</v>
      </c>
    </row>
    <row r="2655" spans="1:2" x14ac:dyDescent="0.35">
      <c r="A2655" s="7">
        <v>41073</v>
      </c>
      <c r="B2655">
        <v>2.0596999999999999</v>
      </c>
    </row>
    <row r="2656" spans="1:2" x14ac:dyDescent="0.35">
      <c r="A2656" s="7">
        <v>41072</v>
      </c>
      <c r="B2656">
        <v>2.0558000000000001</v>
      </c>
    </row>
    <row r="2657" spans="1:2" x14ac:dyDescent="0.35">
      <c r="A2657" s="7">
        <v>41071</v>
      </c>
      <c r="B2657">
        <v>2.0341999999999998</v>
      </c>
    </row>
    <row r="2658" spans="1:2" x14ac:dyDescent="0.35">
      <c r="A2658" s="7">
        <v>41068</v>
      </c>
      <c r="B2658">
        <v>2.0347</v>
      </c>
    </row>
    <row r="2659" spans="1:2" x14ac:dyDescent="0.35">
      <c r="A2659" s="7">
        <v>41066</v>
      </c>
      <c r="B2659">
        <v>2.0175999999999998</v>
      </c>
    </row>
    <row r="2660" spans="1:2" x14ac:dyDescent="0.35">
      <c r="A2660" s="7">
        <v>41065</v>
      </c>
      <c r="B2660">
        <v>2.0259</v>
      </c>
    </row>
    <row r="2661" spans="1:2" x14ac:dyDescent="0.35">
      <c r="A2661" s="7">
        <v>41064</v>
      </c>
      <c r="B2661">
        <v>2.0404</v>
      </c>
    </row>
    <row r="2662" spans="1:2" x14ac:dyDescent="0.35">
      <c r="A2662" s="7">
        <v>41061</v>
      </c>
      <c r="B2662">
        <v>2.0344000000000002</v>
      </c>
    </row>
    <row r="2663" spans="1:2" x14ac:dyDescent="0.35">
      <c r="A2663" s="7">
        <v>41060</v>
      </c>
      <c r="B2663">
        <v>2.0217000000000001</v>
      </c>
    </row>
    <row r="2664" spans="1:2" x14ac:dyDescent="0.35">
      <c r="A2664" s="7">
        <v>41059</v>
      </c>
      <c r="B2664">
        <v>2.0072000000000001</v>
      </c>
    </row>
    <row r="2665" spans="1:2" x14ac:dyDescent="0.35">
      <c r="A2665" s="7">
        <v>41058</v>
      </c>
      <c r="B2665">
        <v>1.9938</v>
      </c>
    </row>
    <row r="2666" spans="1:2" x14ac:dyDescent="0.35">
      <c r="A2666" s="7">
        <v>41057</v>
      </c>
      <c r="B2666">
        <v>1.9772000000000001</v>
      </c>
    </row>
    <row r="2667" spans="1:2" x14ac:dyDescent="0.35">
      <c r="A2667" s="7">
        <v>41054</v>
      </c>
      <c r="B2667">
        <v>2.0026000000000002</v>
      </c>
    </row>
    <row r="2668" spans="1:2" x14ac:dyDescent="0.35">
      <c r="A2668" s="7">
        <v>41053</v>
      </c>
      <c r="B2668">
        <v>2.0377999999999998</v>
      </c>
    </row>
    <row r="2669" spans="1:2" x14ac:dyDescent="0.35">
      <c r="A2669" s="7">
        <v>41052</v>
      </c>
      <c r="B2669">
        <v>2.0809000000000002</v>
      </c>
    </row>
    <row r="2670" spans="1:2" x14ac:dyDescent="0.35">
      <c r="A2670" s="7">
        <v>41051</v>
      </c>
      <c r="B2670">
        <v>2.0487000000000002</v>
      </c>
    </row>
    <row r="2671" spans="1:2" x14ac:dyDescent="0.35">
      <c r="A2671" s="7">
        <v>41050</v>
      </c>
      <c r="B2671">
        <v>2.0367999999999999</v>
      </c>
    </row>
    <row r="2672" spans="1:2" x14ac:dyDescent="0.35">
      <c r="A2672" s="7">
        <v>41047</v>
      </c>
      <c r="B2672">
        <v>2.0087999999999999</v>
      </c>
    </row>
    <row r="2673" spans="1:2" x14ac:dyDescent="0.35">
      <c r="A2673" s="7">
        <v>41046</v>
      </c>
      <c r="B2673">
        <v>1.9966999999999999</v>
      </c>
    </row>
    <row r="2674" spans="1:2" x14ac:dyDescent="0.35">
      <c r="A2674" s="7">
        <v>41045</v>
      </c>
      <c r="B2674">
        <v>1.9967999999999999</v>
      </c>
    </row>
    <row r="2675" spans="1:2" x14ac:dyDescent="0.35">
      <c r="A2675" s="7">
        <v>41044</v>
      </c>
      <c r="B2675">
        <v>1.9941</v>
      </c>
    </row>
    <row r="2676" spans="1:2" x14ac:dyDescent="0.35">
      <c r="A2676" s="7">
        <v>41043</v>
      </c>
      <c r="B2676">
        <v>1.986</v>
      </c>
    </row>
    <row r="2677" spans="1:2" x14ac:dyDescent="0.35">
      <c r="A2677" s="7">
        <v>41040</v>
      </c>
      <c r="B2677">
        <v>1.9507000000000001</v>
      </c>
    </row>
    <row r="2678" spans="1:2" x14ac:dyDescent="0.35">
      <c r="A2678" s="7">
        <v>41039</v>
      </c>
      <c r="B2678">
        <v>1.9576</v>
      </c>
    </row>
    <row r="2679" spans="1:2" x14ac:dyDescent="0.35">
      <c r="A2679" s="7">
        <v>41038</v>
      </c>
      <c r="B2679">
        <v>1.9571000000000001</v>
      </c>
    </row>
    <row r="2680" spans="1:2" x14ac:dyDescent="0.35">
      <c r="A2680" s="7">
        <v>41037</v>
      </c>
      <c r="B2680">
        <v>1.9359999999999999</v>
      </c>
    </row>
    <row r="2681" spans="1:2" x14ac:dyDescent="0.35">
      <c r="A2681" s="7">
        <v>41036</v>
      </c>
      <c r="B2681">
        <v>1.9261999999999999</v>
      </c>
    </row>
    <row r="2682" spans="1:2" x14ac:dyDescent="0.35">
      <c r="A2682" s="7">
        <v>41033</v>
      </c>
      <c r="B2682">
        <v>1.9204000000000001</v>
      </c>
    </row>
    <row r="2683" spans="1:2" x14ac:dyDescent="0.35">
      <c r="A2683" s="7">
        <v>41032</v>
      </c>
      <c r="B2683">
        <v>1.9271</v>
      </c>
    </row>
    <row r="2684" spans="1:2" x14ac:dyDescent="0.35">
      <c r="A2684" s="7">
        <v>41031</v>
      </c>
      <c r="B2684">
        <v>1.9142999999999999</v>
      </c>
    </row>
    <row r="2685" spans="1:2" x14ac:dyDescent="0.35">
      <c r="A2685" s="7">
        <v>41029</v>
      </c>
      <c r="B2685">
        <v>1.8912</v>
      </c>
    </row>
    <row r="2686" spans="1:2" x14ac:dyDescent="0.35">
      <c r="A2686" s="7">
        <v>41026</v>
      </c>
      <c r="B2686">
        <v>1.8846000000000001</v>
      </c>
    </row>
    <row r="2687" spans="1:2" x14ac:dyDescent="0.35">
      <c r="A2687" s="7">
        <v>41025</v>
      </c>
      <c r="B2687">
        <v>1.8864000000000001</v>
      </c>
    </row>
    <row r="2688" spans="1:2" x14ac:dyDescent="0.35">
      <c r="A2688" s="7">
        <v>41024</v>
      </c>
      <c r="B2688">
        <v>1.8801000000000001</v>
      </c>
    </row>
    <row r="2689" spans="1:2" x14ac:dyDescent="0.35">
      <c r="A2689" s="7">
        <v>41023</v>
      </c>
      <c r="B2689">
        <v>1.8774</v>
      </c>
    </row>
    <row r="2690" spans="1:2" x14ac:dyDescent="0.35">
      <c r="A2690" s="7">
        <v>41022</v>
      </c>
      <c r="B2690">
        <v>1.8857999999999999</v>
      </c>
    </row>
    <row r="2691" spans="1:2" x14ac:dyDescent="0.35">
      <c r="A2691" s="7">
        <v>41019</v>
      </c>
      <c r="B2691">
        <v>1.8779999999999999</v>
      </c>
    </row>
    <row r="2692" spans="1:2" x14ac:dyDescent="0.35">
      <c r="A2692" s="7">
        <v>41018</v>
      </c>
      <c r="B2692">
        <v>1.8861000000000001</v>
      </c>
    </row>
    <row r="2693" spans="1:2" x14ac:dyDescent="0.35">
      <c r="A2693" s="7">
        <v>41017</v>
      </c>
      <c r="B2693">
        <v>1.8688</v>
      </c>
    </row>
    <row r="2694" spans="1:2" x14ac:dyDescent="0.35">
      <c r="A2694" s="7">
        <v>41016</v>
      </c>
      <c r="B2694">
        <v>1.8447</v>
      </c>
    </row>
    <row r="2695" spans="1:2" x14ac:dyDescent="0.35">
      <c r="A2695" s="7">
        <v>41015</v>
      </c>
      <c r="B2695">
        <v>1.8367</v>
      </c>
    </row>
    <row r="2696" spans="1:2" x14ac:dyDescent="0.35">
      <c r="A2696" s="7">
        <v>41012</v>
      </c>
      <c r="B2696">
        <v>1.8358000000000001</v>
      </c>
    </row>
    <row r="2697" spans="1:2" x14ac:dyDescent="0.35">
      <c r="A2697" s="7">
        <v>41011</v>
      </c>
      <c r="B2697">
        <v>1.8264</v>
      </c>
    </row>
    <row r="2698" spans="1:2" x14ac:dyDescent="0.35">
      <c r="A2698" s="7">
        <v>41010</v>
      </c>
      <c r="B2698">
        <v>1.8297000000000001</v>
      </c>
    </row>
    <row r="2699" spans="1:2" x14ac:dyDescent="0.35">
      <c r="A2699" s="7">
        <v>41009</v>
      </c>
      <c r="B2699">
        <v>1.8310999999999999</v>
      </c>
    </row>
    <row r="2700" spans="1:2" x14ac:dyDescent="0.35">
      <c r="A2700" s="7">
        <v>41008</v>
      </c>
      <c r="B2700">
        <v>1.8253999999999999</v>
      </c>
    </row>
    <row r="2701" spans="1:2" x14ac:dyDescent="0.35">
      <c r="A2701" s="7">
        <v>41004</v>
      </c>
      <c r="B2701">
        <v>1.8294999999999999</v>
      </c>
    </row>
    <row r="2702" spans="1:2" x14ac:dyDescent="0.35">
      <c r="A2702" s="7">
        <v>41003</v>
      </c>
      <c r="B2702">
        <v>1.831</v>
      </c>
    </row>
    <row r="2703" spans="1:2" x14ac:dyDescent="0.35">
      <c r="A2703" s="7">
        <v>41002</v>
      </c>
      <c r="B2703">
        <v>1.825</v>
      </c>
    </row>
    <row r="2704" spans="1:2" x14ac:dyDescent="0.35">
      <c r="A2704" s="7">
        <v>41001</v>
      </c>
      <c r="B2704">
        <v>1.8308</v>
      </c>
    </row>
    <row r="2705" spans="1:2" x14ac:dyDescent="0.35">
      <c r="A2705" s="7">
        <v>40998</v>
      </c>
      <c r="B2705">
        <v>1.8214999999999999</v>
      </c>
    </row>
    <row r="2706" spans="1:2" x14ac:dyDescent="0.35">
      <c r="A2706" s="7">
        <v>40997</v>
      </c>
      <c r="B2706">
        <v>1.8327</v>
      </c>
    </row>
    <row r="2707" spans="1:2" x14ac:dyDescent="0.35">
      <c r="A2707" s="7">
        <v>40996</v>
      </c>
      <c r="B2707">
        <v>1.8217000000000001</v>
      </c>
    </row>
    <row r="2708" spans="1:2" x14ac:dyDescent="0.35">
      <c r="A2708" s="7">
        <v>40995</v>
      </c>
      <c r="B2708">
        <v>1.8129</v>
      </c>
    </row>
    <row r="2709" spans="1:2" x14ac:dyDescent="0.35">
      <c r="A2709" s="7">
        <v>40994</v>
      </c>
      <c r="B2709">
        <v>1.8137000000000001</v>
      </c>
    </row>
    <row r="2710" spans="1:2" x14ac:dyDescent="0.35">
      <c r="A2710" s="7">
        <v>40991</v>
      </c>
      <c r="B2710">
        <v>1.8188</v>
      </c>
    </row>
    <row r="2711" spans="1:2" x14ac:dyDescent="0.35">
      <c r="A2711" s="7">
        <v>40990</v>
      </c>
      <c r="B2711">
        <v>1.8244</v>
      </c>
    </row>
    <row r="2712" spans="1:2" x14ac:dyDescent="0.35">
      <c r="A2712" s="7">
        <v>40989</v>
      </c>
      <c r="B2712">
        <v>1.8261000000000001</v>
      </c>
    </row>
    <row r="2713" spans="1:2" x14ac:dyDescent="0.35">
      <c r="A2713" s="7">
        <v>40988</v>
      </c>
      <c r="B2713">
        <v>1.8252999999999999</v>
      </c>
    </row>
    <row r="2714" spans="1:2" x14ac:dyDescent="0.35">
      <c r="A2714" s="7">
        <v>40987</v>
      </c>
      <c r="B2714">
        <v>1.8084</v>
      </c>
    </row>
    <row r="2715" spans="1:2" x14ac:dyDescent="0.35">
      <c r="A2715" s="7">
        <v>40984</v>
      </c>
      <c r="B2715">
        <v>1.8011999999999999</v>
      </c>
    </row>
    <row r="2716" spans="1:2" x14ac:dyDescent="0.35">
      <c r="A2716" s="7">
        <v>40983</v>
      </c>
      <c r="B2716">
        <v>1.8</v>
      </c>
    </row>
    <row r="2717" spans="1:2" x14ac:dyDescent="0.35">
      <c r="A2717" s="7">
        <v>40982</v>
      </c>
      <c r="B2717">
        <v>1.8140000000000001</v>
      </c>
    </row>
    <row r="2718" spans="1:2" x14ac:dyDescent="0.35">
      <c r="A2718" s="7">
        <v>40981</v>
      </c>
      <c r="B2718">
        <v>1.8096000000000001</v>
      </c>
    </row>
    <row r="2719" spans="1:2" x14ac:dyDescent="0.35">
      <c r="A2719" s="7">
        <v>40980</v>
      </c>
      <c r="B2719">
        <v>1.8150999999999999</v>
      </c>
    </row>
    <row r="2720" spans="1:2" x14ac:dyDescent="0.35">
      <c r="A2720" s="7">
        <v>40977</v>
      </c>
      <c r="B2720">
        <v>1.7761</v>
      </c>
    </row>
    <row r="2721" spans="1:2" x14ac:dyDescent="0.35">
      <c r="A2721" s="7">
        <v>40976</v>
      </c>
      <c r="B2721">
        <v>1.7690999999999999</v>
      </c>
    </row>
    <row r="2722" spans="1:2" x14ac:dyDescent="0.35">
      <c r="A2722" s="7">
        <v>40975</v>
      </c>
      <c r="B2722">
        <v>1.7685</v>
      </c>
    </row>
    <row r="2723" spans="1:2" x14ac:dyDescent="0.35">
      <c r="A2723" s="7">
        <v>40974</v>
      </c>
      <c r="B2723">
        <v>1.7549999999999999</v>
      </c>
    </row>
    <row r="2724" spans="1:2" x14ac:dyDescent="0.35">
      <c r="A2724" s="7">
        <v>40973</v>
      </c>
      <c r="B2724">
        <v>1.7307999999999999</v>
      </c>
    </row>
    <row r="2725" spans="1:2" x14ac:dyDescent="0.35">
      <c r="A2725" s="7">
        <v>40970</v>
      </c>
      <c r="B2725">
        <v>1.7239</v>
      </c>
    </row>
    <row r="2726" spans="1:2" x14ac:dyDescent="0.35">
      <c r="A2726" s="7">
        <v>40969</v>
      </c>
      <c r="B2726">
        <v>1.7145999999999999</v>
      </c>
    </row>
    <row r="2727" spans="1:2" x14ac:dyDescent="0.35">
      <c r="A2727" s="7">
        <v>40968</v>
      </c>
      <c r="B2727">
        <v>1.7085999999999999</v>
      </c>
    </row>
    <row r="2728" spans="1:2" x14ac:dyDescent="0.35">
      <c r="A2728" s="7">
        <v>40967</v>
      </c>
      <c r="B2728">
        <v>1.7017</v>
      </c>
    </row>
    <row r="2729" spans="1:2" x14ac:dyDescent="0.35">
      <c r="A2729" s="7">
        <v>40966</v>
      </c>
      <c r="B2729">
        <v>1.7081999999999999</v>
      </c>
    </row>
    <row r="2730" spans="1:2" x14ac:dyDescent="0.35">
      <c r="A2730" s="7">
        <v>40963</v>
      </c>
      <c r="B2730">
        <v>1.7091000000000001</v>
      </c>
    </row>
    <row r="2731" spans="1:2" x14ac:dyDescent="0.35">
      <c r="A2731" s="7">
        <v>40962</v>
      </c>
      <c r="B2731">
        <v>1.7033</v>
      </c>
    </row>
    <row r="2732" spans="1:2" x14ac:dyDescent="0.35">
      <c r="A2732" s="7">
        <v>40961</v>
      </c>
      <c r="B2732">
        <v>1.7069000000000001</v>
      </c>
    </row>
    <row r="2733" spans="1:2" x14ac:dyDescent="0.35">
      <c r="A2733" s="7">
        <v>40956</v>
      </c>
      <c r="B2733">
        <v>1.7130000000000001</v>
      </c>
    </row>
    <row r="2734" spans="1:2" x14ac:dyDescent="0.35">
      <c r="A2734" s="7">
        <v>40955</v>
      </c>
      <c r="B2734">
        <v>1.732</v>
      </c>
    </row>
    <row r="2735" spans="1:2" x14ac:dyDescent="0.35">
      <c r="A2735" s="7">
        <v>40954</v>
      </c>
      <c r="B2735">
        <v>1.7151000000000001</v>
      </c>
    </row>
    <row r="2736" spans="1:2" x14ac:dyDescent="0.35">
      <c r="A2736" s="7">
        <v>40953</v>
      </c>
      <c r="B2736">
        <v>1.7166999999999999</v>
      </c>
    </row>
    <row r="2737" spans="1:2" x14ac:dyDescent="0.35">
      <c r="A2737" s="7">
        <v>40952</v>
      </c>
      <c r="B2737">
        <v>1.7161999999999999</v>
      </c>
    </row>
    <row r="2738" spans="1:2" x14ac:dyDescent="0.35">
      <c r="A2738" s="7">
        <v>40949</v>
      </c>
      <c r="B2738">
        <v>1.7254</v>
      </c>
    </row>
    <row r="2739" spans="1:2" x14ac:dyDescent="0.35">
      <c r="A2739" s="7">
        <v>40948</v>
      </c>
      <c r="B2739">
        <v>1.7219</v>
      </c>
    </row>
    <row r="2740" spans="1:2" x14ac:dyDescent="0.35">
      <c r="A2740" s="7">
        <v>40947</v>
      </c>
      <c r="B2740">
        <v>1.7189000000000001</v>
      </c>
    </row>
    <row r="2741" spans="1:2" x14ac:dyDescent="0.35">
      <c r="A2741" s="7">
        <v>40946</v>
      </c>
      <c r="B2741">
        <v>1.7255</v>
      </c>
    </row>
    <row r="2742" spans="1:2" x14ac:dyDescent="0.35">
      <c r="A2742" s="7">
        <v>40945</v>
      </c>
      <c r="B2742">
        <v>1.7242999999999999</v>
      </c>
    </row>
    <row r="2743" spans="1:2" x14ac:dyDescent="0.35">
      <c r="A2743" s="7">
        <v>40942</v>
      </c>
      <c r="B2743">
        <v>1.7216</v>
      </c>
    </row>
    <row r="2744" spans="1:2" x14ac:dyDescent="0.35">
      <c r="A2744" s="7">
        <v>40941</v>
      </c>
      <c r="B2744">
        <v>1.732</v>
      </c>
    </row>
    <row r="2745" spans="1:2" x14ac:dyDescent="0.35">
      <c r="A2745" s="7">
        <v>40940</v>
      </c>
      <c r="B2745">
        <v>1.7370000000000001</v>
      </c>
    </row>
    <row r="2746" spans="1:2" x14ac:dyDescent="0.35">
      <c r="A2746" s="7">
        <v>40939</v>
      </c>
      <c r="B2746">
        <v>1.7384999999999999</v>
      </c>
    </row>
    <row r="2747" spans="1:2" x14ac:dyDescent="0.35">
      <c r="A2747" s="7">
        <v>40938</v>
      </c>
      <c r="B2747">
        <v>1.7502</v>
      </c>
    </row>
    <row r="2748" spans="1:2" x14ac:dyDescent="0.35">
      <c r="A2748" s="7">
        <v>40935</v>
      </c>
      <c r="B2748">
        <v>1.7428999999999999</v>
      </c>
    </row>
    <row r="2749" spans="1:2" x14ac:dyDescent="0.35">
      <c r="A2749" s="7">
        <v>40934</v>
      </c>
      <c r="B2749">
        <v>1.7382</v>
      </c>
    </row>
    <row r="2750" spans="1:2" x14ac:dyDescent="0.35">
      <c r="A2750" s="7">
        <v>40933</v>
      </c>
      <c r="B2750">
        <v>1.7623</v>
      </c>
    </row>
    <row r="2751" spans="1:2" x14ac:dyDescent="0.35">
      <c r="A2751" s="7">
        <v>40932</v>
      </c>
      <c r="B2751">
        <v>1.7643</v>
      </c>
    </row>
    <row r="2752" spans="1:2" x14ac:dyDescent="0.35">
      <c r="A2752" s="7">
        <v>40931</v>
      </c>
      <c r="B2752">
        <v>1.7521</v>
      </c>
    </row>
    <row r="2753" spans="1:2" x14ac:dyDescent="0.35">
      <c r="A2753" s="7">
        <v>40928</v>
      </c>
      <c r="B2753">
        <v>1.7664</v>
      </c>
    </row>
    <row r="2754" spans="1:2" x14ac:dyDescent="0.35">
      <c r="A2754" s="7">
        <v>40927</v>
      </c>
      <c r="B2754">
        <v>1.7642</v>
      </c>
    </row>
    <row r="2755" spans="1:2" x14ac:dyDescent="0.35">
      <c r="A2755" s="7">
        <v>40926</v>
      </c>
      <c r="B2755">
        <v>1.7785</v>
      </c>
    </row>
    <row r="2756" spans="1:2" x14ac:dyDescent="0.35">
      <c r="A2756" s="7">
        <v>40925</v>
      </c>
      <c r="B2756">
        <v>1.7754000000000001</v>
      </c>
    </row>
    <row r="2757" spans="1:2" x14ac:dyDescent="0.35">
      <c r="A2757" s="7">
        <v>40924</v>
      </c>
      <c r="B2757">
        <v>1.7829999999999999</v>
      </c>
    </row>
    <row r="2758" spans="1:2" x14ac:dyDescent="0.35">
      <c r="A2758" s="7">
        <v>40921</v>
      </c>
      <c r="B2758">
        <v>1.7846</v>
      </c>
    </row>
    <row r="2759" spans="1:2" x14ac:dyDescent="0.35">
      <c r="A2759" s="7">
        <v>40920</v>
      </c>
      <c r="B2759">
        <v>1.7867</v>
      </c>
    </row>
    <row r="2760" spans="1:2" x14ac:dyDescent="0.35">
      <c r="A2760" s="7">
        <v>40919</v>
      </c>
      <c r="B2760">
        <v>1.8041</v>
      </c>
    </row>
    <row r="2761" spans="1:2" x14ac:dyDescent="0.35">
      <c r="A2761" s="7">
        <v>40918</v>
      </c>
      <c r="B2761">
        <v>1.8036000000000001</v>
      </c>
    </row>
    <row r="2762" spans="1:2" x14ac:dyDescent="0.35">
      <c r="A2762" s="7">
        <v>40917</v>
      </c>
      <c r="B2762">
        <v>1.8434999999999999</v>
      </c>
    </row>
    <row r="2763" spans="1:2" x14ac:dyDescent="0.35">
      <c r="A2763" s="7">
        <v>40914</v>
      </c>
      <c r="B2763">
        <v>1.8442000000000001</v>
      </c>
    </row>
    <row r="2764" spans="1:2" x14ac:dyDescent="0.35">
      <c r="A2764" s="7">
        <v>40913</v>
      </c>
      <c r="B2764">
        <v>1.8365</v>
      </c>
    </row>
    <row r="2765" spans="1:2" x14ac:dyDescent="0.35">
      <c r="A2765" s="7">
        <v>40912</v>
      </c>
      <c r="B2765">
        <v>1.8265</v>
      </c>
    </row>
    <row r="2766" spans="1:2" x14ac:dyDescent="0.35">
      <c r="A2766" s="7">
        <v>40911</v>
      </c>
      <c r="B2766">
        <v>1.845</v>
      </c>
    </row>
    <row r="2767" spans="1:2" x14ac:dyDescent="0.35">
      <c r="A2767" s="7">
        <v>40910</v>
      </c>
      <c r="B2767">
        <v>1.8675999999999999</v>
      </c>
    </row>
    <row r="2768" spans="1:2" x14ac:dyDescent="0.35">
      <c r="A2768" s="7">
        <v>40906</v>
      </c>
      <c r="B2768">
        <v>1.8751</v>
      </c>
    </row>
    <row r="2769" spans="1:2" x14ac:dyDescent="0.35">
      <c r="A2769" s="7">
        <v>40905</v>
      </c>
      <c r="B2769">
        <v>1.8626</v>
      </c>
    </row>
    <row r="2770" spans="1:2" x14ac:dyDescent="0.35">
      <c r="A2770" s="7">
        <v>40904</v>
      </c>
      <c r="B2770">
        <v>1.8577999999999999</v>
      </c>
    </row>
    <row r="2771" spans="1:2" x14ac:dyDescent="0.35">
      <c r="A2771" s="7">
        <v>40903</v>
      </c>
      <c r="B2771">
        <v>1.8559000000000001</v>
      </c>
    </row>
    <row r="2772" spans="1:2" x14ac:dyDescent="0.35">
      <c r="A2772" s="7">
        <v>40900</v>
      </c>
      <c r="B2772">
        <v>1.8553999999999999</v>
      </c>
    </row>
    <row r="2773" spans="1:2" x14ac:dyDescent="0.35">
      <c r="A2773" s="7">
        <v>40899</v>
      </c>
      <c r="B2773">
        <v>1.8571</v>
      </c>
    </row>
    <row r="2774" spans="1:2" x14ac:dyDescent="0.35">
      <c r="A2774" s="7">
        <v>40898</v>
      </c>
      <c r="B2774">
        <v>1.855</v>
      </c>
    </row>
    <row r="2775" spans="1:2" x14ac:dyDescent="0.35">
      <c r="A2775" s="7">
        <v>40897</v>
      </c>
      <c r="B2775">
        <v>1.8501000000000001</v>
      </c>
    </row>
    <row r="2776" spans="1:2" x14ac:dyDescent="0.35">
      <c r="A2776" s="7">
        <v>40896</v>
      </c>
      <c r="B2776">
        <v>1.8608</v>
      </c>
    </row>
    <row r="2777" spans="1:2" x14ac:dyDescent="0.35">
      <c r="A2777" s="7">
        <v>40893</v>
      </c>
      <c r="B2777">
        <v>1.8458000000000001</v>
      </c>
    </row>
    <row r="2778" spans="1:2" x14ac:dyDescent="0.35">
      <c r="A2778" s="7">
        <v>40892</v>
      </c>
      <c r="B2778">
        <v>1.8602000000000001</v>
      </c>
    </row>
    <row r="2779" spans="1:2" x14ac:dyDescent="0.35">
      <c r="A2779" s="7">
        <v>40891</v>
      </c>
      <c r="B2779">
        <v>1.8721000000000001</v>
      </c>
    </row>
    <row r="2780" spans="1:2" x14ac:dyDescent="0.35">
      <c r="A2780" s="7">
        <v>40890</v>
      </c>
      <c r="B2780">
        <v>1.8403</v>
      </c>
    </row>
    <row r="2781" spans="1:2" x14ac:dyDescent="0.35">
      <c r="A2781" s="7">
        <v>40889</v>
      </c>
      <c r="B2781">
        <v>1.8210999999999999</v>
      </c>
    </row>
    <row r="2782" spans="1:2" x14ac:dyDescent="0.35">
      <c r="A2782" s="7">
        <v>40886</v>
      </c>
      <c r="B2782">
        <v>1.8123</v>
      </c>
    </row>
    <row r="2783" spans="1:2" x14ac:dyDescent="0.35">
      <c r="A2783" s="7">
        <v>40885</v>
      </c>
      <c r="B2783">
        <v>1.7934000000000001</v>
      </c>
    </row>
    <row r="2784" spans="1:2" x14ac:dyDescent="0.35">
      <c r="A2784" s="7">
        <v>40884</v>
      </c>
      <c r="B2784">
        <v>1.7974000000000001</v>
      </c>
    </row>
    <row r="2785" spans="1:2" x14ac:dyDescent="0.35">
      <c r="A2785" s="7">
        <v>40883</v>
      </c>
      <c r="B2785">
        <v>1.7906</v>
      </c>
    </row>
    <row r="2786" spans="1:2" x14ac:dyDescent="0.35">
      <c r="A2786" s="7">
        <v>40882</v>
      </c>
      <c r="B2786">
        <v>1.7823</v>
      </c>
    </row>
    <row r="2787" spans="1:2" x14ac:dyDescent="0.35">
      <c r="A2787" s="7">
        <v>40879</v>
      </c>
      <c r="B2787">
        <v>1.7836000000000001</v>
      </c>
    </row>
    <row r="2788" spans="1:2" x14ac:dyDescent="0.35">
      <c r="A2788" s="7">
        <v>40878</v>
      </c>
      <c r="B2788">
        <v>1.7922</v>
      </c>
    </row>
    <row r="2789" spans="1:2" x14ac:dyDescent="0.35">
      <c r="A2789" s="7">
        <v>40877</v>
      </c>
      <c r="B2789">
        <v>1.8102</v>
      </c>
    </row>
    <row r="2790" spans="1:2" x14ac:dyDescent="0.35">
      <c r="A2790" s="7">
        <v>40876</v>
      </c>
      <c r="B2790">
        <v>1.8478000000000001</v>
      </c>
    </row>
    <row r="2791" spans="1:2" x14ac:dyDescent="0.35">
      <c r="A2791" s="7">
        <v>40875</v>
      </c>
      <c r="B2791">
        <v>1.859</v>
      </c>
    </row>
    <row r="2792" spans="1:2" x14ac:dyDescent="0.35">
      <c r="A2792" s="7">
        <v>40872</v>
      </c>
      <c r="B2792">
        <v>1.893</v>
      </c>
    </row>
    <row r="2793" spans="1:2" x14ac:dyDescent="0.35">
      <c r="A2793" s="7">
        <v>40871</v>
      </c>
      <c r="B2793">
        <v>1.8652</v>
      </c>
    </row>
    <row r="2794" spans="1:2" x14ac:dyDescent="0.35">
      <c r="A2794" s="7">
        <v>40870</v>
      </c>
      <c r="B2794">
        <v>1.8433999999999999</v>
      </c>
    </row>
    <row r="2795" spans="1:2" x14ac:dyDescent="0.35">
      <c r="A2795" s="7">
        <v>40869</v>
      </c>
      <c r="B2795">
        <v>1.8062</v>
      </c>
    </row>
    <row r="2796" spans="1:2" x14ac:dyDescent="0.35">
      <c r="A2796" s="7">
        <v>40868</v>
      </c>
      <c r="B2796">
        <v>1.8052999999999999</v>
      </c>
    </row>
    <row r="2797" spans="1:2" x14ac:dyDescent="0.35">
      <c r="A2797" s="7">
        <v>40865</v>
      </c>
      <c r="B2797">
        <v>1.7716000000000001</v>
      </c>
    </row>
    <row r="2798" spans="1:2" x14ac:dyDescent="0.35">
      <c r="A2798" s="7">
        <v>40864</v>
      </c>
      <c r="B2798">
        <v>1.7766999999999999</v>
      </c>
    </row>
    <row r="2799" spans="1:2" x14ac:dyDescent="0.35">
      <c r="A2799" s="7">
        <v>40863</v>
      </c>
      <c r="B2799">
        <v>1.7765</v>
      </c>
    </row>
    <row r="2800" spans="1:2" x14ac:dyDescent="0.35">
      <c r="A2800" s="7">
        <v>40861</v>
      </c>
      <c r="B2800">
        <v>1.7642</v>
      </c>
    </row>
    <row r="2801" spans="1:2" x14ac:dyDescent="0.35">
      <c r="A2801" s="7">
        <v>40858</v>
      </c>
      <c r="B2801">
        <v>1.754</v>
      </c>
    </row>
    <row r="2802" spans="1:2" x14ac:dyDescent="0.35">
      <c r="A2802" s="7">
        <v>40857</v>
      </c>
      <c r="B2802">
        <v>1.7603</v>
      </c>
    </row>
    <row r="2803" spans="1:2" x14ac:dyDescent="0.35">
      <c r="A2803" s="7">
        <v>40856</v>
      </c>
      <c r="B2803">
        <v>1.7509999999999999</v>
      </c>
    </row>
    <row r="2804" spans="1:2" x14ac:dyDescent="0.35">
      <c r="A2804" s="7">
        <v>40855</v>
      </c>
      <c r="B2804">
        <v>1.7445999999999999</v>
      </c>
    </row>
    <row r="2805" spans="1:2" x14ac:dyDescent="0.35">
      <c r="A2805" s="7">
        <v>40854</v>
      </c>
      <c r="B2805">
        <v>1.7485999999999999</v>
      </c>
    </row>
    <row r="2806" spans="1:2" x14ac:dyDescent="0.35">
      <c r="A2806" s="7">
        <v>40851</v>
      </c>
      <c r="B2806">
        <v>1.7407999999999999</v>
      </c>
    </row>
    <row r="2807" spans="1:2" x14ac:dyDescent="0.35">
      <c r="A2807" s="7">
        <v>40850</v>
      </c>
      <c r="B2807">
        <v>1.7262</v>
      </c>
    </row>
    <row r="2808" spans="1:2" x14ac:dyDescent="0.35">
      <c r="A2808" s="7">
        <v>40848</v>
      </c>
      <c r="B2808">
        <v>1.7499</v>
      </c>
    </row>
    <row r="2809" spans="1:2" x14ac:dyDescent="0.35">
      <c r="A2809" s="7">
        <v>40847</v>
      </c>
      <c r="B2809">
        <v>1.6878</v>
      </c>
    </row>
    <row r="2810" spans="1:2" x14ac:dyDescent="0.35">
      <c r="A2810" s="7">
        <v>40844</v>
      </c>
      <c r="B2810">
        <v>1.6979</v>
      </c>
    </row>
    <row r="2811" spans="1:2" x14ac:dyDescent="0.35">
      <c r="A2811" s="7">
        <v>40843</v>
      </c>
      <c r="B2811">
        <v>1.7316</v>
      </c>
    </row>
    <row r="2812" spans="1:2" x14ac:dyDescent="0.35">
      <c r="A2812" s="7">
        <v>40842</v>
      </c>
      <c r="B2812">
        <v>1.7599</v>
      </c>
    </row>
    <row r="2813" spans="1:2" x14ac:dyDescent="0.35">
      <c r="A2813" s="7">
        <v>40841</v>
      </c>
      <c r="B2813">
        <v>1.7541</v>
      </c>
    </row>
    <row r="2814" spans="1:2" x14ac:dyDescent="0.35">
      <c r="A2814" s="7">
        <v>40840</v>
      </c>
      <c r="B2814">
        <v>1.7761</v>
      </c>
    </row>
    <row r="2815" spans="1:2" x14ac:dyDescent="0.35">
      <c r="A2815" s="7">
        <v>40837</v>
      </c>
      <c r="B2815">
        <v>1.7796000000000001</v>
      </c>
    </row>
    <row r="2816" spans="1:2" x14ac:dyDescent="0.35">
      <c r="A2816" s="7">
        <v>40836</v>
      </c>
      <c r="B2816">
        <v>1.7819</v>
      </c>
    </row>
    <row r="2817" spans="1:2" x14ac:dyDescent="0.35">
      <c r="A2817" s="7">
        <v>40835</v>
      </c>
      <c r="B2817">
        <v>1.7597</v>
      </c>
    </row>
    <row r="2818" spans="1:2" x14ac:dyDescent="0.35">
      <c r="A2818" s="7">
        <v>40834</v>
      </c>
      <c r="B2818">
        <v>1.7717000000000001</v>
      </c>
    </row>
    <row r="2819" spans="1:2" x14ac:dyDescent="0.35">
      <c r="A2819" s="7">
        <v>40833</v>
      </c>
      <c r="B2819">
        <v>1.7481</v>
      </c>
    </row>
    <row r="2820" spans="1:2" x14ac:dyDescent="0.35">
      <c r="A2820" s="7">
        <v>40830</v>
      </c>
      <c r="B2820">
        <v>1.7369000000000001</v>
      </c>
    </row>
    <row r="2821" spans="1:2" x14ac:dyDescent="0.35">
      <c r="A2821" s="7">
        <v>40829</v>
      </c>
      <c r="B2821">
        <v>1.7528999999999999</v>
      </c>
    </row>
    <row r="2822" spans="1:2" x14ac:dyDescent="0.35">
      <c r="A2822" s="7">
        <v>40827</v>
      </c>
      <c r="B2822">
        <v>1.7652000000000001</v>
      </c>
    </row>
    <row r="2823" spans="1:2" x14ac:dyDescent="0.35">
      <c r="A2823" s="7">
        <v>40826</v>
      </c>
      <c r="B2823">
        <v>1.7471000000000001</v>
      </c>
    </row>
    <row r="2824" spans="1:2" x14ac:dyDescent="0.35">
      <c r="A2824" s="7">
        <v>40823</v>
      </c>
      <c r="B2824">
        <v>1.7659</v>
      </c>
    </row>
    <row r="2825" spans="1:2" x14ac:dyDescent="0.35">
      <c r="A2825" s="7">
        <v>40822</v>
      </c>
      <c r="B2825">
        <v>1.8109</v>
      </c>
    </row>
    <row r="2826" spans="1:2" x14ac:dyDescent="0.35">
      <c r="A2826" s="7">
        <v>40821</v>
      </c>
      <c r="B2826">
        <v>1.8449</v>
      </c>
    </row>
    <row r="2827" spans="1:2" x14ac:dyDescent="0.35">
      <c r="A2827" s="7">
        <v>40820</v>
      </c>
      <c r="B2827">
        <v>1.8848</v>
      </c>
    </row>
    <row r="2828" spans="1:2" x14ac:dyDescent="0.35">
      <c r="A2828" s="7">
        <v>40819</v>
      </c>
      <c r="B2828">
        <v>1.8804000000000001</v>
      </c>
    </row>
    <row r="2829" spans="1:2" x14ac:dyDescent="0.35">
      <c r="A2829" s="7">
        <v>40816</v>
      </c>
      <c r="B2829">
        <v>1.8535999999999999</v>
      </c>
    </row>
    <row r="2830" spans="1:2" x14ac:dyDescent="0.35">
      <c r="A2830" s="7">
        <v>40815</v>
      </c>
      <c r="B2830">
        <v>1.8283</v>
      </c>
    </row>
    <row r="2831" spans="1:2" x14ac:dyDescent="0.35">
      <c r="A2831" s="7">
        <v>40814</v>
      </c>
      <c r="B2831">
        <v>1.8123</v>
      </c>
    </row>
    <row r="2832" spans="1:2" x14ac:dyDescent="0.35">
      <c r="A2832" s="7">
        <v>40813</v>
      </c>
      <c r="B2832">
        <v>1.8</v>
      </c>
    </row>
    <row r="2833" spans="1:2" x14ac:dyDescent="0.35">
      <c r="A2833" s="7">
        <v>40812</v>
      </c>
      <c r="B2833">
        <v>1.8436999999999999</v>
      </c>
    </row>
    <row r="2834" spans="1:2" x14ac:dyDescent="0.35">
      <c r="A2834" s="7">
        <v>40809</v>
      </c>
      <c r="B2834">
        <v>1.8727</v>
      </c>
    </row>
    <row r="2835" spans="1:2" x14ac:dyDescent="0.35">
      <c r="A2835" s="7">
        <v>40808</v>
      </c>
      <c r="B2835">
        <v>1.9008</v>
      </c>
    </row>
    <row r="2836" spans="1:2" x14ac:dyDescent="0.35">
      <c r="A2836" s="7">
        <v>40807</v>
      </c>
      <c r="B2836">
        <v>1.8271999999999999</v>
      </c>
    </row>
    <row r="2837" spans="1:2" x14ac:dyDescent="0.35">
      <c r="A2837" s="7">
        <v>40806</v>
      </c>
      <c r="B2837">
        <v>1.7862</v>
      </c>
    </row>
    <row r="2838" spans="1:2" x14ac:dyDescent="0.35">
      <c r="A2838" s="7">
        <v>40805</v>
      </c>
      <c r="B2838">
        <v>1.7755000000000001</v>
      </c>
    </row>
    <row r="2839" spans="1:2" x14ac:dyDescent="0.35">
      <c r="A2839" s="7">
        <v>40802</v>
      </c>
      <c r="B2839">
        <v>1.7114</v>
      </c>
    </row>
    <row r="2840" spans="1:2" x14ac:dyDescent="0.35">
      <c r="A2840" s="7">
        <v>40801</v>
      </c>
      <c r="B2840">
        <v>1.7098</v>
      </c>
    </row>
    <row r="2841" spans="1:2" x14ac:dyDescent="0.35">
      <c r="A2841" s="7">
        <v>40800</v>
      </c>
      <c r="B2841">
        <v>1.728</v>
      </c>
    </row>
    <row r="2842" spans="1:2" x14ac:dyDescent="0.35">
      <c r="A2842" s="7">
        <v>40799</v>
      </c>
      <c r="B2842">
        <v>1.7119</v>
      </c>
    </row>
    <row r="2843" spans="1:2" x14ac:dyDescent="0.35">
      <c r="A2843" s="7">
        <v>40798</v>
      </c>
      <c r="B2843">
        <v>1.6891</v>
      </c>
    </row>
    <row r="2844" spans="1:2" x14ac:dyDescent="0.35">
      <c r="A2844" s="7">
        <v>40795</v>
      </c>
      <c r="B2844">
        <v>1.6766000000000001</v>
      </c>
    </row>
    <row r="2845" spans="1:2" x14ac:dyDescent="0.35">
      <c r="A2845" s="7">
        <v>40794</v>
      </c>
      <c r="B2845">
        <v>1.6557999999999999</v>
      </c>
    </row>
    <row r="2846" spans="1:2" x14ac:dyDescent="0.35">
      <c r="A2846" s="7">
        <v>40792</v>
      </c>
      <c r="B2846">
        <v>1.6575</v>
      </c>
    </row>
    <row r="2847" spans="1:2" x14ac:dyDescent="0.35">
      <c r="A2847" s="7">
        <v>40791</v>
      </c>
      <c r="B2847">
        <v>1.6514</v>
      </c>
    </row>
    <row r="2848" spans="1:2" x14ac:dyDescent="0.35">
      <c r="A2848" s="7">
        <v>40788</v>
      </c>
      <c r="B2848">
        <v>1.6335</v>
      </c>
    </row>
    <row r="2849" spans="1:2" x14ac:dyDescent="0.35">
      <c r="A2849" s="7">
        <v>40787</v>
      </c>
      <c r="B2849">
        <v>1.6032</v>
      </c>
    </row>
    <row r="2850" spans="1:2" x14ac:dyDescent="0.35">
      <c r="A2850" s="7">
        <v>40786</v>
      </c>
      <c r="B2850">
        <v>1.5864</v>
      </c>
    </row>
    <row r="2851" spans="1:2" x14ac:dyDescent="0.35">
      <c r="A2851" s="7">
        <v>40785</v>
      </c>
      <c r="B2851">
        <v>1.5895999999999999</v>
      </c>
    </row>
    <row r="2852" spans="1:2" x14ac:dyDescent="0.35">
      <c r="A2852" s="7">
        <v>40784</v>
      </c>
      <c r="B2852">
        <v>1.5966</v>
      </c>
    </row>
    <row r="2853" spans="1:2" x14ac:dyDescent="0.35">
      <c r="A2853" s="7">
        <v>40781</v>
      </c>
      <c r="B2853">
        <v>1.6106</v>
      </c>
    </row>
    <row r="2854" spans="1:2" x14ac:dyDescent="0.35">
      <c r="A2854" s="7">
        <v>40780</v>
      </c>
      <c r="B2854">
        <v>1.6146</v>
      </c>
    </row>
    <row r="2855" spans="1:2" x14ac:dyDescent="0.35">
      <c r="A2855" s="7">
        <v>40779</v>
      </c>
      <c r="B2855">
        <v>1.6031</v>
      </c>
    </row>
    <row r="2856" spans="1:2" x14ac:dyDescent="0.35">
      <c r="A2856" s="7">
        <v>40778</v>
      </c>
      <c r="B2856">
        <v>1.6028</v>
      </c>
    </row>
    <row r="2857" spans="1:2" x14ac:dyDescent="0.35">
      <c r="A2857" s="7">
        <v>40777</v>
      </c>
      <c r="B2857">
        <v>1.6001000000000001</v>
      </c>
    </row>
    <row r="2858" spans="1:2" x14ac:dyDescent="0.35">
      <c r="A2858" s="7">
        <v>40774</v>
      </c>
      <c r="B2858">
        <v>1.5952</v>
      </c>
    </row>
    <row r="2859" spans="1:2" x14ac:dyDescent="0.35">
      <c r="A2859" s="7">
        <v>40773</v>
      </c>
      <c r="B2859">
        <v>1.6053999999999999</v>
      </c>
    </row>
    <row r="2860" spans="1:2" x14ac:dyDescent="0.35">
      <c r="A2860" s="7">
        <v>40772</v>
      </c>
      <c r="B2860">
        <v>1.5822000000000001</v>
      </c>
    </row>
    <row r="2861" spans="1:2" x14ac:dyDescent="0.35">
      <c r="A2861" s="7">
        <v>40771</v>
      </c>
      <c r="B2861">
        <v>1.591</v>
      </c>
    </row>
    <row r="2862" spans="1:2" x14ac:dyDescent="0.35">
      <c r="A2862" s="7">
        <v>40770</v>
      </c>
      <c r="B2862">
        <v>1.5948</v>
      </c>
    </row>
    <row r="2863" spans="1:2" x14ac:dyDescent="0.35">
      <c r="A2863" s="7">
        <v>40767</v>
      </c>
      <c r="B2863">
        <v>1.6149</v>
      </c>
    </row>
    <row r="2864" spans="1:2" x14ac:dyDescent="0.35">
      <c r="A2864" s="7">
        <v>40766</v>
      </c>
      <c r="B2864">
        <v>1.6297999999999999</v>
      </c>
    </row>
    <row r="2865" spans="1:2" x14ac:dyDescent="0.35">
      <c r="A2865" s="7">
        <v>40765</v>
      </c>
      <c r="B2865">
        <v>1.6174999999999999</v>
      </c>
    </row>
    <row r="2866" spans="1:2" x14ac:dyDescent="0.35">
      <c r="A2866" s="7">
        <v>40764</v>
      </c>
      <c r="B2866">
        <v>1.6326000000000001</v>
      </c>
    </row>
    <row r="2867" spans="1:2" x14ac:dyDescent="0.35">
      <c r="A2867" s="7">
        <v>40763</v>
      </c>
      <c r="B2867">
        <v>1.5991</v>
      </c>
    </row>
    <row r="2868" spans="1:2" x14ac:dyDescent="0.35">
      <c r="A2868" s="7">
        <v>40760</v>
      </c>
      <c r="B2868">
        <v>1.5887</v>
      </c>
    </row>
    <row r="2869" spans="1:2" x14ac:dyDescent="0.35">
      <c r="A2869" s="7">
        <v>40759</v>
      </c>
      <c r="B2869">
        <v>1.5744</v>
      </c>
    </row>
    <row r="2870" spans="1:2" x14ac:dyDescent="0.35">
      <c r="A2870" s="7">
        <v>40758</v>
      </c>
      <c r="B2870">
        <v>1.5643</v>
      </c>
    </row>
    <row r="2871" spans="1:2" x14ac:dyDescent="0.35">
      <c r="A2871" s="7">
        <v>40757</v>
      </c>
      <c r="B2871">
        <v>1.5648</v>
      </c>
    </row>
    <row r="2872" spans="1:2" x14ac:dyDescent="0.35">
      <c r="A2872" s="7">
        <v>40756</v>
      </c>
      <c r="B2872">
        <v>1.5543</v>
      </c>
    </row>
    <row r="2873" spans="1:2" x14ac:dyDescent="0.35">
      <c r="A2873" s="7">
        <v>40753</v>
      </c>
      <c r="B2873">
        <v>1.5555000000000001</v>
      </c>
    </row>
    <row r="2874" spans="1:2" x14ac:dyDescent="0.35">
      <c r="A2874" s="7">
        <v>40752</v>
      </c>
      <c r="B2874">
        <v>1.5643</v>
      </c>
    </row>
    <row r="2875" spans="1:2" x14ac:dyDescent="0.35">
      <c r="A2875" s="7">
        <v>40751</v>
      </c>
      <c r="B2875">
        <v>1.5630999999999999</v>
      </c>
    </row>
    <row r="2876" spans="1:2" x14ac:dyDescent="0.35">
      <c r="A2876" s="7">
        <v>40750</v>
      </c>
      <c r="B2876">
        <v>1.5337000000000001</v>
      </c>
    </row>
    <row r="2877" spans="1:2" x14ac:dyDescent="0.35">
      <c r="A2877" s="7">
        <v>40749</v>
      </c>
      <c r="B2877">
        <v>1.5441</v>
      </c>
    </row>
    <row r="2878" spans="1:2" x14ac:dyDescent="0.35">
      <c r="A2878" s="7">
        <v>40746</v>
      </c>
      <c r="B2878">
        <v>1.5539000000000001</v>
      </c>
    </row>
    <row r="2879" spans="1:2" x14ac:dyDescent="0.35">
      <c r="A2879" s="7">
        <v>40745</v>
      </c>
      <c r="B2879">
        <v>1.5559000000000001</v>
      </c>
    </row>
    <row r="2880" spans="1:2" x14ac:dyDescent="0.35">
      <c r="A2880" s="7">
        <v>40744</v>
      </c>
      <c r="B2880">
        <v>1.5643</v>
      </c>
    </row>
    <row r="2881" spans="1:2" x14ac:dyDescent="0.35">
      <c r="A2881" s="7">
        <v>40743</v>
      </c>
      <c r="B2881">
        <v>1.5683</v>
      </c>
    </row>
    <row r="2882" spans="1:2" x14ac:dyDescent="0.35">
      <c r="A2882" s="7">
        <v>40742</v>
      </c>
      <c r="B2882">
        <v>1.5820000000000001</v>
      </c>
    </row>
    <row r="2883" spans="1:2" x14ac:dyDescent="0.35">
      <c r="A2883" s="7">
        <v>40739</v>
      </c>
      <c r="B2883">
        <v>1.5734999999999999</v>
      </c>
    </row>
    <row r="2884" spans="1:2" x14ac:dyDescent="0.35">
      <c r="A2884" s="7">
        <v>40738</v>
      </c>
      <c r="B2884">
        <v>1.5721000000000001</v>
      </c>
    </row>
    <row r="2885" spans="1:2" x14ac:dyDescent="0.35">
      <c r="A2885" s="7">
        <v>40737</v>
      </c>
      <c r="B2885">
        <v>1.5753999999999999</v>
      </c>
    </row>
    <row r="2886" spans="1:2" x14ac:dyDescent="0.35">
      <c r="A2886" s="7">
        <v>40736</v>
      </c>
      <c r="B2886">
        <v>1.5765</v>
      </c>
    </row>
    <row r="2887" spans="1:2" x14ac:dyDescent="0.35">
      <c r="A2887" s="7">
        <v>40735</v>
      </c>
      <c r="B2887">
        <v>1.5788</v>
      </c>
    </row>
    <row r="2888" spans="1:2" x14ac:dyDescent="0.35">
      <c r="A2888" s="7">
        <v>40732</v>
      </c>
      <c r="B2888">
        <v>1.5626</v>
      </c>
    </row>
    <row r="2889" spans="1:2" x14ac:dyDescent="0.35">
      <c r="A2889" s="7">
        <v>40731</v>
      </c>
      <c r="B2889">
        <v>1.5572999999999999</v>
      </c>
    </row>
    <row r="2890" spans="1:2" x14ac:dyDescent="0.35">
      <c r="A2890" s="7">
        <v>40730</v>
      </c>
      <c r="B2890">
        <v>1.5653999999999999</v>
      </c>
    </row>
    <row r="2891" spans="1:2" x14ac:dyDescent="0.35">
      <c r="A2891" s="7">
        <v>40729</v>
      </c>
      <c r="B2891">
        <v>1.5629</v>
      </c>
    </row>
    <row r="2892" spans="1:2" x14ac:dyDescent="0.35">
      <c r="A2892" s="7">
        <v>40728</v>
      </c>
      <c r="B2892">
        <v>1.5571999999999999</v>
      </c>
    </row>
    <row r="2893" spans="1:2" x14ac:dyDescent="0.35">
      <c r="A2893" s="7">
        <v>40725</v>
      </c>
      <c r="B2893">
        <v>1.5590999999999999</v>
      </c>
    </row>
    <row r="2894" spans="1:2" x14ac:dyDescent="0.35">
      <c r="A2894" s="7">
        <v>40724</v>
      </c>
      <c r="B2894">
        <v>1.5603</v>
      </c>
    </row>
    <row r="2895" spans="1:2" x14ac:dyDescent="0.35">
      <c r="A2895" s="7">
        <v>40723</v>
      </c>
      <c r="B2895">
        <v>1.5722</v>
      </c>
    </row>
    <row r="2896" spans="1:2" x14ac:dyDescent="0.35">
      <c r="A2896" s="7">
        <v>40722</v>
      </c>
      <c r="B2896">
        <v>1.5825</v>
      </c>
    </row>
    <row r="2897" spans="1:2" x14ac:dyDescent="0.35">
      <c r="A2897" s="7">
        <v>40721</v>
      </c>
      <c r="B2897">
        <v>1.5961000000000001</v>
      </c>
    </row>
    <row r="2898" spans="1:2" x14ac:dyDescent="0.35">
      <c r="A2898" s="7">
        <v>40718</v>
      </c>
      <c r="B2898">
        <v>1.5980000000000001</v>
      </c>
    </row>
    <row r="2899" spans="1:2" x14ac:dyDescent="0.35">
      <c r="A2899" s="7">
        <v>40716</v>
      </c>
      <c r="B2899">
        <v>1.5869</v>
      </c>
    </row>
    <row r="2900" spans="1:2" x14ac:dyDescent="0.35">
      <c r="A2900" s="7">
        <v>40715</v>
      </c>
      <c r="B2900">
        <v>1.5902000000000001</v>
      </c>
    </row>
    <row r="2901" spans="1:2" x14ac:dyDescent="0.35">
      <c r="A2901" s="7">
        <v>40714</v>
      </c>
      <c r="B2901">
        <v>1.5961000000000001</v>
      </c>
    </row>
    <row r="2902" spans="1:2" x14ac:dyDescent="0.35">
      <c r="A2902" s="7">
        <v>40711</v>
      </c>
      <c r="B2902">
        <v>1.5971</v>
      </c>
    </row>
    <row r="2903" spans="1:2" x14ac:dyDescent="0.35">
      <c r="A2903" s="7">
        <v>40710</v>
      </c>
      <c r="B2903">
        <v>1.61</v>
      </c>
    </row>
    <row r="2904" spans="1:2" x14ac:dyDescent="0.35">
      <c r="A2904" s="7">
        <v>40709</v>
      </c>
      <c r="B2904">
        <v>1.5952</v>
      </c>
    </row>
    <row r="2905" spans="1:2" x14ac:dyDescent="0.35">
      <c r="A2905" s="7">
        <v>40708</v>
      </c>
      <c r="B2905">
        <v>1.5812999999999999</v>
      </c>
    </row>
    <row r="2906" spans="1:2" x14ac:dyDescent="0.35">
      <c r="A2906" s="7">
        <v>40707</v>
      </c>
      <c r="B2906">
        <v>1.5880000000000001</v>
      </c>
    </row>
    <row r="2907" spans="1:2" x14ac:dyDescent="0.35">
      <c r="A2907" s="7">
        <v>40704</v>
      </c>
      <c r="B2907">
        <v>1.593</v>
      </c>
    </row>
    <row r="2908" spans="1:2" x14ac:dyDescent="0.35">
      <c r="A2908" s="7">
        <v>40703</v>
      </c>
      <c r="B2908">
        <v>1.5869</v>
      </c>
    </row>
    <row r="2909" spans="1:2" x14ac:dyDescent="0.35">
      <c r="A2909" s="7">
        <v>40702</v>
      </c>
      <c r="B2909">
        <v>1.5811999999999999</v>
      </c>
    </row>
    <row r="2910" spans="1:2" x14ac:dyDescent="0.35">
      <c r="A2910" s="7">
        <v>40701</v>
      </c>
      <c r="B2910">
        <v>1.5755999999999999</v>
      </c>
    </row>
    <row r="2911" spans="1:2" x14ac:dyDescent="0.35">
      <c r="A2911" s="7">
        <v>40700</v>
      </c>
      <c r="B2911">
        <v>1.5802</v>
      </c>
    </row>
    <row r="2912" spans="1:2" x14ac:dyDescent="0.35">
      <c r="A2912" s="7">
        <v>40697</v>
      </c>
      <c r="B2912">
        <v>1.5736000000000001</v>
      </c>
    </row>
    <row r="2913" spans="1:2" x14ac:dyDescent="0.35">
      <c r="A2913" s="7">
        <v>40696</v>
      </c>
      <c r="B2913">
        <v>1.5797000000000001</v>
      </c>
    </row>
    <row r="2914" spans="1:2" x14ac:dyDescent="0.35">
      <c r="A2914" s="7">
        <v>40695</v>
      </c>
      <c r="B2914">
        <v>1.587</v>
      </c>
    </row>
    <row r="2915" spans="1:2" x14ac:dyDescent="0.35">
      <c r="A2915" s="7">
        <v>40694</v>
      </c>
      <c r="B2915">
        <v>1.5790999999999999</v>
      </c>
    </row>
    <row r="2916" spans="1:2" x14ac:dyDescent="0.35">
      <c r="A2916" s="7">
        <v>40693</v>
      </c>
      <c r="B2916">
        <v>1.595</v>
      </c>
    </row>
    <row r="2917" spans="1:2" x14ac:dyDescent="0.35">
      <c r="A2917" s="7">
        <v>40690</v>
      </c>
      <c r="B2917">
        <v>1.603</v>
      </c>
    </row>
    <row r="2918" spans="1:2" x14ac:dyDescent="0.35">
      <c r="A2918" s="7">
        <v>40689</v>
      </c>
      <c r="B2918">
        <v>1.6188</v>
      </c>
    </row>
    <row r="2919" spans="1:2" x14ac:dyDescent="0.35">
      <c r="A2919" s="7">
        <v>40688</v>
      </c>
      <c r="B2919">
        <v>1.6289</v>
      </c>
    </row>
    <row r="2920" spans="1:2" x14ac:dyDescent="0.35">
      <c r="A2920" s="7">
        <v>40687</v>
      </c>
      <c r="B2920">
        <v>1.6248</v>
      </c>
    </row>
    <row r="2921" spans="1:2" x14ac:dyDescent="0.35">
      <c r="A2921" s="7">
        <v>40686</v>
      </c>
      <c r="B2921">
        <v>1.6331</v>
      </c>
    </row>
    <row r="2922" spans="1:2" x14ac:dyDescent="0.35">
      <c r="A2922" s="7">
        <v>40683</v>
      </c>
      <c r="B2922">
        <v>1.6161000000000001</v>
      </c>
    </row>
    <row r="2923" spans="1:2" x14ac:dyDescent="0.35">
      <c r="A2923" s="7">
        <v>40682</v>
      </c>
      <c r="B2923">
        <v>1.6156999999999999</v>
      </c>
    </row>
    <row r="2924" spans="1:2" x14ac:dyDescent="0.35">
      <c r="A2924" s="7">
        <v>40681</v>
      </c>
      <c r="B2924">
        <v>1.6157999999999999</v>
      </c>
    </row>
    <row r="2925" spans="1:2" x14ac:dyDescent="0.35">
      <c r="A2925" s="7">
        <v>40680</v>
      </c>
      <c r="B2925">
        <v>1.6282000000000001</v>
      </c>
    </row>
    <row r="2926" spans="1:2" x14ac:dyDescent="0.35">
      <c r="A2926" s="7">
        <v>40679</v>
      </c>
      <c r="B2926">
        <v>1.6309</v>
      </c>
    </row>
    <row r="2927" spans="1:2" x14ac:dyDescent="0.35">
      <c r="A2927" s="7">
        <v>40676</v>
      </c>
      <c r="B2927">
        <v>1.6319999999999999</v>
      </c>
    </row>
    <row r="2928" spans="1:2" x14ac:dyDescent="0.35">
      <c r="A2928" s="7">
        <v>40675</v>
      </c>
      <c r="B2928">
        <v>1.6198999999999999</v>
      </c>
    </row>
    <row r="2929" spans="1:2" x14ac:dyDescent="0.35">
      <c r="A2929" s="7">
        <v>40674</v>
      </c>
      <c r="B2929">
        <v>1.617</v>
      </c>
    </row>
    <row r="2930" spans="1:2" x14ac:dyDescent="0.35">
      <c r="A2930" s="7">
        <v>40673</v>
      </c>
      <c r="B2930">
        <v>1.6061000000000001</v>
      </c>
    </row>
    <row r="2931" spans="1:2" x14ac:dyDescent="0.35">
      <c r="A2931" s="7">
        <v>40672</v>
      </c>
      <c r="B2931">
        <v>1.6191</v>
      </c>
    </row>
    <row r="2932" spans="1:2" x14ac:dyDescent="0.35">
      <c r="A2932" s="7">
        <v>40669</v>
      </c>
      <c r="B2932">
        <v>1.6103000000000001</v>
      </c>
    </row>
    <row r="2933" spans="1:2" x14ac:dyDescent="0.35">
      <c r="A2933" s="7">
        <v>40668</v>
      </c>
      <c r="B2933">
        <v>1.6211</v>
      </c>
    </row>
    <row r="2934" spans="1:2" x14ac:dyDescent="0.35">
      <c r="A2934" s="7">
        <v>40667</v>
      </c>
      <c r="B2934">
        <v>1.6022000000000001</v>
      </c>
    </row>
    <row r="2935" spans="1:2" x14ac:dyDescent="0.35">
      <c r="A2935" s="7">
        <v>40666</v>
      </c>
      <c r="B2935">
        <v>1.5882000000000001</v>
      </c>
    </row>
    <row r="2936" spans="1:2" x14ac:dyDescent="0.35">
      <c r="A2936" s="7">
        <v>40665</v>
      </c>
      <c r="B2936">
        <v>1.5739000000000001</v>
      </c>
    </row>
    <row r="2937" spans="1:2" x14ac:dyDescent="0.35">
      <c r="A2937" s="7">
        <v>40662</v>
      </c>
      <c r="B2937">
        <v>1.5725</v>
      </c>
    </row>
    <row r="2938" spans="1:2" x14ac:dyDescent="0.35">
      <c r="A2938" s="7">
        <v>40661</v>
      </c>
      <c r="B2938">
        <v>1.5845</v>
      </c>
    </row>
    <row r="2939" spans="1:2" x14ac:dyDescent="0.35">
      <c r="A2939" s="7">
        <v>40660</v>
      </c>
      <c r="B2939">
        <v>1.5697000000000001</v>
      </c>
    </row>
    <row r="2940" spans="1:2" x14ac:dyDescent="0.35">
      <c r="A2940" s="7">
        <v>40659</v>
      </c>
      <c r="B2940">
        <v>1.5646</v>
      </c>
    </row>
    <row r="2941" spans="1:2" x14ac:dyDescent="0.35">
      <c r="A2941" s="7">
        <v>40658</v>
      </c>
      <c r="B2941">
        <v>1.5711999999999999</v>
      </c>
    </row>
    <row r="2942" spans="1:2" x14ac:dyDescent="0.35">
      <c r="A2942" s="7">
        <v>40653</v>
      </c>
      <c r="B2942">
        <v>1.5713999999999999</v>
      </c>
    </row>
    <row r="2943" spans="1:2" x14ac:dyDescent="0.35">
      <c r="A2943" s="7">
        <v>40652</v>
      </c>
      <c r="B2943">
        <v>1.5784</v>
      </c>
    </row>
    <row r="2944" spans="1:2" x14ac:dyDescent="0.35">
      <c r="A2944" s="7">
        <v>40651</v>
      </c>
      <c r="B2944">
        <v>1.5904</v>
      </c>
    </row>
    <row r="2945" spans="1:2" x14ac:dyDescent="0.35">
      <c r="A2945" s="7">
        <v>40648</v>
      </c>
      <c r="B2945">
        <v>1.5768</v>
      </c>
    </row>
    <row r="2946" spans="1:2" x14ac:dyDescent="0.35">
      <c r="A2946" s="7">
        <v>40647</v>
      </c>
      <c r="B2946">
        <v>1.5833999999999999</v>
      </c>
    </row>
    <row r="2947" spans="1:2" x14ac:dyDescent="0.35">
      <c r="A2947" s="7">
        <v>40646</v>
      </c>
      <c r="B2947">
        <v>1.5855999999999999</v>
      </c>
    </row>
    <row r="2948" spans="1:2" x14ac:dyDescent="0.35">
      <c r="A2948" s="7">
        <v>40645</v>
      </c>
      <c r="B2948">
        <v>1.5862000000000001</v>
      </c>
    </row>
    <row r="2949" spans="1:2" x14ac:dyDescent="0.35">
      <c r="A2949" s="7">
        <v>40644</v>
      </c>
      <c r="B2949">
        <v>1.5797000000000001</v>
      </c>
    </row>
    <row r="2950" spans="1:2" x14ac:dyDescent="0.35">
      <c r="A2950" s="7">
        <v>40641</v>
      </c>
      <c r="B2950">
        <v>1.5753999999999999</v>
      </c>
    </row>
    <row r="2951" spans="1:2" x14ac:dyDescent="0.35">
      <c r="A2951" s="7">
        <v>40640</v>
      </c>
      <c r="B2951">
        <v>1.5919000000000001</v>
      </c>
    </row>
    <row r="2952" spans="1:2" x14ac:dyDescent="0.35">
      <c r="A2952" s="7">
        <v>40639</v>
      </c>
      <c r="B2952">
        <v>1.6089</v>
      </c>
    </row>
    <row r="2953" spans="1:2" x14ac:dyDescent="0.35">
      <c r="A2953" s="7">
        <v>40638</v>
      </c>
      <c r="B2953">
        <v>1.6079000000000001</v>
      </c>
    </row>
    <row r="2954" spans="1:2" x14ac:dyDescent="0.35">
      <c r="A2954" s="7">
        <v>40637</v>
      </c>
      <c r="B2954">
        <v>1.6102000000000001</v>
      </c>
    </row>
    <row r="2955" spans="1:2" x14ac:dyDescent="0.35">
      <c r="A2955" s="7">
        <v>40634</v>
      </c>
      <c r="B2955">
        <v>1.6186</v>
      </c>
    </row>
    <row r="2956" spans="1:2" x14ac:dyDescent="0.35">
      <c r="A2956" s="7">
        <v>40633</v>
      </c>
      <c r="B2956">
        <v>1.6278999999999999</v>
      </c>
    </row>
    <row r="2957" spans="1:2" x14ac:dyDescent="0.35">
      <c r="A2957" s="7">
        <v>40632</v>
      </c>
      <c r="B2957">
        <v>1.6352</v>
      </c>
    </row>
    <row r="2958" spans="1:2" x14ac:dyDescent="0.35">
      <c r="A2958" s="7">
        <v>40631</v>
      </c>
      <c r="B2958">
        <v>1.6537999999999999</v>
      </c>
    </row>
    <row r="2959" spans="1:2" x14ac:dyDescent="0.35">
      <c r="A2959" s="7">
        <v>40630</v>
      </c>
      <c r="B2959">
        <v>1.6606000000000001</v>
      </c>
    </row>
    <row r="2960" spans="1:2" x14ac:dyDescent="0.35">
      <c r="A2960" s="7">
        <v>40627</v>
      </c>
      <c r="B2960">
        <v>1.6573</v>
      </c>
    </row>
    <row r="2961" spans="1:2" x14ac:dyDescent="0.35">
      <c r="A2961" s="7">
        <v>40626</v>
      </c>
      <c r="B2961">
        <v>1.6585000000000001</v>
      </c>
    </row>
    <row r="2962" spans="1:2" x14ac:dyDescent="0.35">
      <c r="A2962" s="7">
        <v>40625</v>
      </c>
      <c r="B2962">
        <v>1.6594</v>
      </c>
    </row>
    <row r="2963" spans="1:2" x14ac:dyDescent="0.35">
      <c r="A2963" s="7">
        <v>40624</v>
      </c>
      <c r="B2963">
        <v>1.663</v>
      </c>
    </row>
    <row r="2964" spans="1:2" x14ac:dyDescent="0.35">
      <c r="A2964" s="7">
        <v>40623</v>
      </c>
      <c r="B2964">
        <v>1.6644000000000001</v>
      </c>
    </row>
    <row r="2965" spans="1:2" x14ac:dyDescent="0.35">
      <c r="A2965" s="7">
        <v>40620</v>
      </c>
      <c r="B2965">
        <v>1.6712</v>
      </c>
    </row>
    <row r="2966" spans="1:2" x14ac:dyDescent="0.35">
      <c r="A2966" s="7">
        <v>40619</v>
      </c>
      <c r="B2966">
        <v>1.6749000000000001</v>
      </c>
    </row>
    <row r="2967" spans="1:2" x14ac:dyDescent="0.35">
      <c r="A2967" s="7">
        <v>40618</v>
      </c>
      <c r="B2967">
        <v>1.6666000000000001</v>
      </c>
    </row>
    <row r="2968" spans="1:2" x14ac:dyDescent="0.35">
      <c r="A2968" s="7">
        <v>40617</v>
      </c>
      <c r="B2968">
        <v>1.6684000000000001</v>
      </c>
    </row>
    <row r="2969" spans="1:2" x14ac:dyDescent="0.35">
      <c r="A2969" s="7">
        <v>40616</v>
      </c>
      <c r="B2969">
        <v>1.6623000000000001</v>
      </c>
    </row>
    <row r="2970" spans="1:2" x14ac:dyDescent="0.35">
      <c r="A2970" s="7">
        <v>40613</v>
      </c>
      <c r="B2970">
        <v>1.6640999999999999</v>
      </c>
    </row>
    <row r="2971" spans="1:2" x14ac:dyDescent="0.35">
      <c r="A2971" s="7">
        <v>40612</v>
      </c>
      <c r="B2971">
        <v>1.6604000000000001</v>
      </c>
    </row>
    <row r="2972" spans="1:2" x14ac:dyDescent="0.35">
      <c r="A2972" s="7">
        <v>40611</v>
      </c>
      <c r="B2972">
        <v>1.6551</v>
      </c>
    </row>
    <row r="2973" spans="1:2" x14ac:dyDescent="0.35">
      <c r="A2973" s="7">
        <v>40606</v>
      </c>
      <c r="B2973">
        <v>1.6454</v>
      </c>
    </row>
    <row r="2974" spans="1:2" x14ac:dyDescent="0.35">
      <c r="A2974" s="7">
        <v>40605</v>
      </c>
      <c r="B2974">
        <v>1.6536999999999999</v>
      </c>
    </row>
    <row r="2975" spans="1:2" x14ac:dyDescent="0.35">
      <c r="A2975" s="7">
        <v>40604</v>
      </c>
      <c r="B2975">
        <v>1.6601999999999999</v>
      </c>
    </row>
    <row r="2976" spans="1:2" x14ac:dyDescent="0.35">
      <c r="A2976" s="7">
        <v>40603</v>
      </c>
      <c r="B2976">
        <v>1.6618999999999999</v>
      </c>
    </row>
    <row r="2977" spans="1:2" x14ac:dyDescent="0.35">
      <c r="A2977" s="7">
        <v>40602</v>
      </c>
      <c r="B2977">
        <v>1.6604000000000001</v>
      </c>
    </row>
    <row r="2978" spans="1:2" x14ac:dyDescent="0.35">
      <c r="A2978" s="7">
        <v>40599</v>
      </c>
      <c r="B2978">
        <v>1.6617</v>
      </c>
    </row>
    <row r="2979" spans="1:2" x14ac:dyDescent="0.35">
      <c r="A2979" s="7">
        <v>40598</v>
      </c>
      <c r="B2979">
        <v>1.6640999999999999</v>
      </c>
    </row>
    <row r="2980" spans="1:2" x14ac:dyDescent="0.35">
      <c r="A2980" s="7">
        <v>40597</v>
      </c>
      <c r="B2980">
        <v>1.6712</v>
      </c>
    </row>
    <row r="2981" spans="1:2" x14ac:dyDescent="0.35">
      <c r="A2981" s="7">
        <v>40596</v>
      </c>
      <c r="B2981">
        <v>1.6686000000000001</v>
      </c>
    </row>
    <row r="2982" spans="1:2" x14ac:dyDescent="0.35">
      <c r="A2982" s="7">
        <v>40595</v>
      </c>
      <c r="B2982">
        <v>1.6658999999999999</v>
      </c>
    </row>
    <row r="2983" spans="1:2" x14ac:dyDescent="0.35">
      <c r="A2983" s="7">
        <v>40592</v>
      </c>
      <c r="B2983">
        <v>1.6669</v>
      </c>
    </row>
    <row r="2984" spans="1:2" x14ac:dyDescent="0.35">
      <c r="A2984" s="7">
        <v>40591</v>
      </c>
      <c r="B2984">
        <v>1.6696</v>
      </c>
    </row>
    <row r="2985" spans="1:2" x14ac:dyDescent="0.35">
      <c r="A2985" s="7">
        <v>40590</v>
      </c>
      <c r="B2985">
        <v>1.6696</v>
      </c>
    </row>
    <row r="2986" spans="1:2" x14ac:dyDescent="0.35">
      <c r="A2986" s="7">
        <v>40589</v>
      </c>
      <c r="B2986">
        <v>1.6674</v>
      </c>
    </row>
    <row r="2987" spans="1:2" x14ac:dyDescent="0.35">
      <c r="A2987" s="7">
        <v>40588</v>
      </c>
      <c r="B2987">
        <v>1.6673</v>
      </c>
    </row>
    <row r="2988" spans="1:2" x14ac:dyDescent="0.35">
      <c r="A2988" s="7">
        <v>40585</v>
      </c>
      <c r="B2988">
        <v>1.6671</v>
      </c>
    </row>
    <row r="2989" spans="1:2" x14ac:dyDescent="0.35">
      <c r="A2989" s="7">
        <v>40584</v>
      </c>
      <c r="B2989">
        <v>1.6672</v>
      </c>
    </row>
    <row r="2990" spans="1:2" x14ac:dyDescent="0.35">
      <c r="A2990" s="7">
        <v>40583</v>
      </c>
      <c r="B2990">
        <v>1.6635</v>
      </c>
    </row>
    <row r="2991" spans="1:2" x14ac:dyDescent="0.35">
      <c r="A2991" s="7">
        <v>40582</v>
      </c>
      <c r="B2991">
        <v>1.6702999999999999</v>
      </c>
    </row>
    <row r="2992" spans="1:2" x14ac:dyDescent="0.35">
      <c r="A2992" s="7">
        <v>40581</v>
      </c>
      <c r="B2992">
        <v>1.6768000000000001</v>
      </c>
    </row>
    <row r="2993" spans="1:2" x14ac:dyDescent="0.35">
      <c r="A2993" s="7">
        <v>40578</v>
      </c>
      <c r="B2993">
        <v>1.673</v>
      </c>
    </row>
    <row r="2994" spans="1:2" x14ac:dyDescent="0.35">
      <c r="A2994" s="7">
        <v>40577</v>
      </c>
      <c r="B2994">
        <v>1.6689000000000001</v>
      </c>
    </row>
    <row r="2995" spans="1:2" x14ac:dyDescent="0.35">
      <c r="A2995" s="7">
        <v>40576</v>
      </c>
      <c r="B2995">
        <v>1.6662999999999999</v>
      </c>
    </row>
    <row r="2996" spans="1:2" x14ac:dyDescent="0.35">
      <c r="A2996" s="7">
        <v>40575</v>
      </c>
      <c r="B2996">
        <v>1.6623000000000001</v>
      </c>
    </row>
    <row r="2997" spans="1:2" x14ac:dyDescent="0.35">
      <c r="A2997" s="7">
        <v>40574</v>
      </c>
      <c r="B2997">
        <v>1.6726000000000001</v>
      </c>
    </row>
    <row r="2998" spans="1:2" x14ac:dyDescent="0.35">
      <c r="A2998" s="7">
        <v>40571</v>
      </c>
      <c r="B2998">
        <v>1.6774</v>
      </c>
    </row>
    <row r="2999" spans="1:2" x14ac:dyDescent="0.35">
      <c r="A2999" s="7">
        <v>40570</v>
      </c>
      <c r="B2999">
        <v>1.6712</v>
      </c>
    </row>
    <row r="3000" spans="1:2" x14ac:dyDescent="0.35">
      <c r="A3000" s="7">
        <v>40569</v>
      </c>
      <c r="B3000">
        <v>1.6684000000000001</v>
      </c>
    </row>
    <row r="3001" spans="1:2" x14ac:dyDescent="0.35">
      <c r="A3001" s="7">
        <v>40568</v>
      </c>
      <c r="B3001">
        <v>1.6737</v>
      </c>
    </row>
    <row r="3002" spans="1:2" x14ac:dyDescent="0.35">
      <c r="A3002" s="7">
        <v>40567</v>
      </c>
      <c r="B3002">
        <v>1.6722999999999999</v>
      </c>
    </row>
    <row r="3003" spans="1:2" x14ac:dyDescent="0.35">
      <c r="A3003" s="7">
        <v>40564</v>
      </c>
      <c r="B3003">
        <v>1.6715</v>
      </c>
    </row>
    <row r="3004" spans="1:2" x14ac:dyDescent="0.35">
      <c r="A3004" s="7">
        <v>40563</v>
      </c>
      <c r="B3004">
        <v>1.6707000000000001</v>
      </c>
    </row>
    <row r="3005" spans="1:2" x14ac:dyDescent="0.35">
      <c r="A3005" s="7">
        <v>40562</v>
      </c>
      <c r="B3005">
        <v>1.6706000000000001</v>
      </c>
    </row>
    <row r="3006" spans="1:2" x14ac:dyDescent="0.35">
      <c r="A3006" s="7">
        <v>40561</v>
      </c>
      <c r="B3006">
        <v>1.6737</v>
      </c>
    </row>
    <row r="3007" spans="1:2" x14ac:dyDescent="0.35">
      <c r="A3007" s="7">
        <v>40560</v>
      </c>
      <c r="B3007">
        <v>1.681</v>
      </c>
    </row>
    <row r="3008" spans="1:2" x14ac:dyDescent="0.35">
      <c r="A3008" s="7">
        <v>40557</v>
      </c>
      <c r="B3008">
        <v>1.6835</v>
      </c>
    </row>
    <row r="3009" spans="1:2" x14ac:dyDescent="0.35">
      <c r="A3009" s="7">
        <v>40556</v>
      </c>
      <c r="B3009">
        <v>1.6693</v>
      </c>
    </row>
    <row r="3010" spans="1:2" x14ac:dyDescent="0.35">
      <c r="A3010" s="7">
        <v>40555</v>
      </c>
      <c r="B3010">
        <v>1.6879</v>
      </c>
    </row>
    <row r="3011" spans="1:2" x14ac:dyDescent="0.35">
      <c r="A3011" s="7">
        <v>40554</v>
      </c>
      <c r="B3011">
        <v>1.6879</v>
      </c>
    </row>
    <row r="3012" spans="1:2" x14ac:dyDescent="0.35">
      <c r="A3012" s="7">
        <v>40553</v>
      </c>
      <c r="B3012">
        <v>1.6903999999999999</v>
      </c>
    </row>
    <row r="3013" spans="1:2" x14ac:dyDescent="0.35">
      <c r="A3013" s="7">
        <v>40550</v>
      </c>
      <c r="B3013">
        <v>1.6853</v>
      </c>
    </row>
    <row r="3014" spans="1:2" x14ac:dyDescent="0.35">
      <c r="A3014" s="7">
        <v>40549</v>
      </c>
      <c r="B3014">
        <v>1.6849000000000001</v>
      </c>
    </row>
    <row r="3015" spans="1:2" x14ac:dyDescent="0.35">
      <c r="A3015" s="7">
        <v>40548</v>
      </c>
      <c r="B3015">
        <v>1.6705000000000001</v>
      </c>
    </row>
    <row r="3016" spans="1:2" x14ac:dyDescent="0.35">
      <c r="A3016" s="7">
        <v>40547</v>
      </c>
      <c r="B3016">
        <v>1.6548</v>
      </c>
    </row>
    <row r="3017" spans="1:2" x14ac:dyDescent="0.35">
      <c r="A3017" s="7">
        <v>40546</v>
      </c>
      <c r="B3017">
        <v>1.6501999999999999</v>
      </c>
    </row>
  </sheetData>
  <autoFilter ref="A1:A2758" xr:uid="{E4B206D3-9F1B-4C5D-9240-54B5AA87FF00}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F8964-E254-4418-B50D-1B5192CA28D9}">
  <dimension ref="A1:AD40"/>
  <sheetViews>
    <sheetView showGridLines="0" workbookViewId="0">
      <pane ySplit="1" topLeftCell="A2" activePane="bottomLeft" state="frozen"/>
      <selection activeCell="M10" sqref="M10"/>
      <selection pane="bottomLeft" activeCell="B1" sqref="B1"/>
    </sheetView>
  </sheetViews>
  <sheetFormatPr defaultRowHeight="14.5" x14ac:dyDescent="0.35"/>
  <cols>
    <col min="1" max="1" width="33.6328125" customWidth="1"/>
    <col min="2" max="12" width="8.7265625" style="5"/>
    <col min="14" max="14" width="11.7265625" bestFit="1" customWidth="1"/>
  </cols>
  <sheetData>
    <row r="1" spans="1:30" x14ac:dyDescent="0.35">
      <c r="A1" t="s">
        <v>652</v>
      </c>
      <c r="B1" s="5">
        <v>2011</v>
      </c>
      <c r="C1" s="5">
        <f>+B1+1</f>
        <v>2012</v>
      </c>
      <c r="D1" s="5">
        <f t="shared" ref="D1:M1" si="0">+C1+1</f>
        <v>2013</v>
      </c>
      <c r="E1" s="5">
        <f t="shared" si="0"/>
        <v>2014</v>
      </c>
      <c r="F1" s="5">
        <f t="shared" si="0"/>
        <v>2015</v>
      </c>
      <c r="G1" s="5">
        <f t="shared" si="0"/>
        <v>2016</v>
      </c>
      <c r="H1" s="5">
        <f t="shared" si="0"/>
        <v>2017</v>
      </c>
      <c r="I1" s="5">
        <f t="shared" si="0"/>
        <v>2018</v>
      </c>
      <c r="J1" s="5">
        <f t="shared" si="0"/>
        <v>2019</v>
      </c>
      <c r="K1" s="5">
        <f t="shared" si="0"/>
        <v>2020</v>
      </c>
      <c r="L1" s="5">
        <f t="shared" si="0"/>
        <v>2021</v>
      </c>
      <c r="M1" s="5">
        <f t="shared" si="0"/>
        <v>2022</v>
      </c>
      <c r="AB1" s="6" t="s">
        <v>653</v>
      </c>
      <c r="AC1" s="6" t="s">
        <v>654</v>
      </c>
      <c r="AD1" s="6" t="s">
        <v>655</v>
      </c>
    </row>
    <row r="2" spans="1:30" x14ac:dyDescent="0.35">
      <c r="A2" t="s">
        <v>24</v>
      </c>
      <c r="B2" s="5" t="s">
        <v>656</v>
      </c>
      <c r="C2" s="5" t="s">
        <v>656</v>
      </c>
      <c r="D2" s="5" t="s">
        <v>656</v>
      </c>
      <c r="E2" s="5" t="s">
        <v>656</v>
      </c>
      <c r="F2" s="5" t="s">
        <v>656</v>
      </c>
      <c r="G2" s="5" t="s">
        <v>656</v>
      </c>
      <c r="H2" s="5" t="s">
        <v>657</v>
      </c>
      <c r="I2" s="5" t="s">
        <v>657</v>
      </c>
      <c r="J2" s="5" t="s">
        <v>657</v>
      </c>
      <c r="K2" s="5" t="s">
        <v>657</v>
      </c>
      <c r="L2" s="5" t="s">
        <v>657</v>
      </c>
      <c r="M2" s="5" t="s">
        <v>657</v>
      </c>
      <c r="AB2" t="s">
        <v>658</v>
      </c>
      <c r="AC2" t="s">
        <v>659</v>
      </c>
      <c r="AD2" t="s">
        <v>658</v>
      </c>
    </row>
    <row r="3" spans="1:30" x14ac:dyDescent="0.35">
      <c r="A3" t="s">
        <v>39</v>
      </c>
      <c r="B3" s="5" t="s">
        <v>656</v>
      </c>
      <c r="C3" s="5" t="s">
        <v>656</v>
      </c>
      <c r="D3" s="5" t="s">
        <v>656</v>
      </c>
      <c r="E3" s="5" t="s">
        <v>656</v>
      </c>
      <c r="F3" s="5" t="s">
        <v>656</v>
      </c>
      <c r="G3" s="5" t="s">
        <v>656</v>
      </c>
      <c r="H3" s="5" t="s">
        <v>657</v>
      </c>
      <c r="I3" s="5" t="s">
        <v>657</v>
      </c>
      <c r="J3" s="5" t="s">
        <v>657</v>
      </c>
      <c r="K3" s="5" t="s">
        <v>657</v>
      </c>
      <c r="L3" s="5" t="s">
        <v>657</v>
      </c>
      <c r="M3" s="5" t="s">
        <v>657</v>
      </c>
      <c r="AB3" t="s">
        <v>660</v>
      </c>
      <c r="AC3" t="s">
        <v>661</v>
      </c>
      <c r="AD3" t="s">
        <v>660</v>
      </c>
    </row>
    <row r="4" spans="1:30" x14ac:dyDescent="0.35">
      <c r="A4" t="s">
        <v>78</v>
      </c>
      <c r="B4" s="5" t="s">
        <v>662</v>
      </c>
      <c r="C4" s="5" t="s">
        <v>662</v>
      </c>
      <c r="D4" s="5" t="s">
        <v>662</v>
      </c>
      <c r="E4" s="5" t="s">
        <v>662</v>
      </c>
      <c r="F4" s="5" t="s">
        <v>663</v>
      </c>
      <c r="G4" s="5" t="s">
        <v>664</v>
      </c>
      <c r="H4" s="5" t="s">
        <v>664</v>
      </c>
      <c r="I4" s="5" t="s">
        <v>665</v>
      </c>
      <c r="J4" s="5" t="s">
        <v>665</v>
      </c>
      <c r="K4" s="5" t="s">
        <v>665</v>
      </c>
      <c r="L4" s="5" t="s">
        <v>666</v>
      </c>
      <c r="M4" s="5" t="s">
        <v>666</v>
      </c>
      <c r="AB4" t="s">
        <v>667</v>
      </c>
      <c r="AC4" t="s">
        <v>668</v>
      </c>
      <c r="AD4" t="s">
        <v>667</v>
      </c>
    </row>
    <row r="5" spans="1:30" x14ac:dyDescent="0.35">
      <c r="A5" t="s">
        <v>96</v>
      </c>
      <c r="B5" s="5" t="s">
        <v>656</v>
      </c>
      <c r="C5" s="5" t="s">
        <v>656</v>
      </c>
      <c r="D5" s="5" t="s">
        <v>656</v>
      </c>
      <c r="E5" s="5" t="s">
        <v>656</v>
      </c>
      <c r="F5" s="5" t="s">
        <v>656</v>
      </c>
      <c r="G5" s="5" t="s">
        <v>656</v>
      </c>
      <c r="H5" s="5" t="s">
        <v>656</v>
      </c>
      <c r="I5" s="5" t="s">
        <v>656</v>
      </c>
      <c r="J5" s="5" t="s">
        <v>669</v>
      </c>
      <c r="K5" s="5" t="s">
        <v>664</v>
      </c>
      <c r="L5" s="5" t="s">
        <v>670</v>
      </c>
      <c r="M5" s="5" t="s">
        <v>665</v>
      </c>
      <c r="AB5" t="s">
        <v>671</v>
      </c>
      <c r="AC5" t="s">
        <v>672</v>
      </c>
      <c r="AD5" t="s">
        <v>671</v>
      </c>
    </row>
    <row r="6" spans="1:30" x14ac:dyDescent="0.35">
      <c r="A6" t="s">
        <v>53</v>
      </c>
      <c r="B6" s="5" t="s">
        <v>656</v>
      </c>
      <c r="C6" s="5" t="s">
        <v>656</v>
      </c>
      <c r="D6" s="5" t="s">
        <v>656</v>
      </c>
      <c r="E6" s="5" t="s">
        <v>656</v>
      </c>
      <c r="F6" s="5" t="s">
        <v>656</v>
      </c>
      <c r="G6" s="5" t="s">
        <v>656</v>
      </c>
      <c r="H6" s="5" t="s">
        <v>656</v>
      </c>
      <c r="I6" s="5" t="s">
        <v>656</v>
      </c>
      <c r="J6" s="5" t="s">
        <v>656</v>
      </c>
      <c r="K6" s="5" t="s">
        <v>657</v>
      </c>
      <c r="L6" s="5" t="s">
        <v>657</v>
      </c>
      <c r="M6" s="5" t="s">
        <v>657</v>
      </c>
      <c r="AB6" t="s">
        <v>673</v>
      </c>
      <c r="AC6" t="s">
        <v>674</v>
      </c>
      <c r="AD6" t="s">
        <v>673</v>
      </c>
    </row>
    <row r="7" spans="1:30" x14ac:dyDescent="0.35">
      <c r="A7" t="s">
        <v>110</v>
      </c>
      <c r="B7" s="5" t="s">
        <v>663</v>
      </c>
      <c r="C7" s="5" t="s">
        <v>662</v>
      </c>
      <c r="D7" s="5" t="s">
        <v>662</v>
      </c>
      <c r="E7" s="5" t="s">
        <v>662</v>
      </c>
      <c r="F7" s="5" t="s">
        <v>662</v>
      </c>
      <c r="G7" s="5" t="s">
        <v>662</v>
      </c>
      <c r="H7" s="5" t="s">
        <v>662</v>
      </c>
      <c r="I7" s="5" t="s">
        <v>662</v>
      </c>
      <c r="J7" s="5" t="s">
        <v>662</v>
      </c>
      <c r="K7" s="5" t="s">
        <v>663</v>
      </c>
      <c r="L7" s="5" t="s">
        <v>663</v>
      </c>
      <c r="M7" s="5" t="s">
        <v>662</v>
      </c>
      <c r="AB7" t="s">
        <v>675</v>
      </c>
      <c r="AC7" t="s">
        <v>676</v>
      </c>
      <c r="AD7" t="s">
        <v>675</v>
      </c>
    </row>
    <row r="8" spans="1:30" x14ac:dyDescent="0.35">
      <c r="A8" t="s">
        <v>124</v>
      </c>
      <c r="B8" s="5" t="s">
        <v>662</v>
      </c>
      <c r="C8" s="5" t="s">
        <v>662</v>
      </c>
      <c r="D8" s="5" t="s">
        <v>662</v>
      </c>
      <c r="E8" s="5" t="s">
        <v>662</v>
      </c>
      <c r="F8" s="5" t="s">
        <v>677</v>
      </c>
      <c r="G8" s="5" t="s">
        <v>677</v>
      </c>
      <c r="H8" s="5" t="s">
        <v>677</v>
      </c>
      <c r="I8" s="5" t="s">
        <v>662</v>
      </c>
      <c r="J8" s="5" t="s">
        <v>657</v>
      </c>
      <c r="K8" s="5" t="s">
        <v>657</v>
      </c>
      <c r="L8" s="5" t="s">
        <v>657</v>
      </c>
      <c r="M8" s="5" t="s">
        <v>669</v>
      </c>
      <c r="AB8" t="s">
        <v>662</v>
      </c>
      <c r="AC8" t="s">
        <v>678</v>
      </c>
      <c r="AD8" t="s">
        <v>662</v>
      </c>
    </row>
    <row r="9" spans="1:30" x14ac:dyDescent="0.35">
      <c r="A9" t="s">
        <v>137</v>
      </c>
      <c r="B9" s="5" t="s">
        <v>656</v>
      </c>
      <c r="C9" s="5" t="s">
        <v>656</v>
      </c>
      <c r="D9" s="5" t="s">
        <v>656</v>
      </c>
      <c r="E9" s="5" t="s">
        <v>656</v>
      </c>
      <c r="F9" s="5" t="s">
        <v>656</v>
      </c>
      <c r="G9" s="5" t="s">
        <v>656</v>
      </c>
      <c r="H9" s="5" t="s">
        <v>679</v>
      </c>
      <c r="I9" s="5" t="s">
        <v>680</v>
      </c>
      <c r="J9" s="5" t="s">
        <v>679</v>
      </c>
      <c r="K9" s="5" t="s">
        <v>669</v>
      </c>
      <c r="L9" s="5" t="s">
        <v>669</v>
      </c>
      <c r="M9" s="5" t="s">
        <v>669</v>
      </c>
      <c r="AB9" t="s">
        <v>663</v>
      </c>
      <c r="AC9" t="s">
        <v>681</v>
      </c>
      <c r="AD9" t="s">
        <v>663</v>
      </c>
    </row>
    <row r="10" spans="1:30" x14ac:dyDescent="0.35">
      <c r="A10" t="s">
        <v>208</v>
      </c>
      <c r="B10" s="5" t="s">
        <v>677</v>
      </c>
      <c r="C10" s="5" t="s">
        <v>677</v>
      </c>
      <c r="D10" s="5" t="s">
        <v>657</v>
      </c>
      <c r="E10" s="5" t="s">
        <v>657</v>
      </c>
      <c r="F10" s="5" t="s">
        <v>657</v>
      </c>
      <c r="G10" s="5" t="s">
        <v>669</v>
      </c>
      <c r="H10" s="5" t="s">
        <v>669</v>
      </c>
      <c r="I10" s="5" t="s">
        <v>679</v>
      </c>
      <c r="J10" s="5" t="s">
        <v>669</v>
      </c>
      <c r="K10" s="5" t="s">
        <v>669</v>
      </c>
      <c r="L10" s="5" t="s">
        <v>669</v>
      </c>
      <c r="M10" s="5" t="s">
        <v>669</v>
      </c>
      <c r="AB10" t="s">
        <v>657</v>
      </c>
      <c r="AC10" t="s">
        <v>682</v>
      </c>
      <c r="AD10" t="s">
        <v>657</v>
      </c>
    </row>
    <row r="11" spans="1:30" x14ac:dyDescent="0.35">
      <c r="A11" t="s">
        <v>162</v>
      </c>
      <c r="B11" s="5" t="s">
        <v>662</v>
      </c>
      <c r="C11" s="5" t="s">
        <v>677</v>
      </c>
      <c r="D11" s="5" t="s">
        <v>677</v>
      </c>
      <c r="E11" s="5" t="s">
        <v>677</v>
      </c>
      <c r="F11" s="5" t="s">
        <v>656</v>
      </c>
      <c r="G11" s="5" t="s">
        <v>656</v>
      </c>
      <c r="H11" s="5" t="s">
        <v>656</v>
      </c>
      <c r="I11" s="5" t="s">
        <v>656</v>
      </c>
      <c r="J11" s="5" t="s">
        <v>656</v>
      </c>
      <c r="K11" s="5" t="s">
        <v>656</v>
      </c>
      <c r="L11" s="5" t="s">
        <v>656</v>
      </c>
      <c r="M11" s="5" t="s">
        <v>656</v>
      </c>
      <c r="AB11" t="s">
        <v>669</v>
      </c>
      <c r="AC11" t="s">
        <v>683</v>
      </c>
      <c r="AD11" t="s">
        <v>669</v>
      </c>
    </row>
    <row r="12" spans="1:30" x14ac:dyDescent="0.35">
      <c r="A12" t="s">
        <v>167</v>
      </c>
      <c r="B12" s="5" t="s">
        <v>656</v>
      </c>
      <c r="C12" s="5" t="s">
        <v>684</v>
      </c>
      <c r="D12" s="5" t="s">
        <v>684</v>
      </c>
      <c r="E12" s="5" t="s">
        <v>684</v>
      </c>
      <c r="F12" s="5" t="s">
        <v>684</v>
      </c>
      <c r="G12" s="5" t="s">
        <v>662</v>
      </c>
      <c r="H12" s="5" t="s">
        <v>663</v>
      </c>
      <c r="I12" s="5" t="s">
        <v>663</v>
      </c>
      <c r="J12" s="5" t="s">
        <v>663</v>
      </c>
      <c r="K12" s="5" t="s">
        <v>657</v>
      </c>
      <c r="L12" s="5" t="s">
        <v>657</v>
      </c>
      <c r="M12" s="5" t="s">
        <v>657</v>
      </c>
      <c r="AB12" t="s">
        <v>679</v>
      </c>
      <c r="AC12" t="s">
        <v>685</v>
      </c>
      <c r="AD12" t="s">
        <v>679</v>
      </c>
    </row>
    <row r="13" spans="1:30" x14ac:dyDescent="0.35">
      <c r="A13" t="s">
        <v>174</v>
      </c>
      <c r="B13" s="5" t="s">
        <v>657</v>
      </c>
      <c r="C13" s="5" t="s">
        <v>663</v>
      </c>
      <c r="D13" s="5" t="s">
        <v>663</v>
      </c>
      <c r="E13" s="5" t="s">
        <v>663</v>
      </c>
      <c r="F13" s="5" t="s">
        <v>663</v>
      </c>
      <c r="G13" s="5" t="s">
        <v>663</v>
      </c>
      <c r="H13" s="5" t="s">
        <v>663</v>
      </c>
      <c r="I13" s="5" t="s">
        <v>657</v>
      </c>
      <c r="J13" s="5" t="s">
        <v>657</v>
      </c>
      <c r="K13" s="5" t="s">
        <v>657</v>
      </c>
      <c r="L13" s="5" t="s">
        <v>657</v>
      </c>
      <c r="M13" s="5" t="s">
        <v>657</v>
      </c>
      <c r="AB13" t="s">
        <v>664</v>
      </c>
      <c r="AC13" t="s">
        <v>686</v>
      </c>
      <c r="AD13" t="s">
        <v>664</v>
      </c>
    </row>
    <row r="14" spans="1:30" x14ac:dyDescent="0.35">
      <c r="A14" t="s">
        <v>190</v>
      </c>
      <c r="B14" s="5" t="s">
        <v>662</v>
      </c>
      <c r="C14" s="5" t="s">
        <v>662</v>
      </c>
      <c r="D14" s="5" t="s">
        <v>663</v>
      </c>
      <c r="E14" s="5" t="s">
        <v>663</v>
      </c>
      <c r="F14" s="5" t="s">
        <v>657</v>
      </c>
      <c r="G14" s="5" t="s">
        <v>664</v>
      </c>
      <c r="H14" s="5" t="s">
        <v>664</v>
      </c>
      <c r="I14" s="5" t="s">
        <v>664</v>
      </c>
      <c r="J14" s="5" t="s">
        <v>680</v>
      </c>
      <c r="K14" s="5" t="s">
        <v>680</v>
      </c>
      <c r="L14" s="5" t="s">
        <v>657</v>
      </c>
      <c r="M14" s="5" t="s">
        <v>657</v>
      </c>
      <c r="AB14" t="s">
        <v>687</v>
      </c>
      <c r="AC14" t="s">
        <v>688</v>
      </c>
      <c r="AD14" t="s">
        <v>665</v>
      </c>
    </row>
    <row r="15" spans="1:30" x14ac:dyDescent="0.35">
      <c r="A15" t="s">
        <v>202</v>
      </c>
      <c r="B15" s="5" t="s">
        <v>656</v>
      </c>
      <c r="C15" s="5" t="s">
        <v>656</v>
      </c>
      <c r="D15" s="5" t="s">
        <v>656</v>
      </c>
      <c r="E15" s="5" t="s">
        <v>656</v>
      </c>
      <c r="F15" s="5" t="s">
        <v>656</v>
      </c>
      <c r="G15" s="5" t="s">
        <v>679</v>
      </c>
      <c r="H15" s="5" t="s">
        <v>680</v>
      </c>
      <c r="I15" s="5" t="s">
        <v>680</v>
      </c>
      <c r="J15" s="5" t="s">
        <v>669</v>
      </c>
      <c r="K15" s="5" t="s">
        <v>669</v>
      </c>
      <c r="L15" s="5" t="s">
        <v>669</v>
      </c>
      <c r="M15" s="5" t="s">
        <v>669</v>
      </c>
      <c r="AB15" t="s">
        <v>689</v>
      </c>
      <c r="AC15" t="s">
        <v>687</v>
      </c>
      <c r="AD15" t="s">
        <v>687</v>
      </c>
    </row>
    <row r="16" spans="1:30" x14ac:dyDescent="0.35">
      <c r="A16" t="s">
        <v>221</v>
      </c>
      <c r="B16" s="5" t="s">
        <v>680</v>
      </c>
      <c r="C16" s="5" t="s">
        <v>689</v>
      </c>
      <c r="D16" s="5" t="s">
        <v>664</v>
      </c>
      <c r="E16" s="5" t="s">
        <v>664</v>
      </c>
      <c r="F16" s="5" t="s">
        <v>656</v>
      </c>
      <c r="G16" s="5" t="s">
        <v>656</v>
      </c>
      <c r="H16" s="5" t="s">
        <v>656</v>
      </c>
      <c r="I16" s="5" t="s">
        <v>656</v>
      </c>
      <c r="J16" s="5" t="s">
        <v>656</v>
      </c>
      <c r="K16" s="5" t="s">
        <v>656</v>
      </c>
      <c r="L16" s="5" t="s">
        <v>656</v>
      </c>
      <c r="M16" s="5" t="s">
        <v>656</v>
      </c>
      <c r="AB16" t="s">
        <v>690</v>
      </c>
      <c r="AC16" t="s">
        <v>691</v>
      </c>
      <c r="AD16" t="s">
        <v>29</v>
      </c>
    </row>
    <row r="17" spans="1:30" x14ac:dyDescent="0.35">
      <c r="A17" t="s">
        <v>228</v>
      </c>
      <c r="B17" s="5" t="s">
        <v>662</v>
      </c>
      <c r="C17" s="5" t="s">
        <v>662</v>
      </c>
      <c r="D17" s="5" t="s">
        <v>662</v>
      </c>
      <c r="E17" s="5" t="s">
        <v>662</v>
      </c>
      <c r="F17" s="5" t="s">
        <v>662</v>
      </c>
      <c r="G17" s="5" t="s">
        <v>662</v>
      </c>
      <c r="H17" s="5" t="s">
        <v>662</v>
      </c>
      <c r="I17" s="5" t="s">
        <v>662</v>
      </c>
      <c r="J17" s="5" t="s">
        <v>662</v>
      </c>
      <c r="K17" s="5" t="s">
        <v>662</v>
      </c>
      <c r="L17" s="5" t="s">
        <v>662</v>
      </c>
      <c r="M17" s="5" t="s">
        <v>677</v>
      </c>
      <c r="AB17" t="s">
        <v>692</v>
      </c>
      <c r="AC17" t="s">
        <v>29</v>
      </c>
      <c r="AD17" t="s">
        <v>29</v>
      </c>
    </row>
    <row r="18" spans="1:30" x14ac:dyDescent="0.35">
      <c r="A18" t="s">
        <v>242</v>
      </c>
      <c r="B18" s="5" t="s">
        <v>669</v>
      </c>
      <c r="C18" s="5" t="s">
        <v>679</v>
      </c>
      <c r="D18" s="5" t="s">
        <v>664</v>
      </c>
      <c r="E18" s="5" t="s">
        <v>664</v>
      </c>
      <c r="F18" s="5" t="s">
        <v>664</v>
      </c>
      <c r="G18" s="5" t="s">
        <v>693</v>
      </c>
      <c r="H18" s="5" t="s">
        <v>694</v>
      </c>
      <c r="I18" s="5" t="s">
        <v>680</v>
      </c>
      <c r="J18" s="5" t="s">
        <v>679</v>
      </c>
      <c r="K18" s="5" t="s">
        <v>680</v>
      </c>
      <c r="L18" s="5" t="s">
        <v>670</v>
      </c>
      <c r="M18" s="5" t="s">
        <v>664</v>
      </c>
    </row>
    <row r="19" spans="1:30" x14ac:dyDescent="0.35">
      <c r="A19" t="s">
        <v>256</v>
      </c>
      <c r="B19" s="5" t="s">
        <v>656</v>
      </c>
      <c r="C19" s="5" t="s">
        <v>656</v>
      </c>
      <c r="D19" s="5" t="s">
        <v>656</v>
      </c>
      <c r="E19" s="5" t="s">
        <v>656</v>
      </c>
      <c r="F19" s="5" t="s">
        <v>656</v>
      </c>
      <c r="G19" s="5" t="s">
        <v>656</v>
      </c>
      <c r="H19" s="5" t="s">
        <v>656</v>
      </c>
      <c r="I19" s="5" t="s">
        <v>657</v>
      </c>
      <c r="J19" s="5" t="s">
        <v>657</v>
      </c>
      <c r="K19" s="5" t="s">
        <v>657</v>
      </c>
      <c r="L19" s="5" t="s">
        <v>657</v>
      </c>
      <c r="M19" s="5" t="s">
        <v>669</v>
      </c>
    </row>
    <row r="20" spans="1:30" x14ac:dyDescent="0.35">
      <c r="A20" t="s">
        <v>263</v>
      </c>
      <c r="B20" s="5" t="s">
        <v>669</v>
      </c>
      <c r="C20" s="5" t="s">
        <v>669</v>
      </c>
      <c r="D20" s="5" t="s">
        <v>669</v>
      </c>
      <c r="E20" s="5" t="s">
        <v>657</v>
      </c>
      <c r="F20" s="5" t="s">
        <v>657</v>
      </c>
      <c r="G20" s="5" t="s">
        <v>663</v>
      </c>
      <c r="H20" s="5" t="s">
        <v>663</v>
      </c>
      <c r="I20" s="5" t="s">
        <v>663</v>
      </c>
      <c r="J20" s="5" t="s">
        <v>663</v>
      </c>
      <c r="K20" s="5" t="s">
        <v>663</v>
      </c>
      <c r="L20" s="5" t="s">
        <v>663</v>
      </c>
      <c r="M20" s="5" t="s">
        <v>663</v>
      </c>
    </row>
    <row r="21" spans="1:30" x14ac:dyDescent="0.35">
      <c r="A21" t="s">
        <v>277</v>
      </c>
      <c r="B21" s="5" t="s">
        <v>656</v>
      </c>
      <c r="C21" s="5" t="s">
        <v>656</v>
      </c>
      <c r="D21" s="5" t="s">
        <v>656</v>
      </c>
      <c r="E21" s="5" t="s">
        <v>657</v>
      </c>
      <c r="F21" s="5" t="s">
        <v>657</v>
      </c>
      <c r="G21" s="5" t="s">
        <v>669</v>
      </c>
      <c r="H21" s="5" t="s">
        <v>679</v>
      </c>
      <c r="I21" s="5" t="s">
        <v>669</v>
      </c>
      <c r="J21" s="5" t="s">
        <v>680</v>
      </c>
      <c r="K21" s="5" t="s">
        <v>687</v>
      </c>
      <c r="L21" s="5" t="s">
        <v>694</v>
      </c>
      <c r="M21" s="5" t="s">
        <v>664</v>
      </c>
    </row>
    <row r="22" spans="1:30" x14ac:dyDescent="0.35">
      <c r="A22" t="s">
        <v>312</v>
      </c>
      <c r="B22" s="5" t="s">
        <v>656</v>
      </c>
      <c r="C22" s="5" t="s">
        <v>656</v>
      </c>
      <c r="D22" s="5" t="s">
        <v>656</v>
      </c>
      <c r="E22" s="5" t="s">
        <v>656</v>
      </c>
      <c r="F22" s="5" t="s">
        <v>656</v>
      </c>
      <c r="G22" s="5" t="s">
        <v>656</v>
      </c>
      <c r="H22" s="5" t="s">
        <v>656</v>
      </c>
      <c r="I22" s="5" t="s">
        <v>656</v>
      </c>
      <c r="J22" s="5" t="s">
        <v>656</v>
      </c>
      <c r="K22" s="5" t="s">
        <v>656</v>
      </c>
      <c r="L22" s="5" t="s">
        <v>669</v>
      </c>
      <c r="M22" s="5" t="s">
        <v>669</v>
      </c>
    </row>
    <row r="23" spans="1:30" x14ac:dyDescent="0.35">
      <c r="A23" t="s">
        <v>323</v>
      </c>
      <c r="B23" s="5" t="s">
        <v>656</v>
      </c>
      <c r="C23" s="5" t="s">
        <v>662</v>
      </c>
      <c r="D23" s="5" t="s">
        <v>662</v>
      </c>
      <c r="E23" s="5" t="s">
        <v>662</v>
      </c>
      <c r="F23" s="5" t="s">
        <v>662</v>
      </c>
      <c r="G23" s="5" t="s">
        <v>662</v>
      </c>
      <c r="H23" s="5" t="s">
        <v>663</v>
      </c>
      <c r="I23" s="5" t="s">
        <v>663</v>
      </c>
      <c r="J23" s="5" t="s">
        <v>663</v>
      </c>
      <c r="K23" s="5" t="s">
        <v>663</v>
      </c>
      <c r="L23" s="5" t="s">
        <v>663</v>
      </c>
      <c r="M23" s="5" t="s">
        <v>663</v>
      </c>
    </row>
    <row r="24" spans="1:30" x14ac:dyDescent="0.35">
      <c r="A24" t="s">
        <v>332</v>
      </c>
      <c r="B24" s="5" t="s">
        <v>656</v>
      </c>
      <c r="C24" s="5" t="s">
        <v>656</v>
      </c>
      <c r="D24" s="5" t="s">
        <v>656</v>
      </c>
      <c r="E24" s="5" t="s">
        <v>656</v>
      </c>
      <c r="F24" s="5" t="s">
        <v>656</v>
      </c>
      <c r="G24" s="5" t="s">
        <v>656</v>
      </c>
      <c r="H24" s="5" t="s">
        <v>656</v>
      </c>
      <c r="I24" s="5" t="s">
        <v>669</v>
      </c>
      <c r="J24" s="5" t="s">
        <v>669</v>
      </c>
      <c r="K24" s="5" t="s">
        <v>669</v>
      </c>
      <c r="L24" s="5" t="s">
        <v>669</v>
      </c>
      <c r="M24" s="5" t="s">
        <v>669</v>
      </c>
    </row>
    <row r="25" spans="1:30" x14ac:dyDescent="0.35">
      <c r="A25" t="s">
        <v>370</v>
      </c>
      <c r="B25" s="5" t="s">
        <v>679</v>
      </c>
      <c r="C25" s="5" t="s">
        <v>679</v>
      </c>
      <c r="D25" s="5" t="s">
        <v>680</v>
      </c>
      <c r="E25" s="5" t="s">
        <v>680</v>
      </c>
      <c r="F25" s="5" t="s">
        <v>679</v>
      </c>
      <c r="G25" s="5" t="s">
        <v>679</v>
      </c>
      <c r="H25" s="5" t="s">
        <v>669</v>
      </c>
      <c r="I25" s="5" t="s">
        <v>669</v>
      </c>
      <c r="J25" s="5" t="s">
        <v>669</v>
      </c>
      <c r="K25" s="5" t="s">
        <v>669</v>
      </c>
      <c r="L25" s="5" t="s">
        <v>657</v>
      </c>
      <c r="M25" s="5" t="s">
        <v>657</v>
      </c>
    </row>
    <row r="26" spans="1:30" x14ac:dyDescent="0.35">
      <c r="A26" t="s">
        <v>387</v>
      </c>
      <c r="B26" s="5" t="s">
        <v>679</v>
      </c>
      <c r="C26" s="5" t="s">
        <v>679</v>
      </c>
      <c r="D26" s="5" t="s">
        <v>679</v>
      </c>
      <c r="E26" s="5" t="s">
        <v>669</v>
      </c>
      <c r="F26" s="5" t="s">
        <v>669</v>
      </c>
      <c r="G26" s="5" t="s">
        <v>669</v>
      </c>
      <c r="H26" s="5" t="s">
        <v>669</v>
      </c>
      <c r="I26" s="5" t="s">
        <v>669</v>
      </c>
      <c r="J26" s="5" t="s">
        <v>669</v>
      </c>
      <c r="K26" s="5" t="s">
        <v>669</v>
      </c>
      <c r="L26" s="5" t="s">
        <v>657</v>
      </c>
      <c r="M26" s="5" t="s">
        <v>657</v>
      </c>
    </row>
    <row r="27" spans="1:30" x14ac:dyDescent="0.35">
      <c r="A27" t="s">
        <v>398</v>
      </c>
      <c r="B27" s="5" t="s">
        <v>656</v>
      </c>
      <c r="C27" s="5" t="s">
        <v>656</v>
      </c>
      <c r="D27" s="5" t="s">
        <v>656</v>
      </c>
      <c r="E27" s="5" t="s">
        <v>656</v>
      </c>
      <c r="F27" s="5" t="s">
        <v>656</v>
      </c>
      <c r="G27" s="5" t="s">
        <v>656</v>
      </c>
      <c r="H27" s="5" t="s">
        <v>656</v>
      </c>
      <c r="I27" s="5" t="s">
        <v>656</v>
      </c>
      <c r="J27" s="5" t="s">
        <v>656</v>
      </c>
      <c r="K27" s="5" t="s">
        <v>656</v>
      </c>
      <c r="L27" s="5" t="s">
        <v>669</v>
      </c>
      <c r="M27" s="5" t="s">
        <v>657</v>
      </c>
    </row>
    <row r="28" spans="1:30" x14ac:dyDescent="0.35">
      <c r="A28" t="s">
        <v>431</v>
      </c>
      <c r="B28" s="5" t="s">
        <v>677</v>
      </c>
      <c r="C28" s="5" t="s">
        <v>677</v>
      </c>
      <c r="D28" s="5" t="s">
        <v>677</v>
      </c>
      <c r="E28" s="5" t="s">
        <v>677</v>
      </c>
      <c r="F28" s="5" t="s">
        <v>677</v>
      </c>
      <c r="G28" s="5" t="s">
        <v>656</v>
      </c>
      <c r="H28" s="5" t="s">
        <v>656</v>
      </c>
      <c r="I28" s="5" t="s">
        <v>657</v>
      </c>
      <c r="J28" s="5" t="s">
        <v>657</v>
      </c>
      <c r="K28" s="5" t="s">
        <v>657</v>
      </c>
      <c r="L28" s="5" t="s">
        <v>657</v>
      </c>
      <c r="M28" s="5" t="s">
        <v>657</v>
      </c>
    </row>
    <row r="29" spans="1:30" x14ac:dyDescent="0.35">
      <c r="A29" t="s">
        <v>452</v>
      </c>
      <c r="B29" s="5" t="s">
        <v>677</v>
      </c>
      <c r="C29" s="5" t="s">
        <v>677</v>
      </c>
      <c r="D29" s="5" t="s">
        <v>662</v>
      </c>
      <c r="E29" s="5" t="s">
        <v>663</v>
      </c>
      <c r="F29" s="5" t="s">
        <v>657</v>
      </c>
      <c r="G29" s="5" t="s">
        <v>689</v>
      </c>
      <c r="H29" s="5" t="s">
        <v>689</v>
      </c>
      <c r="I29" s="5" t="s">
        <v>689</v>
      </c>
      <c r="J29" s="5" t="s">
        <v>664</v>
      </c>
      <c r="K29" s="5" t="s">
        <v>670</v>
      </c>
      <c r="L29" s="5" t="s">
        <v>670</v>
      </c>
      <c r="M29" s="5" t="s">
        <v>670</v>
      </c>
    </row>
    <row r="30" spans="1:30" x14ac:dyDescent="0.35">
      <c r="A30" t="s">
        <v>463</v>
      </c>
      <c r="B30" s="5" t="s">
        <v>677</v>
      </c>
      <c r="C30" s="5" t="s">
        <v>677</v>
      </c>
      <c r="D30" s="5" t="s">
        <v>677</v>
      </c>
      <c r="E30" s="5" t="s">
        <v>677</v>
      </c>
      <c r="F30" s="5" t="s">
        <v>662</v>
      </c>
      <c r="G30" s="5" t="s">
        <v>657</v>
      </c>
      <c r="H30" s="5" t="s">
        <v>657</v>
      </c>
      <c r="I30" s="5" t="s">
        <v>669</v>
      </c>
      <c r="J30" s="5" t="s">
        <v>669</v>
      </c>
      <c r="K30" s="5" t="s">
        <v>669</v>
      </c>
      <c r="L30" s="5" t="s">
        <v>669</v>
      </c>
      <c r="M30" s="5" t="s">
        <v>669</v>
      </c>
    </row>
    <row r="31" spans="1:30" x14ac:dyDescent="0.35">
      <c r="A31" t="s">
        <v>499</v>
      </c>
      <c r="B31" s="5" t="s">
        <v>656</v>
      </c>
      <c r="C31" s="5" t="s">
        <v>656</v>
      </c>
      <c r="D31" s="5" t="s">
        <v>656</v>
      </c>
      <c r="E31" s="5" t="s">
        <v>656</v>
      </c>
      <c r="F31" s="5" t="s">
        <v>656</v>
      </c>
      <c r="G31" s="5" t="s">
        <v>656</v>
      </c>
      <c r="H31" s="5" t="s">
        <v>656</v>
      </c>
      <c r="I31" s="5" t="s">
        <v>656</v>
      </c>
      <c r="J31" s="5" t="s">
        <v>656</v>
      </c>
      <c r="K31" s="5" t="s">
        <v>656</v>
      </c>
      <c r="L31" s="5" t="s">
        <v>656</v>
      </c>
      <c r="M31" s="5" t="s">
        <v>656</v>
      </c>
    </row>
    <row r="32" spans="1:30" x14ac:dyDescent="0.35">
      <c r="A32" t="s">
        <v>516</v>
      </c>
      <c r="B32" s="5" t="s">
        <v>663</v>
      </c>
      <c r="C32" s="5" t="s">
        <v>677</v>
      </c>
      <c r="D32" s="5" t="s">
        <v>677</v>
      </c>
      <c r="E32" s="5" t="s">
        <v>677</v>
      </c>
      <c r="F32" s="5" t="s">
        <v>677</v>
      </c>
      <c r="G32" s="5" t="s">
        <v>677</v>
      </c>
      <c r="H32" s="5" t="s">
        <v>677</v>
      </c>
      <c r="I32" s="5" t="s">
        <v>677</v>
      </c>
      <c r="J32" s="5" t="s">
        <v>677</v>
      </c>
      <c r="K32" s="5" t="s">
        <v>677</v>
      </c>
      <c r="L32" s="5" t="s">
        <v>677</v>
      </c>
      <c r="M32" s="5" t="s">
        <v>677</v>
      </c>
    </row>
    <row r="33" spans="1:13" x14ac:dyDescent="0.35">
      <c r="A33" t="s">
        <v>524</v>
      </c>
      <c r="B33" s="5" t="s">
        <v>656</v>
      </c>
      <c r="C33" s="5" t="s">
        <v>656</v>
      </c>
      <c r="D33" s="5" t="s">
        <v>656</v>
      </c>
      <c r="E33" s="5" t="s">
        <v>656</v>
      </c>
      <c r="F33" s="5" t="s">
        <v>663</v>
      </c>
      <c r="G33" s="5" t="s">
        <v>663</v>
      </c>
      <c r="H33" s="5" t="s">
        <v>663</v>
      </c>
      <c r="I33" s="5" t="s">
        <v>657</v>
      </c>
      <c r="J33" s="5" t="s">
        <v>657</v>
      </c>
      <c r="K33" s="5" t="s">
        <v>657</v>
      </c>
      <c r="L33" s="5" t="s">
        <v>657</v>
      </c>
      <c r="M33" s="5" t="s">
        <v>657</v>
      </c>
    </row>
    <row r="34" spans="1:13" x14ac:dyDescent="0.35">
      <c r="A34" t="s">
        <v>548</v>
      </c>
      <c r="B34" s="5" t="s">
        <v>669</v>
      </c>
      <c r="C34" s="5" t="s">
        <v>669</v>
      </c>
      <c r="D34" s="5" t="s">
        <v>669</v>
      </c>
      <c r="E34" s="5" t="s">
        <v>669</v>
      </c>
      <c r="F34" s="5" t="s">
        <v>669</v>
      </c>
      <c r="G34" s="5" t="s">
        <v>669</v>
      </c>
      <c r="H34" s="5" t="s">
        <v>669</v>
      </c>
      <c r="I34" s="5" t="s">
        <v>657</v>
      </c>
      <c r="J34" s="5" t="s">
        <v>657</v>
      </c>
      <c r="K34" s="5" t="s">
        <v>657</v>
      </c>
      <c r="L34" s="5" t="s">
        <v>657</v>
      </c>
      <c r="M34" s="5" t="s">
        <v>657</v>
      </c>
    </row>
    <row r="35" spans="1:13" x14ac:dyDescent="0.35">
      <c r="A35" t="s">
        <v>566</v>
      </c>
      <c r="B35" s="5" t="s">
        <v>669</v>
      </c>
      <c r="C35" s="5" t="s">
        <v>657</v>
      </c>
      <c r="D35" s="5" t="s">
        <v>657</v>
      </c>
      <c r="E35" s="5" t="s">
        <v>657</v>
      </c>
      <c r="F35" s="5" t="s">
        <v>657</v>
      </c>
      <c r="G35" s="5" t="s">
        <v>657</v>
      </c>
      <c r="H35" s="5" t="s">
        <v>657</v>
      </c>
      <c r="I35" s="5" t="s">
        <v>657</v>
      </c>
      <c r="J35" s="5" t="s">
        <v>657</v>
      </c>
      <c r="K35" s="5" t="s">
        <v>669</v>
      </c>
      <c r="L35" s="5" t="s">
        <v>669</v>
      </c>
      <c r="M35" s="5" t="s">
        <v>657</v>
      </c>
    </row>
    <row r="36" spans="1:13" x14ac:dyDescent="0.35">
      <c r="A36" t="s">
        <v>592</v>
      </c>
      <c r="B36" s="5" t="s">
        <v>657</v>
      </c>
      <c r="C36" s="5" t="s">
        <v>657</v>
      </c>
      <c r="D36" s="5" t="s">
        <v>669</v>
      </c>
      <c r="E36" s="5" t="s">
        <v>669</v>
      </c>
      <c r="F36" s="5" t="s">
        <v>657</v>
      </c>
      <c r="G36" s="5" t="s">
        <v>663</v>
      </c>
      <c r="H36" s="5" t="s">
        <v>663</v>
      </c>
      <c r="I36" s="5" t="s">
        <v>662</v>
      </c>
      <c r="J36" s="5" t="s">
        <v>662</v>
      </c>
      <c r="K36" s="5" t="s">
        <v>662</v>
      </c>
      <c r="L36" s="5" t="s">
        <v>662</v>
      </c>
      <c r="M36" s="5" t="s">
        <v>662</v>
      </c>
    </row>
    <row r="37" spans="1:13" x14ac:dyDescent="0.35">
      <c r="A37" t="s">
        <v>604</v>
      </c>
      <c r="B37" s="5" t="s">
        <v>662</v>
      </c>
      <c r="C37" s="5" t="s">
        <v>662</v>
      </c>
      <c r="D37" s="5" t="s">
        <v>677</v>
      </c>
      <c r="E37" s="5" t="s">
        <v>677</v>
      </c>
      <c r="F37" s="5" t="s">
        <v>677</v>
      </c>
      <c r="G37" s="5" t="s">
        <v>663</v>
      </c>
      <c r="H37" s="5" t="s">
        <v>663</v>
      </c>
      <c r="I37" s="5" t="s">
        <v>663</v>
      </c>
      <c r="J37" s="5" t="s">
        <v>663</v>
      </c>
      <c r="K37" s="5" t="s">
        <v>663</v>
      </c>
      <c r="L37" s="5" t="s">
        <v>663</v>
      </c>
      <c r="M37" s="5" t="s">
        <v>663</v>
      </c>
    </row>
    <row r="38" spans="1:13" x14ac:dyDescent="0.35">
      <c r="A38" t="s">
        <v>612</v>
      </c>
      <c r="B38" s="5" t="s">
        <v>662</v>
      </c>
      <c r="C38" s="5" t="s">
        <v>663</v>
      </c>
      <c r="D38" s="5" t="s">
        <v>663</v>
      </c>
      <c r="E38" s="5" t="s">
        <v>663</v>
      </c>
      <c r="F38" s="5" t="s">
        <v>657</v>
      </c>
      <c r="G38" s="5" t="s">
        <v>687</v>
      </c>
      <c r="H38" s="5" t="s">
        <v>694</v>
      </c>
      <c r="I38" s="5" t="s">
        <v>679</v>
      </c>
      <c r="J38" s="5" t="s">
        <v>669</v>
      </c>
      <c r="K38" s="5" t="s">
        <v>669</v>
      </c>
      <c r="L38" s="5" t="s">
        <v>657</v>
      </c>
      <c r="M38" s="5" t="s">
        <v>657</v>
      </c>
    </row>
    <row r="39" spans="1:13" x14ac:dyDescent="0.35">
      <c r="A39" t="s">
        <v>619</v>
      </c>
      <c r="B39" s="5" t="s">
        <v>684</v>
      </c>
      <c r="C39" s="5" t="s">
        <v>684</v>
      </c>
      <c r="D39" s="5" t="s">
        <v>684</v>
      </c>
      <c r="E39" s="5" t="s">
        <v>684</v>
      </c>
      <c r="F39" s="5" t="s">
        <v>684</v>
      </c>
      <c r="G39" s="5" t="s">
        <v>677</v>
      </c>
      <c r="H39" s="5" t="s">
        <v>677</v>
      </c>
      <c r="I39" s="5" t="s">
        <v>684</v>
      </c>
      <c r="J39" s="5" t="s">
        <v>662</v>
      </c>
      <c r="K39" s="5" t="s">
        <v>677</v>
      </c>
      <c r="L39" s="5" t="s">
        <v>677</v>
      </c>
      <c r="M39" s="5" t="s">
        <v>677</v>
      </c>
    </row>
    <row r="40" spans="1:13" x14ac:dyDescent="0.35">
      <c r="A40" t="s">
        <v>633</v>
      </c>
      <c r="B40" s="5" t="s">
        <v>662</v>
      </c>
      <c r="C40" s="5" t="s">
        <v>677</v>
      </c>
      <c r="D40" s="5" t="s">
        <v>677</v>
      </c>
      <c r="E40" s="5" t="s">
        <v>677</v>
      </c>
      <c r="F40" s="5" t="s">
        <v>677</v>
      </c>
      <c r="G40" s="5" t="s">
        <v>662</v>
      </c>
      <c r="H40" s="5" t="s">
        <v>662</v>
      </c>
      <c r="I40" s="5" t="s">
        <v>662</v>
      </c>
      <c r="J40" s="5" t="s">
        <v>662</v>
      </c>
      <c r="K40" s="5" t="s">
        <v>662</v>
      </c>
      <c r="L40" s="5" t="s">
        <v>662</v>
      </c>
      <c r="M40" s="5" t="s">
        <v>662</v>
      </c>
    </row>
  </sheetData>
  <autoFilter ref="A1:M1" xr:uid="{2F0F8964-E254-4418-B50D-1B5192CA28D9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3A7B1-32BB-41D2-8A6F-68DA09E024FA}">
  <dimension ref="A2:Z284"/>
  <sheetViews>
    <sheetView showGridLines="0" workbookViewId="0">
      <selection activeCell="C16" sqref="C16"/>
    </sheetView>
  </sheetViews>
  <sheetFormatPr defaultRowHeight="14.5" x14ac:dyDescent="0.35"/>
  <cols>
    <col min="1" max="1" width="17.26953125" bestFit="1" customWidth="1"/>
    <col min="2" max="2" width="19.453125" bestFit="1" customWidth="1"/>
    <col min="3" max="3" width="16.08984375" bestFit="1" customWidth="1"/>
    <col min="4" max="4" width="19.453125" bestFit="1" customWidth="1"/>
    <col min="5" max="5" width="16.08984375" bestFit="1" customWidth="1"/>
    <col min="6" max="6" width="19.453125" bestFit="1" customWidth="1"/>
    <col min="7" max="7" width="16.08984375" bestFit="1" customWidth="1"/>
    <col min="8" max="8" width="10.1796875" customWidth="1"/>
    <col min="9" max="9" width="16.90625" customWidth="1"/>
    <col min="10" max="10" width="17" bestFit="1" customWidth="1"/>
    <col min="11" max="11" width="8.26953125" bestFit="1" customWidth="1"/>
    <col min="12" max="12" width="8.453125" customWidth="1"/>
    <col min="13" max="13" width="17" bestFit="1" customWidth="1"/>
    <col min="14" max="14" width="8.26953125" bestFit="1" customWidth="1"/>
    <col min="15" max="15" width="8.453125" customWidth="1"/>
    <col min="16" max="16" width="17" bestFit="1" customWidth="1"/>
    <col min="17" max="17" width="12.81640625" bestFit="1" customWidth="1"/>
    <col min="18" max="18" width="13.1796875" bestFit="1" customWidth="1"/>
    <col min="19" max="19" width="17" bestFit="1" customWidth="1"/>
    <col min="20" max="20" width="12.81640625" bestFit="1" customWidth="1"/>
    <col min="21" max="21" width="11.81640625" bestFit="1" customWidth="1"/>
    <col min="22" max="22" width="17" bestFit="1" customWidth="1"/>
    <col min="23" max="23" width="8.6328125" bestFit="1" customWidth="1"/>
    <col min="24" max="24" width="11.81640625" bestFit="1" customWidth="1"/>
    <col min="25" max="25" width="17" bestFit="1" customWidth="1"/>
    <col min="26" max="26" width="8.6328125" bestFit="1" customWidth="1"/>
    <col min="27" max="31" width="11.81640625" bestFit="1" customWidth="1"/>
    <col min="32" max="32" width="17" bestFit="1" customWidth="1"/>
    <col min="33" max="34" width="11.81640625" bestFit="1" customWidth="1"/>
    <col min="35" max="35" width="14" bestFit="1" customWidth="1"/>
    <col min="36" max="43" width="11.81640625" bestFit="1" customWidth="1"/>
    <col min="44" max="44" width="19.36328125" bestFit="1" customWidth="1"/>
    <col min="45" max="45" width="11.81640625" bestFit="1" customWidth="1"/>
    <col min="46" max="50" width="5.81640625" bestFit="1" customWidth="1"/>
    <col min="51" max="51" width="21.6328125" bestFit="1" customWidth="1"/>
    <col min="52" max="52" width="18.54296875" bestFit="1" customWidth="1"/>
    <col min="53" max="62" width="5.81640625" bestFit="1" customWidth="1"/>
    <col min="63" max="63" width="21.6328125" bestFit="1" customWidth="1"/>
    <col min="64" max="64" width="9.90625" bestFit="1" customWidth="1"/>
    <col min="65" max="83" width="5.81640625" bestFit="1" customWidth="1"/>
    <col min="84" max="84" width="12.90625" bestFit="1" customWidth="1"/>
    <col min="85" max="85" width="6.54296875" bestFit="1" customWidth="1"/>
    <col min="86" max="95" width="5.81640625" bestFit="1" customWidth="1"/>
    <col min="96" max="96" width="8.7265625" bestFit="1" customWidth="1"/>
    <col min="97" max="97" width="7.90625" bestFit="1" customWidth="1"/>
    <col min="98" max="116" width="5.81640625" bestFit="1" customWidth="1"/>
    <col min="117" max="117" width="10.90625" bestFit="1" customWidth="1"/>
    <col min="118" max="118" width="24.6328125" bestFit="1" customWidth="1"/>
    <col min="119" max="119" width="5.81640625" bestFit="1" customWidth="1"/>
    <col min="120" max="120" width="27.81640625" bestFit="1" customWidth="1"/>
    <col min="121" max="121" width="6.90625" bestFit="1" customWidth="1"/>
    <col min="122" max="123" width="5.81640625" bestFit="1" customWidth="1"/>
    <col min="124" max="124" width="9.90625" bestFit="1" customWidth="1"/>
    <col min="125" max="125" width="7.7265625" bestFit="1" customWidth="1"/>
    <col min="126" max="136" width="5.81640625" bestFit="1" customWidth="1"/>
    <col min="137" max="137" width="10.6328125" bestFit="1" customWidth="1"/>
    <col min="138" max="138" width="6" bestFit="1" customWidth="1"/>
    <col min="139" max="147" width="5.81640625" bestFit="1" customWidth="1"/>
    <col min="148" max="148" width="9" bestFit="1" customWidth="1"/>
    <col min="149" max="149" width="10.1796875" bestFit="1" customWidth="1"/>
    <col min="150" max="151" width="5.81640625" bestFit="1" customWidth="1"/>
    <col min="152" max="152" width="13.1796875" bestFit="1" customWidth="1"/>
    <col min="153" max="153" width="11.26953125" bestFit="1" customWidth="1"/>
    <col min="154" max="161" width="5.81640625" bestFit="1" customWidth="1"/>
    <col min="162" max="162" width="14.26953125" bestFit="1" customWidth="1"/>
    <col min="163" max="163" width="11.26953125" bestFit="1" customWidth="1"/>
    <col min="164" max="166" width="5.81640625" bestFit="1" customWidth="1"/>
    <col min="167" max="167" width="14.26953125" bestFit="1" customWidth="1"/>
    <col min="168" max="168" width="8.81640625" bestFit="1" customWidth="1"/>
    <col min="169" max="176" width="5.81640625" bestFit="1" customWidth="1"/>
    <col min="177" max="177" width="11.81640625" bestFit="1" customWidth="1"/>
    <col min="178" max="178" width="17.7265625" bestFit="1" customWidth="1"/>
    <col min="179" max="187" width="5.81640625" bestFit="1" customWidth="1"/>
    <col min="188" max="188" width="21" bestFit="1" customWidth="1"/>
    <col min="189" max="189" width="18.36328125" bestFit="1" customWidth="1"/>
    <col min="190" max="192" width="5.81640625" bestFit="1" customWidth="1"/>
    <col min="193" max="193" width="21.54296875" bestFit="1" customWidth="1"/>
    <col min="194" max="194" width="8.6328125" bestFit="1" customWidth="1"/>
    <col min="195" max="203" width="5.81640625" bestFit="1" customWidth="1"/>
    <col min="204" max="204" width="11.54296875" bestFit="1" customWidth="1"/>
    <col min="205" max="205" width="13.36328125" bestFit="1" customWidth="1"/>
    <col min="206" max="208" width="5.81640625" bestFit="1" customWidth="1"/>
    <col min="209" max="209" width="16.6328125" bestFit="1" customWidth="1"/>
    <col min="210" max="210" width="15.54296875" bestFit="1" customWidth="1"/>
    <col min="211" max="216" width="5.81640625" bestFit="1" customWidth="1"/>
    <col min="217" max="217" width="18.6328125" bestFit="1" customWidth="1"/>
    <col min="218" max="218" width="7.90625" bestFit="1" customWidth="1"/>
    <col min="219" max="225" width="5.81640625" bestFit="1" customWidth="1"/>
    <col min="226" max="226" width="10.90625" bestFit="1" customWidth="1"/>
    <col min="227" max="227" width="13.36328125" bestFit="1" customWidth="1"/>
    <col min="228" max="256" width="5.81640625" bestFit="1" customWidth="1"/>
    <col min="257" max="257" width="16.6328125" bestFit="1" customWidth="1"/>
    <col min="258" max="258" width="8.81640625" bestFit="1" customWidth="1"/>
    <col min="259" max="269" width="5.81640625" bestFit="1" customWidth="1"/>
    <col min="270" max="270" width="11.81640625" bestFit="1" customWidth="1"/>
    <col min="271" max="271" width="9.6328125" bestFit="1" customWidth="1"/>
    <col min="272" max="282" width="5.81640625" bestFit="1" customWidth="1"/>
    <col min="283" max="283" width="12.81640625" bestFit="1" customWidth="1"/>
    <col min="284" max="284" width="9" bestFit="1" customWidth="1"/>
    <col min="285" max="306" width="5.81640625" bestFit="1" customWidth="1"/>
    <col min="307" max="307" width="12" bestFit="1" customWidth="1"/>
    <col min="308" max="308" width="18.6328125" bestFit="1" customWidth="1"/>
    <col min="309" max="323" width="5.81640625" bestFit="1" customWidth="1"/>
    <col min="324" max="324" width="21.81640625" bestFit="1" customWidth="1"/>
    <col min="325" max="325" width="6.54296875" bestFit="1" customWidth="1"/>
    <col min="326" max="332" width="5.81640625" bestFit="1" customWidth="1"/>
    <col min="333" max="333" width="7.453125" bestFit="1" customWidth="1"/>
    <col min="334" max="334" width="10.90625" bestFit="1" customWidth="1"/>
    <col min="335" max="338" width="6.54296875" bestFit="1" customWidth="1"/>
    <col min="339" max="365" width="5.81640625" bestFit="1" customWidth="1"/>
    <col min="366" max="366" width="13.90625" bestFit="1" customWidth="1"/>
    <col min="367" max="367" width="15.6328125" bestFit="1" customWidth="1"/>
    <col min="368" max="375" width="5.81640625" bestFit="1" customWidth="1"/>
    <col min="376" max="376" width="18.81640625" bestFit="1" customWidth="1"/>
    <col min="377" max="377" width="8.1796875" bestFit="1" customWidth="1"/>
    <col min="378" max="383" width="5.81640625" bestFit="1" customWidth="1"/>
    <col min="384" max="384" width="11.1796875" bestFit="1" customWidth="1"/>
    <col min="385" max="385" width="10.90625" bestFit="1" customWidth="1"/>
    <col min="386" max="400" width="5.81640625" bestFit="1" customWidth="1"/>
    <col min="401" max="401" width="14" bestFit="1" customWidth="1"/>
    <col min="402" max="402" width="7.54296875" bestFit="1" customWidth="1"/>
    <col min="403" max="414" width="5.81640625" bestFit="1" customWidth="1"/>
    <col min="415" max="415" width="10.453125" bestFit="1" customWidth="1"/>
    <col min="416" max="416" width="8.453125" bestFit="1" customWidth="1"/>
    <col min="417" max="434" width="5.81640625" bestFit="1" customWidth="1"/>
    <col min="435" max="435" width="11.453125" bestFit="1" customWidth="1"/>
    <col min="436" max="436" width="8.6328125" bestFit="1" customWidth="1"/>
    <col min="437" max="451" width="5.81640625" bestFit="1" customWidth="1"/>
    <col min="452" max="452" width="11.54296875" bestFit="1" customWidth="1"/>
    <col min="453" max="453" width="9.6328125" bestFit="1" customWidth="1"/>
    <col min="454" max="458" width="5.81640625" bestFit="1" customWidth="1"/>
    <col min="459" max="459" width="12.6328125" bestFit="1" customWidth="1"/>
    <col min="460" max="460" width="10.36328125" bestFit="1" customWidth="1"/>
    <col min="461" max="463" width="5.81640625" bestFit="1" customWidth="1"/>
    <col min="464" max="464" width="13.453125" bestFit="1" customWidth="1"/>
    <col min="465" max="465" width="6.54296875" bestFit="1" customWidth="1"/>
    <col min="466" max="475" width="5.81640625" bestFit="1" customWidth="1"/>
    <col min="476" max="476" width="9.36328125" bestFit="1" customWidth="1"/>
    <col min="477" max="477" width="21" bestFit="1" customWidth="1"/>
    <col min="478" max="490" width="5.81640625" bestFit="1" customWidth="1"/>
    <col min="491" max="491" width="24.08984375" bestFit="1" customWidth="1"/>
    <col min="492" max="492" width="10.1796875" bestFit="1" customWidth="1"/>
  </cols>
  <sheetData>
    <row r="2" spans="1:26" x14ac:dyDescent="0.35">
      <c r="J2" s="57" t="s">
        <v>3</v>
      </c>
      <c r="K2" t="s">
        <v>34</v>
      </c>
      <c r="M2" s="57" t="s">
        <v>3</v>
      </c>
      <c r="N2" t="s">
        <v>34</v>
      </c>
      <c r="P2" s="57" t="s">
        <v>3</v>
      </c>
      <c r="Q2" t="s">
        <v>25</v>
      </c>
      <c r="S2" s="57" t="s">
        <v>3</v>
      </c>
      <c r="T2" t="s">
        <v>25</v>
      </c>
      <c r="V2" s="57" t="s">
        <v>3</v>
      </c>
      <c r="W2" t="s">
        <v>771</v>
      </c>
      <c r="Y2" s="57" t="s">
        <v>3</v>
      </c>
      <c r="Z2" t="s">
        <v>771</v>
      </c>
    </row>
    <row r="3" spans="1:26" x14ac:dyDescent="0.35">
      <c r="J3" s="57" t="s">
        <v>774</v>
      </c>
      <c r="K3" s="59">
        <v>0</v>
      </c>
      <c r="M3" s="57" t="s">
        <v>774</v>
      </c>
      <c r="N3" s="59">
        <v>1</v>
      </c>
      <c r="P3" s="57" t="s">
        <v>774</v>
      </c>
      <c r="Q3" s="59">
        <v>0</v>
      </c>
      <c r="S3" s="57" t="s">
        <v>774</v>
      </c>
      <c r="T3" s="59">
        <v>1</v>
      </c>
      <c r="V3" s="57" t="s">
        <v>774</v>
      </c>
      <c r="W3" s="59">
        <v>0</v>
      </c>
      <c r="Y3" s="57" t="s">
        <v>774</v>
      </c>
      <c r="Z3" s="59">
        <v>1</v>
      </c>
    </row>
    <row r="5" spans="1:26" x14ac:dyDescent="0.35">
      <c r="B5" s="125" t="s">
        <v>25</v>
      </c>
      <c r="C5" s="125"/>
      <c r="D5" s="125" t="s">
        <v>34</v>
      </c>
      <c r="E5" s="125"/>
      <c r="F5" s="125" t="s">
        <v>775</v>
      </c>
      <c r="G5" s="125"/>
      <c r="J5" s="57" t="s">
        <v>769</v>
      </c>
      <c r="M5" s="57" t="s">
        <v>769</v>
      </c>
      <c r="P5" s="57" t="s">
        <v>769</v>
      </c>
      <c r="S5" s="57" t="s">
        <v>769</v>
      </c>
      <c r="V5" s="57" t="s">
        <v>769</v>
      </c>
      <c r="Y5" s="57" t="s">
        <v>769</v>
      </c>
    </row>
    <row r="6" spans="1:26" x14ac:dyDescent="0.35">
      <c r="B6" t="s">
        <v>776</v>
      </c>
      <c r="C6" t="s">
        <v>777</v>
      </c>
      <c r="D6" t="s">
        <v>776</v>
      </c>
      <c r="E6" t="s">
        <v>777</v>
      </c>
      <c r="F6" t="s">
        <v>776</v>
      </c>
      <c r="G6" t="s">
        <v>777</v>
      </c>
      <c r="J6" s="58">
        <v>6.4483573642899472E-3</v>
      </c>
      <c r="M6" s="58">
        <v>-2.8946580467299476E-3</v>
      </c>
      <c r="P6" s="58">
        <v>-2.0816001846274228E-2</v>
      </c>
      <c r="S6" s="58">
        <v>-1.1284162663882658E-4</v>
      </c>
      <c r="V6" s="58">
        <v>-2.0816001846274228E-2</v>
      </c>
      <c r="Y6" s="58">
        <v>-2.8946580467299476E-3</v>
      </c>
    </row>
    <row r="7" spans="1:26" x14ac:dyDescent="0.35">
      <c r="A7" t="s">
        <v>773</v>
      </c>
      <c r="B7" s="8">
        <f>(AVERAGE($S$6:$S$64))*100</f>
        <v>1.2138369363984844</v>
      </c>
      <c r="C7" s="8">
        <f>(AVERAGE($P$6:$P$182))*100</f>
        <v>1.8868909477428406</v>
      </c>
      <c r="D7" s="8">
        <f>(AVERAGE($M$6:$M$62))*100</f>
        <v>1.655841957369887</v>
      </c>
      <c r="E7" s="8">
        <f>(AVERAGE($J$6:$J$106))*100</f>
        <v>3.4177350773570927</v>
      </c>
      <c r="F7" s="8">
        <f>(AVERAGE($Y$6:$Y$121))*100</f>
        <v>1.4310290587723631</v>
      </c>
      <c r="G7" s="8">
        <f>(AVERAGE($V$6:$V$283))*100</f>
        <v>2.4430609372789545</v>
      </c>
      <c r="J7" s="58">
        <v>6.5381578677621288E-3</v>
      </c>
      <c r="M7" s="58">
        <v>-4.1753560869517425E-4</v>
      </c>
      <c r="P7" s="58">
        <v>-4.1516193542532331E-3</v>
      </c>
      <c r="S7" s="58">
        <v>2.4544996723085966E-4</v>
      </c>
      <c r="V7" s="58">
        <v>-4.1516193542532331E-3</v>
      </c>
      <c r="Y7" s="58">
        <v>-4.1753560869517425E-4</v>
      </c>
    </row>
    <row r="8" spans="1:26" x14ac:dyDescent="0.35">
      <c r="A8" t="s">
        <v>772</v>
      </c>
      <c r="B8" s="8">
        <f>(MEDIAN($S$6:$S$64))*100</f>
        <v>0.99579739307182091</v>
      </c>
      <c r="C8" s="8">
        <f>(MEDIAN($P$6:$P$182))*100</f>
        <v>1.6500000000000001</v>
      </c>
      <c r="D8" s="8">
        <f>(MEDIAN($M$6:$M$62))*100</f>
        <v>1.4423597626045614</v>
      </c>
      <c r="E8" s="8">
        <f>(MEDIAN($J$6:$J$106))*100</f>
        <v>3.2679352680916152</v>
      </c>
      <c r="F8" s="8">
        <f>(MEDIAN($Y$6:$Y$121))*100</f>
        <v>1.2192766548854927</v>
      </c>
      <c r="G8" s="8">
        <f>(MEDIAN($V$6:$V$283))*100</f>
        <v>2.1307428054706423</v>
      </c>
      <c r="J8" s="58">
        <v>7.9904938668893255E-3</v>
      </c>
      <c r="M8" s="58">
        <v>-3.8286906505957674E-4</v>
      </c>
      <c r="P8" s="58">
        <v>-3.5346357219493418E-3</v>
      </c>
      <c r="S8" s="58">
        <v>1.5348639145729148E-3</v>
      </c>
      <c r="V8" s="58">
        <v>-3.5346357219493418E-3</v>
      </c>
      <c r="Y8" s="58">
        <v>-3.8286906505957674E-4</v>
      </c>
    </row>
    <row r="9" spans="1:26" x14ac:dyDescent="0.35">
      <c r="A9" t="s">
        <v>778</v>
      </c>
      <c r="B9" s="8">
        <f>(MAX($S$6:$S$64))*100</f>
        <v>4.9623241768894877</v>
      </c>
      <c r="C9" s="8">
        <f>(MAX($P$6:$P$182))*100</f>
        <v>5.4</v>
      </c>
      <c r="D9" s="8">
        <f>(MAX($M$6:$M$62))*100</f>
        <v>4.2369839199843939</v>
      </c>
      <c r="E9" s="8">
        <f>(MAX($J$6:$J$106))*100</f>
        <v>8.0867187505597968</v>
      </c>
      <c r="F9" s="8">
        <f>(MAX($Y$6:$Y$121))*100</f>
        <v>4.9623241768894877</v>
      </c>
      <c r="G9" s="8">
        <f>(MAX($V$6:$V$283))*100</f>
        <v>8.0867187505597968</v>
      </c>
      <c r="J9" s="58">
        <v>8.3817677559336889E-3</v>
      </c>
      <c r="M9" s="58">
        <v>4.1188055372809451E-4</v>
      </c>
      <c r="P9" s="58">
        <v>-1.2812260942345834E-3</v>
      </c>
      <c r="S9" s="58">
        <v>1.9761106845022744E-3</v>
      </c>
      <c r="V9" s="58">
        <v>-1.2812260942345834E-3</v>
      </c>
      <c r="Y9" s="58">
        <v>-1.1284162663882658E-4</v>
      </c>
    </row>
    <row r="10" spans="1:26" x14ac:dyDescent="0.35">
      <c r="A10" t="s">
        <v>779</v>
      </c>
      <c r="B10" s="8">
        <f>(MIN($S$6:$S$64))*100</f>
        <v>-1.1284162663882658E-2</v>
      </c>
      <c r="C10" s="8">
        <f>(MIN($P$6:$P$182))*100</f>
        <v>-2.081600184627423</v>
      </c>
      <c r="D10" s="8">
        <f>(MIN($M$6:$M$62))*100</f>
        <v>-0.28946580467299476</v>
      </c>
      <c r="E10" s="8">
        <f>(MIN($J$6:$J$106))*100</f>
        <v>0.64483573642899472</v>
      </c>
      <c r="F10" s="8">
        <f>(MIN($Y$6:$Y$121))*100</f>
        <v>-0.28946580467299476</v>
      </c>
      <c r="G10" s="8">
        <f>(MIN($V$6:$V$283))*100</f>
        <v>-2.081600184627423</v>
      </c>
      <c r="J10" s="58">
        <v>9.0513681464847728E-3</v>
      </c>
      <c r="M10" s="58">
        <v>1.0791639435281386E-3</v>
      </c>
      <c r="P10" s="58">
        <v>-1.1025469042358349E-3</v>
      </c>
      <c r="S10" s="58">
        <v>2.1918542666863328E-3</v>
      </c>
      <c r="V10" s="58">
        <v>-1.1025469042358349E-3</v>
      </c>
      <c r="Y10" s="58">
        <v>2.4544996723085966E-4</v>
      </c>
    </row>
    <row r="11" spans="1:26" x14ac:dyDescent="0.35">
      <c r="A11" t="s">
        <v>780</v>
      </c>
      <c r="B11" s="8">
        <f>_xlfn.STDEV.S($S$6:$S$64)</f>
        <v>8.7795359486796398E-3</v>
      </c>
      <c r="C11" s="8">
        <f>_xlfn.STDEV.S($P$6:$P$182)</f>
        <v>1.2317951645337841E-2</v>
      </c>
      <c r="D11" s="8">
        <f>_xlfn.STDEV.S($M$6:$M$62)</f>
        <v>1.1635927841495699E-2</v>
      </c>
      <c r="E11" s="8">
        <f>_xlfn.STDEV.S($J$6:$J$106)</f>
        <v>1.6877802463096312E-2</v>
      </c>
      <c r="F11" s="8">
        <f>_xlfn.STDEV.S($Y$6:$Y$121)</f>
        <v>1.0475297805578262E-2</v>
      </c>
      <c r="G11" s="8">
        <f>_xlfn.STDEV.S($V$6:$V$283)</f>
        <v>1.5926363838231195E-2</v>
      </c>
      <c r="J11" s="58">
        <v>1.1553595392548743E-2</v>
      </c>
      <c r="M11" s="58">
        <v>1.4181478949022441E-3</v>
      </c>
      <c r="P11" s="58">
        <v>8.6028476264177201E-4</v>
      </c>
      <c r="S11" s="58">
        <v>3.5893393102754967E-3</v>
      </c>
      <c r="V11" s="58">
        <v>8.6028476264177201E-4</v>
      </c>
      <c r="Y11" s="58">
        <v>4.1188055372809451E-4</v>
      </c>
    </row>
    <row r="12" spans="1:26" x14ac:dyDescent="0.35">
      <c r="A12" t="s">
        <v>781</v>
      </c>
      <c r="B12" s="8">
        <f>SKEW($S$6:$S$64)</f>
        <v>1.954253742726257</v>
      </c>
      <c r="C12" s="8">
        <f>SKEW($P$6:$P$182)</f>
        <v>0.49803705470945098</v>
      </c>
      <c r="D12" s="8">
        <f>SKEW($M$6:$M$62)</f>
        <v>0.5110318453533006</v>
      </c>
      <c r="E12" s="8">
        <f>SKEW($J$6:$J$106)</f>
        <v>0.80899080230673404</v>
      </c>
      <c r="F12" s="8">
        <f>SKEW($Y$6:$Y$121)</f>
        <v>1.0750389164008074</v>
      </c>
      <c r="G12" s="8">
        <f>SKEW($V$6:$V$283)</f>
        <v>0.89442189839474573</v>
      </c>
      <c r="J12" s="58">
        <v>1.3480780535695791E-2</v>
      </c>
      <c r="M12" s="58">
        <v>2.8543755705650042E-3</v>
      </c>
      <c r="P12" s="58">
        <v>9.6104995909662705E-4</v>
      </c>
      <c r="S12" s="58">
        <v>4.5577590836291355E-3</v>
      </c>
      <c r="V12" s="58">
        <v>9.6104995909662705E-4</v>
      </c>
      <c r="Y12" s="58">
        <v>1.0791639435281386E-3</v>
      </c>
    </row>
    <row r="13" spans="1:26" x14ac:dyDescent="0.35">
      <c r="A13" t="s">
        <v>782</v>
      </c>
      <c r="B13" s="8">
        <f>KURT($S$6:$S$64)</f>
        <v>5.3951627897488752</v>
      </c>
      <c r="C13" s="8">
        <f>KURT($P$6:$P$182)</f>
        <v>0.48860136629861195</v>
      </c>
      <c r="D13" s="8">
        <f>KURT($M$6:$M$62)</f>
        <v>-0.47673980866664634</v>
      </c>
      <c r="E13" s="8">
        <f>KURT($J$6:$J$106)</f>
        <v>0.33626894801714435</v>
      </c>
      <c r="F13" s="8">
        <f>KURT($Y$6:$Y$121)</f>
        <v>0.91238976327702392</v>
      </c>
      <c r="G13" s="8">
        <f>KURT($V$6:$V$283)</f>
        <v>1.1874161429993642</v>
      </c>
      <c r="J13" s="58">
        <v>1.3518927037481143E-2</v>
      </c>
      <c r="M13" s="58">
        <v>2.9739089651910078E-3</v>
      </c>
      <c r="P13" s="58">
        <v>1.2331886793079949E-3</v>
      </c>
      <c r="S13" s="58">
        <v>5.2837497010265371E-3</v>
      </c>
      <c r="V13" s="58">
        <v>1.2331886793079949E-3</v>
      </c>
      <c r="Y13" s="58">
        <v>1.4181478949022441E-3</v>
      </c>
    </row>
    <row r="14" spans="1:26" x14ac:dyDescent="0.35">
      <c r="J14" s="58">
        <v>1.4865820908918748E-2</v>
      </c>
      <c r="M14" s="58">
        <v>3.0723252824105263E-3</v>
      </c>
      <c r="P14" s="58">
        <v>1.8373437826946226E-3</v>
      </c>
      <c r="S14" s="58">
        <v>5.5261974590611537E-3</v>
      </c>
      <c r="V14" s="58">
        <v>1.8373437826946226E-3</v>
      </c>
      <c r="Y14" s="58">
        <v>1.5348639145729148E-3</v>
      </c>
    </row>
    <row r="15" spans="1:26" x14ac:dyDescent="0.35">
      <c r="J15" s="58">
        <v>1.5981106764594299E-2</v>
      </c>
      <c r="M15" s="58">
        <v>3.165859118178016E-3</v>
      </c>
      <c r="P15" s="58">
        <v>2.4006291517652606E-3</v>
      </c>
      <c r="S15" s="58">
        <v>5.908266142141877E-3</v>
      </c>
      <c r="V15" s="58">
        <v>2.4006291517652606E-3</v>
      </c>
      <c r="Y15" s="58">
        <v>1.9761106845022744E-3</v>
      </c>
    </row>
    <row r="16" spans="1:26" x14ac:dyDescent="0.35">
      <c r="J16" s="58">
        <v>1.6201249241704074E-2</v>
      </c>
      <c r="M16" s="58">
        <v>4.7333622949210508E-3</v>
      </c>
      <c r="P16" s="58">
        <v>3.0341799518824875E-3</v>
      </c>
      <c r="S16" s="58">
        <v>6.2943663344020183E-3</v>
      </c>
      <c r="V16" s="58">
        <v>3.0341799518824875E-3</v>
      </c>
      <c r="Y16" s="58">
        <v>2.1918542666863328E-3</v>
      </c>
    </row>
    <row r="17" spans="10:25" x14ac:dyDescent="0.35">
      <c r="J17" s="58">
        <v>1.6306716609078009E-2</v>
      </c>
      <c r="M17" s="58">
        <v>6.35581542044239E-3</v>
      </c>
      <c r="P17" s="58">
        <v>3.2883220489348108E-3</v>
      </c>
      <c r="S17" s="58">
        <v>6.433802739494357E-3</v>
      </c>
      <c r="V17" s="58">
        <v>3.2883220489348108E-3</v>
      </c>
      <c r="Y17" s="58">
        <v>2.8543755705650042E-3</v>
      </c>
    </row>
    <row r="18" spans="10:25" x14ac:dyDescent="0.35">
      <c r="J18" s="58">
        <v>1.6377653273914383E-2</v>
      </c>
      <c r="M18" s="58">
        <v>7.7868652583821252E-3</v>
      </c>
      <c r="P18" s="58">
        <v>4.0206608393469345E-3</v>
      </c>
      <c r="S18" s="58">
        <v>7.2281627997561326E-3</v>
      </c>
      <c r="V18" s="58">
        <v>4.0206608393469345E-3</v>
      </c>
      <c r="Y18" s="58">
        <v>2.9739089651910078E-3</v>
      </c>
    </row>
    <row r="19" spans="10:25" x14ac:dyDescent="0.35">
      <c r="J19" s="58">
        <v>1.7976200985041269E-2</v>
      </c>
      <c r="M19" s="58">
        <v>8.5579889134503873E-3</v>
      </c>
      <c r="P19" s="58">
        <v>4.1325287443632064E-3</v>
      </c>
      <c r="S19" s="58">
        <v>7.4582735496095606E-3</v>
      </c>
      <c r="V19" s="58">
        <v>4.1325287443632064E-3</v>
      </c>
      <c r="Y19" s="58">
        <v>3.0723252824105263E-3</v>
      </c>
    </row>
    <row r="20" spans="10:25" x14ac:dyDescent="0.35">
      <c r="J20" s="58">
        <v>1.8023954684549093E-2</v>
      </c>
      <c r="M20" s="58">
        <v>8.7451265491358399E-3</v>
      </c>
      <c r="P20" s="58">
        <v>4.1822530079089759E-3</v>
      </c>
      <c r="S20" s="58">
        <v>7.4999999999999997E-3</v>
      </c>
      <c r="V20" s="58">
        <v>4.1822530079089759E-3</v>
      </c>
      <c r="Y20" s="58">
        <v>3.165859118178016E-3</v>
      </c>
    </row>
    <row r="21" spans="10:25" x14ac:dyDescent="0.35">
      <c r="J21" s="58">
        <v>1.805013833392799E-2</v>
      </c>
      <c r="M21" s="58">
        <v>9.4556217395396214E-3</v>
      </c>
      <c r="P21" s="58">
        <v>4.3576180954415858E-3</v>
      </c>
      <c r="S21" s="58">
        <v>7.5205878770552292E-3</v>
      </c>
      <c r="V21" s="58">
        <v>4.3576180954415858E-3</v>
      </c>
      <c r="Y21" s="58">
        <v>3.5893393102754967E-3</v>
      </c>
    </row>
    <row r="22" spans="10:25" x14ac:dyDescent="0.35">
      <c r="J22" s="58">
        <v>1.8243284135623039E-2</v>
      </c>
      <c r="M22" s="58">
        <v>9.7562734682465901E-3</v>
      </c>
      <c r="P22" s="58">
        <v>4.5399999999999998E-3</v>
      </c>
      <c r="S22" s="58">
        <v>7.5441064164305741E-3</v>
      </c>
      <c r="V22" s="58">
        <v>4.5399999999999998E-3</v>
      </c>
      <c r="Y22" s="58">
        <v>4.5577590836291355E-3</v>
      </c>
    </row>
    <row r="23" spans="10:25" x14ac:dyDescent="0.35">
      <c r="J23" s="58">
        <v>1.8362899748158856E-2</v>
      </c>
      <c r="M23" s="58">
        <v>1.1766151987582685E-2</v>
      </c>
      <c r="P23" s="58">
        <v>4.8186262296113719E-3</v>
      </c>
      <c r="S23" s="58">
        <v>7.6999024418418216E-3</v>
      </c>
      <c r="V23" s="58">
        <v>4.8186262296113719E-3</v>
      </c>
      <c r="Y23" s="58">
        <v>4.7333622949210508E-3</v>
      </c>
    </row>
    <row r="24" spans="10:25" x14ac:dyDescent="0.35">
      <c r="J24" s="58">
        <v>1.8719447467970385E-2</v>
      </c>
      <c r="M24" s="58">
        <v>1.2190923266410802E-2</v>
      </c>
      <c r="P24" s="58">
        <v>5.7480659251790966E-3</v>
      </c>
      <c r="S24" s="58">
        <v>7.9000000000000008E-3</v>
      </c>
      <c r="V24" s="58">
        <v>5.7480659251790966E-3</v>
      </c>
      <c r="Y24" s="58">
        <v>5.2837497010265371E-3</v>
      </c>
    </row>
    <row r="25" spans="10:25" x14ac:dyDescent="0.35">
      <c r="J25" s="58">
        <v>1.9129053004034224E-2</v>
      </c>
      <c r="M25" s="58">
        <v>1.2194609831299053E-2</v>
      </c>
      <c r="P25" s="58">
        <v>6.2185755510817398E-3</v>
      </c>
      <c r="S25" s="58">
        <v>8.4788981808620427E-3</v>
      </c>
      <c r="V25" s="58">
        <v>6.2185755510817398E-3</v>
      </c>
      <c r="Y25" s="58">
        <v>5.5261974590611537E-3</v>
      </c>
    </row>
    <row r="26" spans="10:25" x14ac:dyDescent="0.35">
      <c r="J26" s="58">
        <v>2.033447348682027E-2</v>
      </c>
      <c r="M26" s="58">
        <v>1.2443403559372346E-2</v>
      </c>
      <c r="P26" s="58">
        <v>6.6759137794922272E-3</v>
      </c>
      <c r="S26" s="58">
        <v>8.52775741801645E-3</v>
      </c>
      <c r="V26" s="58">
        <v>6.4483573642899472E-3</v>
      </c>
      <c r="Y26" s="58">
        <v>5.908266142141877E-3</v>
      </c>
    </row>
    <row r="27" spans="10:25" x14ac:dyDescent="0.35">
      <c r="J27" s="58">
        <v>2.0409370729472132E-2</v>
      </c>
      <c r="M27" s="58">
        <v>1.2449799526929706E-2</v>
      </c>
      <c r="P27" s="58">
        <v>6.8613025290367169E-3</v>
      </c>
      <c r="S27" s="58">
        <v>8.7377622129751632E-3</v>
      </c>
      <c r="V27" s="58">
        <v>6.5381578677621288E-3</v>
      </c>
      <c r="Y27" s="58">
        <v>6.2943663344020183E-3</v>
      </c>
    </row>
    <row r="28" spans="10:25" x14ac:dyDescent="0.35">
      <c r="J28" s="58">
        <v>2.0530424709657602E-2</v>
      </c>
      <c r="M28" s="58">
        <v>1.2773335320889867E-2</v>
      </c>
      <c r="P28" s="58">
        <v>6.8807341954011392E-3</v>
      </c>
      <c r="S28" s="58">
        <v>8.79967786004659E-3</v>
      </c>
      <c r="V28" s="58">
        <v>6.6759137794922272E-3</v>
      </c>
      <c r="Y28" s="58">
        <v>6.35581542044239E-3</v>
      </c>
    </row>
    <row r="29" spans="10:25" x14ac:dyDescent="0.35">
      <c r="J29" s="58">
        <v>2.0824236100700722E-2</v>
      </c>
      <c r="M29" s="58">
        <v>1.3286814777627276E-2</v>
      </c>
      <c r="P29" s="58">
        <v>6.8999999999999999E-3</v>
      </c>
      <c r="S29" s="58">
        <v>8.8999999999999999E-3</v>
      </c>
      <c r="V29" s="58">
        <v>6.8613025290367169E-3</v>
      </c>
      <c r="Y29" s="58">
        <v>6.433802739494357E-3</v>
      </c>
    </row>
    <row r="30" spans="10:25" x14ac:dyDescent="0.35">
      <c r="J30" s="58">
        <v>2.11059573457959E-2</v>
      </c>
      <c r="M30" s="58">
        <v>1.3810003622565459E-2</v>
      </c>
      <c r="P30" s="58">
        <v>6.9999999999999993E-3</v>
      </c>
      <c r="S30" s="58">
        <v>9.2460075600163446E-3</v>
      </c>
      <c r="V30" s="58">
        <v>6.8807341954011392E-3</v>
      </c>
      <c r="Y30" s="58">
        <v>7.2281627997561326E-3</v>
      </c>
    </row>
    <row r="31" spans="10:25" x14ac:dyDescent="0.35">
      <c r="J31" s="58">
        <v>2.1179202871856706E-2</v>
      </c>
      <c r="M31" s="58">
        <v>1.3981539578857394E-2</v>
      </c>
      <c r="P31" s="58">
        <v>7.4150203878619323E-3</v>
      </c>
      <c r="S31" s="58">
        <v>9.3999999999999986E-3</v>
      </c>
      <c r="V31" s="58">
        <v>6.8999999999999999E-3</v>
      </c>
      <c r="Y31" s="58">
        <v>7.4582735496095606E-3</v>
      </c>
    </row>
    <row r="32" spans="10:25" x14ac:dyDescent="0.35">
      <c r="J32" s="58">
        <v>2.143565323755614E-2</v>
      </c>
      <c r="M32" s="58">
        <v>1.4076687668435506E-2</v>
      </c>
      <c r="P32" s="58">
        <v>7.4999999999999997E-3</v>
      </c>
      <c r="S32" s="58">
        <v>9.5028440230666006E-3</v>
      </c>
      <c r="V32" s="58">
        <v>6.9999999999999993E-3</v>
      </c>
      <c r="Y32" s="58">
        <v>7.4999999999999997E-3</v>
      </c>
    </row>
    <row r="33" spans="10:25" x14ac:dyDescent="0.35">
      <c r="J33" s="58">
        <v>2.1628928786174617E-2</v>
      </c>
      <c r="M33" s="58">
        <v>1.4190824862453599E-2</v>
      </c>
      <c r="P33" s="58">
        <v>7.5067311753969079E-3</v>
      </c>
      <c r="S33" s="58">
        <v>9.7810905659582829E-3</v>
      </c>
      <c r="V33" s="58">
        <v>7.4150203878619323E-3</v>
      </c>
      <c r="Y33" s="58">
        <v>7.5205878770552292E-3</v>
      </c>
    </row>
    <row r="34" spans="10:25" x14ac:dyDescent="0.35">
      <c r="J34" s="58">
        <v>2.1758156496881842E-2</v>
      </c>
      <c r="M34" s="58">
        <v>1.4423597626045614E-2</v>
      </c>
      <c r="P34" s="58">
        <v>8.0000000000000002E-3</v>
      </c>
      <c r="S34" s="58">
        <v>9.840006657273942E-3</v>
      </c>
      <c r="V34" s="58">
        <v>7.4999999999999997E-3</v>
      </c>
      <c r="Y34" s="58">
        <v>7.5441064164305741E-3</v>
      </c>
    </row>
    <row r="35" spans="10:25" x14ac:dyDescent="0.35">
      <c r="J35" s="58">
        <v>2.2628024356858401E-2</v>
      </c>
      <c r="M35" s="58">
        <v>1.5244251038439627E-2</v>
      </c>
      <c r="P35" s="58">
        <v>8.1521380967564117E-3</v>
      </c>
      <c r="S35" s="58">
        <v>9.9579739307182093E-3</v>
      </c>
      <c r="V35" s="58">
        <v>7.5067311753969079E-3</v>
      </c>
      <c r="Y35" s="58">
        <v>7.6999024418418216E-3</v>
      </c>
    </row>
    <row r="36" spans="10:25" x14ac:dyDescent="0.35">
      <c r="J36" s="58">
        <v>2.3432653155916805E-2</v>
      </c>
      <c r="M36" s="58">
        <v>1.5655636247780658E-2</v>
      </c>
      <c r="P36" s="58">
        <v>8.4341361251929481E-3</v>
      </c>
      <c r="S36" s="58">
        <v>0.01</v>
      </c>
      <c r="V36" s="58">
        <v>7.9904938668893255E-3</v>
      </c>
      <c r="Y36" s="58">
        <v>7.7868652583821252E-3</v>
      </c>
    </row>
    <row r="37" spans="10:25" x14ac:dyDescent="0.35">
      <c r="J37" s="58">
        <v>2.3698309243131543E-2</v>
      </c>
      <c r="M37" s="58">
        <v>1.6374834684147466E-2</v>
      </c>
      <c r="P37" s="58">
        <v>8.5000000000000006E-3</v>
      </c>
      <c r="S37" s="58">
        <v>1.0154394942621438E-2</v>
      </c>
      <c r="V37" s="58">
        <v>8.0000000000000002E-3</v>
      </c>
      <c r="Y37" s="58">
        <v>7.9000000000000008E-3</v>
      </c>
    </row>
    <row r="38" spans="10:25" x14ac:dyDescent="0.35">
      <c r="J38" s="58">
        <v>2.3777894020265089E-2</v>
      </c>
      <c r="M38" s="58">
        <v>1.6699915905651563E-2</v>
      </c>
      <c r="P38" s="58">
        <v>8.8213961141190914E-3</v>
      </c>
      <c r="S38" s="58">
        <v>1.0200000000000001E-2</v>
      </c>
      <c r="V38" s="58">
        <v>8.1521380967564117E-3</v>
      </c>
      <c r="Y38" s="58">
        <v>8.4788981808620427E-3</v>
      </c>
    </row>
    <row r="39" spans="10:25" x14ac:dyDescent="0.35">
      <c r="J39" s="58">
        <v>2.424881051711214E-2</v>
      </c>
      <c r="M39" s="58">
        <v>1.7126975598439342E-2</v>
      </c>
      <c r="P39" s="58">
        <v>8.8398325053484772E-3</v>
      </c>
      <c r="S39" s="58">
        <v>1.09E-2</v>
      </c>
      <c r="V39" s="58">
        <v>8.3817677559336889E-3</v>
      </c>
      <c r="Y39" s="58">
        <v>8.52775741801645E-3</v>
      </c>
    </row>
    <row r="40" spans="10:25" x14ac:dyDescent="0.35">
      <c r="J40" s="58">
        <v>2.5288359312976905E-2</v>
      </c>
      <c r="M40" s="58">
        <v>1.7567539926467424E-2</v>
      </c>
      <c r="P40" s="58">
        <v>9.0000000000000011E-3</v>
      </c>
      <c r="S40" s="58">
        <v>1.1077013807165486E-2</v>
      </c>
      <c r="V40" s="58">
        <v>8.4341361251929481E-3</v>
      </c>
      <c r="Y40" s="58">
        <v>8.5579889134503873E-3</v>
      </c>
    </row>
    <row r="41" spans="10:25" x14ac:dyDescent="0.35">
      <c r="J41" s="58">
        <v>2.6064604795942081E-2</v>
      </c>
      <c r="M41" s="58">
        <v>1.7587056110925259E-2</v>
      </c>
      <c r="P41" s="58">
        <v>9.0285496807668147E-3</v>
      </c>
      <c r="S41" s="58">
        <v>1.1199780455757058E-2</v>
      </c>
      <c r="V41" s="58">
        <v>8.5000000000000006E-3</v>
      </c>
      <c r="Y41" s="58">
        <v>8.7377622129751632E-3</v>
      </c>
    </row>
    <row r="42" spans="10:25" x14ac:dyDescent="0.35">
      <c r="J42" s="58">
        <v>2.6399463532976508E-2</v>
      </c>
      <c r="M42" s="58">
        <v>1.803324538990414E-2</v>
      </c>
      <c r="P42" s="58">
        <v>9.4818592281103488E-3</v>
      </c>
      <c r="S42" s="58">
        <v>1.15E-2</v>
      </c>
      <c r="V42" s="58">
        <v>8.8213961141190914E-3</v>
      </c>
      <c r="Y42" s="58">
        <v>8.7451265491358399E-3</v>
      </c>
    </row>
    <row r="43" spans="10:25" x14ac:dyDescent="0.35">
      <c r="J43" s="58">
        <v>2.7610563309885761E-2</v>
      </c>
      <c r="M43" s="58">
        <v>1.8277996246921946E-2</v>
      </c>
      <c r="P43" s="58">
        <v>9.4999999999999998E-3</v>
      </c>
      <c r="S43" s="58">
        <v>1.2E-2</v>
      </c>
      <c r="V43" s="58">
        <v>8.8398325053484772E-3</v>
      </c>
      <c r="Y43" s="58">
        <v>8.79967786004659E-3</v>
      </c>
    </row>
    <row r="44" spans="10:25" x14ac:dyDescent="0.35">
      <c r="J44" s="58">
        <v>2.7650555444061808E-2</v>
      </c>
      <c r="M44" s="58">
        <v>1.8286108583573712E-2</v>
      </c>
      <c r="P44" s="58">
        <v>9.5540485226726091E-3</v>
      </c>
      <c r="S44" s="58">
        <v>1.2010042098670064E-2</v>
      </c>
      <c r="V44" s="58">
        <v>9.0000000000000011E-3</v>
      </c>
      <c r="Y44" s="58">
        <v>8.8999999999999999E-3</v>
      </c>
    </row>
    <row r="45" spans="10:25" x14ac:dyDescent="0.35">
      <c r="J45" s="58">
        <v>2.7905437766002184E-2</v>
      </c>
      <c r="M45" s="58">
        <v>1.8972618106170458E-2</v>
      </c>
      <c r="P45" s="58">
        <v>9.9580365641116497E-3</v>
      </c>
      <c r="S45" s="58">
        <v>1.2301859665232232E-2</v>
      </c>
      <c r="V45" s="58">
        <v>9.0285496807668147E-3</v>
      </c>
      <c r="Y45" s="58">
        <v>9.2460075600163446E-3</v>
      </c>
    </row>
    <row r="46" spans="10:25" x14ac:dyDescent="0.35">
      <c r="J46" s="58">
        <v>3.0164443942955366E-2</v>
      </c>
      <c r="M46" s="58">
        <v>1.9452624262604967E-2</v>
      </c>
      <c r="P46" s="58">
        <v>0.01</v>
      </c>
      <c r="S46" s="58">
        <v>1.2374478439314052E-2</v>
      </c>
      <c r="V46" s="58">
        <v>9.0513681464847728E-3</v>
      </c>
      <c r="Y46" s="58">
        <v>9.3999999999999986E-3</v>
      </c>
    </row>
    <row r="47" spans="10:25" x14ac:dyDescent="0.35">
      <c r="J47" s="58">
        <v>3.0171006128791644E-2</v>
      </c>
      <c r="M47" s="58">
        <v>1.958697356956085E-2</v>
      </c>
      <c r="P47" s="58">
        <v>1.0180001104728262E-2</v>
      </c>
      <c r="S47" s="58">
        <v>1.2500000000000001E-2</v>
      </c>
      <c r="V47" s="58">
        <v>9.4818592281103488E-3</v>
      </c>
      <c r="Y47" s="58">
        <v>9.4556217395396214E-3</v>
      </c>
    </row>
    <row r="48" spans="10:25" x14ac:dyDescent="0.35">
      <c r="J48" s="58">
        <v>3.0281665583921757E-2</v>
      </c>
      <c r="M48" s="58">
        <v>2.2161454320951623E-2</v>
      </c>
      <c r="P48" s="58">
        <v>1.0185622550690443E-2</v>
      </c>
      <c r="S48" s="58">
        <v>1.29E-2</v>
      </c>
      <c r="V48" s="58">
        <v>9.4999999999999998E-3</v>
      </c>
      <c r="Y48" s="58">
        <v>9.5028440230666006E-3</v>
      </c>
    </row>
    <row r="49" spans="10:25" x14ac:dyDescent="0.35">
      <c r="J49" s="58">
        <v>3.0748646073593067E-2</v>
      </c>
      <c r="M49" s="58">
        <v>2.3966635794522739E-2</v>
      </c>
      <c r="P49" s="58">
        <v>1.03E-2</v>
      </c>
      <c r="S49" s="58">
        <v>1.4499999999999999E-2</v>
      </c>
      <c r="V49" s="58">
        <v>9.5540485226726091E-3</v>
      </c>
      <c r="Y49" s="58">
        <v>9.7562734682465901E-3</v>
      </c>
    </row>
    <row r="50" spans="10:25" x14ac:dyDescent="0.35">
      <c r="J50" s="58">
        <v>3.1304109926429291E-2</v>
      </c>
      <c r="M50" s="58">
        <v>2.5517885094564541E-2</v>
      </c>
      <c r="P50" s="58">
        <v>1.0354764919061399E-2</v>
      </c>
      <c r="S50" s="58">
        <v>1.4775311220029147E-2</v>
      </c>
      <c r="V50" s="58">
        <v>9.9580365641116497E-3</v>
      </c>
      <c r="Y50" s="58">
        <v>9.7810905659582829E-3</v>
      </c>
    </row>
    <row r="51" spans="10:25" x14ac:dyDescent="0.35">
      <c r="J51" s="58">
        <v>3.1322493570187238E-2</v>
      </c>
      <c r="M51" s="58">
        <v>2.5937831332745409E-2</v>
      </c>
      <c r="P51" s="58">
        <v>1.081201627685595E-2</v>
      </c>
      <c r="S51" s="58">
        <v>1.55E-2</v>
      </c>
      <c r="V51" s="58">
        <v>0.01</v>
      </c>
      <c r="Y51" s="58">
        <v>9.840006657273942E-3</v>
      </c>
    </row>
    <row r="52" spans="10:25" x14ac:dyDescent="0.35">
      <c r="J52" s="58">
        <v>3.1506175639021139E-2</v>
      </c>
      <c r="M52" s="58">
        <v>2.9568365235058458E-2</v>
      </c>
      <c r="P52" s="58">
        <v>1.087163456281659E-2</v>
      </c>
      <c r="S52" s="58">
        <v>1.5707999980897322E-2</v>
      </c>
      <c r="V52" s="58">
        <v>1.0180001104728262E-2</v>
      </c>
      <c r="Y52" s="58">
        <v>9.9579739307182093E-3</v>
      </c>
    </row>
    <row r="53" spans="10:25" x14ac:dyDescent="0.35">
      <c r="J53" s="58">
        <v>3.1559344107938925E-2</v>
      </c>
      <c r="M53" s="58">
        <v>3.0551174246535862E-2</v>
      </c>
      <c r="P53" s="58">
        <v>1.0989691938876599E-2</v>
      </c>
      <c r="S53" s="58">
        <v>1.7597398896003959E-2</v>
      </c>
      <c r="V53" s="58">
        <v>1.0185622550690443E-2</v>
      </c>
      <c r="Y53" s="58">
        <v>0.01</v>
      </c>
    </row>
    <row r="54" spans="10:25" x14ac:dyDescent="0.35">
      <c r="J54" s="58">
        <v>3.2106564280990568E-2</v>
      </c>
      <c r="M54" s="58">
        <v>3.4199026263797672E-2</v>
      </c>
      <c r="P54" s="58">
        <v>1.142545649491189E-2</v>
      </c>
      <c r="S54" s="58">
        <v>1.7820376526369006E-2</v>
      </c>
      <c r="V54" s="58">
        <v>1.03E-2</v>
      </c>
      <c r="Y54" s="58">
        <v>1.0154394942621438E-2</v>
      </c>
    </row>
    <row r="55" spans="10:25" x14ac:dyDescent="0.35">
      <c r="J55" s="58">
        <v>3.2445691227251272E-2</v>
      </c>
      <c r="M55" s="58">
        <v>3.544129370823601E-2</v>
      </c>
      <c r="P55" s="58">
        <v>1.15E-2</v>
      </c>
      <c r="S55" s="58">
        <v>1.8500000000000003E-2</v>
      </c>
      <c r="V55" s="58">
        <v>1.0354764919061399E-2</v>
      </c>
      <c r="Y55" s="58">
        <v>1.0200000000000001E-2</v>
      </c>
    </row>
    <row r="56" spans="10:25" x14ac:dyDescent="0.35">
      <c r="J56" s="58">
        <v>3.2679352680916152E-2</v>
      </c>
      <c r="M56" s="58">
        <v>3.5467931354284499E-2</v>
      </c>
      <c r="P56" s="58">
        <v>1.18E-2</v>
      </c>
      <c r="S56" s="58">
        <v>1.8736446205041373E-2</v>
      </c>
      <c r="V56" s="58">
        <v>1.081201627685595E-2</v>
      </c>
      <c r="Y56" s="58">
        <v>1.09E-2</v>
      </c>
    </row>
    <row r="57" spans="10:25" x14ac:dyDescent="0.35">
      <c r="J57" s="58">
        <v>3.2888592540073924E-2</v>
      </c>
      <c r="M57" s="58">
        <v>3.5770224885680824E-2</v>
      </c>
      <c r="P57" s="58">
        <v>1.1812850252158391E-2</v>
      </c>
      <c r="S57" s="58">
        <v>1.9E-2</v>
      </c>
      <c r="V57" s="58">
        <v>1.087163456281659E-2</v>
      </c>
      <c r="Y57" s="58">
        <v>1.1077013807165486E-2</v>
      </c>
    </row>
    <row r="58" spans="10:25" x14ac:dyDescent="0.35">
      <c r="J58" s="58">
        <v>3.3065159368694585E-2</v>
      </c>
      <c r="M58" s="58">
        <v>3.5874829767077676E-2</v>
      </c>
      <c r="P58" s="58">
        <v>1.192847043520584E-2</v>
      </c>
      <c r="S58" s="58">
        <v>2.1297387243117472E-2</v>
      </c>
      <c r="V58" s="58">
        <v>1.0989691938876599E-2</v>
      </c>
      <c r="Y58" s="58">
        <v>1.1199780455757058E-2</v>
      </c>
    </row>
    <row r="59" spans="10:25" x14ac:dyDescent="0.35">
      <c r="J59" s="58">
        <v>3.3068475659474794E-2</v>
      </c>
      <c r="M59" s="58">
        <v>3.6085786666145925E-2</v>
      </c>
      <c r="P59" s="58">
        <v>1.1940699254376463E-2</v>
      </c>
      <c r="S59" s="58">
        <v>2.233316455374515E-2</v>
      </c>
      <c r="V59" s="58">
        <v>1.142545649491189E-2</v>
      </c>
      <c r="Y59" s="58">
        <v>1.15E-2</v>
      </c>
    </row>
    <row r="60" spans="10:25" x14ac:dyDescent="0.35">
      <c r="J60" s="58">
        <v>3.3568350216095499E-2</v>
      </c>
      <c r="M60" s="58">
        <v>3.7635157834776889E-2</v>
      </c>
      <c r="P60" s="58">
        <v>1.2E-2</v>
      </c>
      <c r="S60" s="58">
        <v>2.8999999999999998E-2</v>
      </c>
      <c r="V60" s="58">
        <v>1.15E-2</v>
      </c>
      <c r="Y60" s="58">
        <v>1.1766151987582685E-2</v>
      </c>
    </row>
    <row r="61" spans="10:25" x14ac:dyDescent="0.35">
      <c r="J61" s="58">
        <v>3.3622968399086073E-2</v>
      </c>
      <c r="M61" s="58">
        <v>4.015736044542062E-2</v>
      </c>
      <c r="P61" s="58">
        <v>1.2125318250302497E-2</v>
      </c>
      <c r="S61" s="58">
        <v>0.03</v>
      </c>
      <c r="V61" s="58">
        <v>1.1553595392548743E-2</v>
      </c>
      <c r="Y61" s="58">
        <v>1.2E-2</v>
      </c>
    </row>
    <row r="62" spans="10:25" x14ac:dyDescent="0.35">
      <c r="J62" s="58">
        <v>3.4371682858379105E-2</v>
      </c>
      <c r="M62" s="58">
        <v>4.2369839199843939E-2</v>
      </c>
      <c r="P62" s="58">
        <v>1.2500000000000001E-2</v>
      </c>
      <c r="S62" s="58">
        <v>3.0202927202235993E-2</v>
      </c>
      <c r="V62" s="58">
        <v>1.18E-2</v>
      </c>
      <c r="Y62" s="58">
        <v>1.2010042098670064E-2</v>
      </c>
    </row>
    <row r="63" spans="10:25" x14ac:dyDescent="0.35">
      <c r="J63" s="58">
        <v>3.4508060670419782E-2</v>
      </c>
      <c r="M63" s="58" t="s">
        <v>768</v>
      </c>
      <c r="P63" s="58">
        <v>1.2509766887391249E-2</v>
      </c>
      <c r="S63" s="58">
        <v>3.5000000000000003E-2</v>
      </c>
      <c r="V63" s="58">
        <v>1.1812850252158391E-2</v>
      </c>
      <c r="Y63" s="58">
        <v>1.2190923266410802E-2</v>
      </c>
    </row>
    <row r="64" spans="10:25" x14ac:dyDescent="0.35">
      <c r="J64" s="58">
        <v>3.4534885764128553E-2</v>
      </c>
      <c r="P64" s="58">
        <v>1.2548325769659373E-2</v>
      </c>
      <c r="S64" s="58">
        <v>4.9623241768894877E-2</v>
      </c>
      <c r="V64" s="58">
        <v>1.192847043520584E-2</v>
      </c>
      <c r="Y64" s="58">
        <v>1.2194609831299053E-2</v>
      </c>
    </row>
    <row r="65" spans="10:25" x14ac:dyDescent="0.35">
      <c r="J65" s="58">
        <v>3.4909510387220566E-2</v>
      </c>
      <c r="P65" s="58">
        <v>1.270252601352384E-2</v>
      </c>
      <c r="S65" s="58" t="s">
        <v>768</v>
      </c>
      <c r="V65" s="58">
        <v>1.1940699254376463E-2</v>
      </c>
      <c r="Y65" s="58">
        <v>1.2301859665232232E-2</v>
      </c>
    </row>
    <row r="66" spans="10:25" x14ac:dyDescent="0.35">
      <c r="J66" s="58">
        <v>3.5294796357836722E-2</v>
      </c>
      <c r="P66" s="58">
        <v>1.3000000000000001E-2</v>
      </c>
      <c r="V66" s="58">
        <v>1.2E-2</v>
      </c>
      <c r="Y66" s="58">
        <v>1.2374478439314052E-2</v>
      </c>
    </row>
    <row r="67" spans="10:25" x14ac:dyDescent="0.35">
      <c r="J67" s="58">
        <v>3.5403578924644963E-2</v>
      </c>
      <c r="P67" s="58">
        <v>1.301109180961219E-2</v>
      </c>
      <c r="V67" s="58">
        <v>1.2125318250302497E-2</v>
      </c>
      <c r="Y67" s="58">
        <v>1.2443403559372346E-2</v>
      </c>
    </row>
    <row r="68" spans="10:25" x14ac:dyDescent="0.35">
      <c r="J68" s="58">
        <v>3.6100445862176533E-2</v>
      </c>
      <c r="P68" s="58">
        <v>1.3189020710146215E-2</v>
      </c>
      <c r="V68" s="58">
        <v>1.2500000000000001E-2</v>
      </c>
      <c r="Y68" s="58">
        <v>1.2449799526929706E-2</v>
      </c>
    </row>
    <row r="69" spans="10:25" x14ac:dyDescent="0.35">
      <c r="J69" s="58">
        <v>3.6943968404894223E-2</v>
      </c>
      <c r="P69" s="58">
        <v>1.3197724978515095E-2</v>
      </c>
      <c r="V69" s="58">
        <v>1.2509766887391249E-2</v>
      </c>
      <c r="Y69" s="58">
        <v>1.2500000000000001E-2</v>
      </c>
    </row>
    <row r="70" spans="10:25" x14ac:dyDescent="0.35">
      <c r="J70" s="58">
        <v>3.7083175447063077E-2</v>
      </c>
      <c r="P70" s="58">
        <v>1.3205942263497262E-2</v>
      </c>
      <c r="V70" s="58">
        <v>1.2548325769659373E-2</v>
      </c>
      <c r="Y70" s="58">
        <v>1.2773335320889867E-2</v>
      </c>
    </row>
    <row r="71" spans="10:25" x14ac:dyDescent="0.35">
      <c r="J71" s="58">
        <v>3.7178928481767404E-2</v>
      </c>
      <c r="P71" s="58">
        <v>1.3258711060067339E-2</v>
      </c>
      <c r="V71" s="58">
        <v>1.270252601352384E-2</v>
      </c>
      <c r="Y71" s="58">
        <v>1.29E-2</v>
      </c>
    </row>
    <row r="72" spans="10:25" x14ac:dyDescent="0.35">
      <c r="J72" s="58">
        <v>3.7734363683545658E-2</v>
      </c>
      <c r="P72" s="58">
        <v>1.3334596901974803E-2</v>
      </c>
      <c r="V72" s="58">
        <v>1.3000000000000001E-2</v>
      </c>
      <c r="Y72" s="58">
        <v>1.3286814777627276E-2</v>
      </c>
    </row>
    <row r="73" spans="10:25" x14ac:dyDescent="0.35">
      <c r="J73" s="58">
        <v>3.8252856066533836E-2</v>
      </c>
      <c r="P73" s="58">
        <v>1.3500000000000002E-2</v>
      </c>
      <c r="V73" s="58">
        <v>1.301109180961219E-2</v>
      </c>
      <c r="Y73" s="58">
        <v>1.3810003622565459E-2</v>
      </c>
    </row>
    <row r="74" spans="10:25" x14ac:dyDescent="0.35">
      <c r="J74" s="58">
        <v>3.8369561739408864E-2</v>
      </c>
      <c r="P74" s="58">
        <v>1.3728575122936541E-2</v>
      </c>
      <c r="V74" s="58">
        <v>1.3189020710146215E-2</v>
      </c>
      <c r="Y74" s="58">
        <v>1.3981539578857394E-2</v>
      </c>
    </row>
    <row r="75" spans="10:25" x14ac:dyDescent="0.35">
      <c r="J75" s="58">
        <v>3.9182267411901339E-2</v>
      </c>
      <c r="P75" s="58">
        <v>1.3730194668303969E-2</v>
      </c>
      <c r="V75" s="58">
        <v>1.3197724978515095E-2</v>
      </c>
      <c r="Y75" s="58">
        <v>1.4076687668435506E-2</v>
      </c>
    </row>
    <row r="76" spans="10:25" x14ac:dyDescent="0.35">
      <c r="J76" s="58">
        <v>3.9238069640534556E-2</v>
      </c>
      <c r="P76" s="58">
        <v>1.3999999999999999E-2</v>
      </c>
      <c r="V76" s="58">
        <v>1.3205942263497262E-2</v>
      </c>
      <c r="Y76" s="58">
        <v>1.4190824862453599E-2</v>
      </c>
    </row>
    <row r="77" spans="10:25" x14ac:dyDescent="0.35">
      <c r="J77" s="58">
        <v>3.9936663477124101E-2</v>
      </c>
      <c r="P77" s="58">
        <v>1.4098648233335002E-2</v>
      </c>
      <c r="V77" s="58">
        <v>1.3258711060067339E-2</v>
      </c>
      <c r="Y77" s="58">
        <v>1.4423597626045614E-2</v>
      </c>
    </row>
    <row r="78" spans="10:25" x14ac:dyDescent="0.35">
      <c r="J78" s="58">
        <v>3.9972371689434905E-2</v>
      </c>
      <c r="P78" s="58">
        <v>1.41124262469337E-2</v>
      </c>
      <c r="V78" s="58">
        <v>1.3334596901974803E-2</v>
      </c>
      <c r="Y78" s="58">
        <v>1.4499999999999999E-2</v>
      </c>
    </row>
    <row r="79" spans="10:25" x14ac:dyDescent="0.35">
      <c r="J79" s="58">
        <v>4.023753387741702E-2</v>
      </c>
      <c r="P79" s="58">
        <v>1.4115161866876289E-2</v>
      </c>
      <c r="V79" s="58">
        <v>1.3480780535695791E-2</v>
      </c>
      <c r="Y79" s="58">
        <v>1.4775311220029147E-2</v>
      </c>
    </row>
    <row r="80" spans="10:25" x14ac:dyDescent="0.35">
      <c r="J80" s="58">
        <v>4.0312141728838569E-2</v>
      </c>
      <c r="P80" s="58">
        <v>1.4164291090012484E-2</v>
      </c>
      <c r="V80" s="58">
        <v>1.3500000000000002E-2</v>
      </c>
      <c r="Y80" s="58">
        <v>1.5244251038439627E-2</v>
      </c>
    </row>
    <row r="81" spans="10:25" x14ac:dyDescent="0.35">
      <c r="J81" s="58">
        <v>4.1031330001819244E-2</v>
      </c>
      <c r="P81" s="58">
        <v>1.4475248313748024E-2</v>
      </c>
      <c r="V81" s="58">
        <v>1.3518927037481143E-2</v>
      </c>
      <c r="Y81" s="58">
        <v>1.55E-2</v>
      </c>
    </row>
    <row r="82" spans="10:25" x14ac:dyDescent="0.35">
      <c r="J82" s="58">
        <v>4.1470649175676666E-2</v>
      </c>
      <c r="P82" s="58">
        <v>1.4499999999999999E-2</v>
      </c>
      <c r="V82" s="58">
        <v>1.3728575122936541E-2</v>
      </c>
      <c r="Y82" s="58">
        <v>1.5655636247780658E-2</v>
      </c>
    </row>
    <row r="83" spans="10:25" x14ac:dyDescent="0.35">
      <c r="J83" s="58">
        <v>4.1526636118506266E-2</v>
      </c>
      <c r="P83" s="58">
        <v>1.4667591244999861E-2</v>
      </c>
      <c r="V83" s="58">
        <v>1.3730194668303969E-2</v>
      </c>
      <c r="Y83" s="58">
        <v>1.5707999980897322E-2</v>
      </c>
    </row>
    <row r="84" spans="10:25" x14ac:dyDescent="0.35">
      <c r="J84" s="58">
        <v>4.1836218274165615E-2</v>
      </c>
      <c r="P84" s="58">
        <v>1.4999999999999999E-2</v>
      </c>
      <c r="V84" s="58">
        <v>1.3999999999999999E-2</v>
      </c>
      <c r="Y84" s="58">
        <v>1.6374834684147466E-2</v>
      </c>
    </row>
    <row r="85" spans="10:25" x14ac:dyDescent="0.35">
      <c r="J85" s="58">
        <v>4.2921095395236586E-2</v>
      </c>
      <c r="P85" s="58">
        <v>1.5132821505853046E-2</v>
      </c>
      <c r="V85" s="58">
        <v>1.4098648233335002E-2</v>
      </c>
      <c r="Y85" s="58">
        <v>1.6699915905651563E-2</v>
      </c>
    </row>
    <row r="86" spans="10:25" x14ac:dyDescent="0.35">
      <c r="J86" s="58">
        <v>4.5432526897638104E-2</v>
      </c>
      <c r="P86" s="58">
        <v>1.5236903832019529E-2</v>
      </c>
      <c r="V86" s="58">
        <v>1.41124262469337E-2</v>
      </c>
      <c r="Y86" s="58">
        <v>1.7126975598439342E-2</v>
      </c>
    </row>
    <row r="87" spans="10:25" x14ac:dyDescent="0.35">
      <c r="J87" s="58">
        <v>4.6014971236980839E-2</v>
      </c>
      <c r="P87" s="58">
        <v>1.5342850392917606E-2</v>
      </c>
      <c r="V87" s="58">
        <v>1.4115161866876289E-2</v>
      </c>
      <c r="Y87" s="58">
        <v>1.7567539926467424E-2</v>
      </c>
    </row>
    <row r="88" spans="10:25" x14ac:dyDescent="0.35">
      <c r="J88" s="58">
        <v>4.6185498059376995E-2</v>
      </c>
      <c r="P88" s="58">
        <v>1.5428548827166107E-2</v>
      </c>
      <c r="V88" s="58">
        <v>1.4164291090012484E-2</v>
      </c>
      <c r="Y88" s="58">
        <v>1.7587056110925259E-2</v>
      </c>
    </row>
    <row r="89" spans="10:25" x14ac:dyDescent="0.35">
      <c r="J89" s="58">
        <v>4.7873274823730716E-2</v>
      </c>
      <c r="P89" s="58">
        <v>1.55E-2</v>
      </c>
      <c r="V89" s="58">
        <v>1.4475248313748024E-2</v>
      </c>
      <c r="Y89" s="58">
        <v>1.7597398896003959E-2</v>
      </c>
    </row>
    <row r="90" spans="10:25" x14ac:dyDescent="0.35">
      <c r="J90" s="58">
        <v>4.9276563587330902E-2</v>
      </c>
      <c r="P90" s="58">
        <v>1.5727705203647968E-2</v>
      </c>
      <c r="V90" s="58">
        <v>1.4499999999999999E-2</v>
      </c>
      <c r="Y90" s="58">
        <v>1.7820376526369006E-2</v>
      </c>
    </row>
    <row r="91" spans="10:25" x14ac:dyDescent="0.35">
      <c r="J91" s="58">
        <v>4.9964836445694827E-2</v>
      </c>
      <c r="P91" s="58">
        <v>1.6E-2</v>
      </c>
      <c r="V91" s="58">
        <v>1.4667591244999861E-2</v>
      </c>
      <c r="Y91" s="58">
        <v>1.803324538990414E-2</v>
      </c>
    </row>
    <row r="92" spans="10:25" x14ac:dyDescent="0.35">
      <c r="J92" s="58">
        <v>5.0095109176576447E-2</v>
      </c>
      <c r="P92" s="58">
        <v>1.609587357932396E-2</v>
      </c>
      <c r="V92" s="58">
        <v>1.4865820908918748E-2</v>
      </c>
      <c r="Y92" s="58">
        <v>1.8277996246921946E-2</v>
      </c>
    </row>
    <row r="93" spans="10:25" x14ac:dyDescent="0.35">
      <c r="J93" s="58">
        <v>5.3772411338334658E-2</v>
      </c>
      <c r="P93" s="58">
        <v>1.6247324630025539E-2</v>
      </c>
      <c r="V93" s="58">
        <v>1.4999999999999999E-2</v>
      </c>
      <c r="Y93" s="58">
        <v>1.8286108583573712E-2</v>
      </c>
    </row>
    <row r="94" spans="10:25" x14ac:dyDescent="0.35">
      <c r="J94" s="58">
        <v>5.5905388633823883E-2</v>
      </c>
      <c r="P94" s="58">
        <v>1.6500000000000001E-2</v>
      </c>
      <c r="V94" s="58">
        <v>1.5132821505853046E-2</v>
      </c>
      <c r="Y94" s="58">
        <v>1.8500000000000003E-2</v>
      </c>
    </row>
    <row r="95" spans="10:25" x14ac:dyDescent="0.35">
      <c r="J95" s="58">
        <v>5.7849645880048151E-2</v>
      </c>
      <c r="P95" s="58">
        <v>1.7000000000000001E-2</v>
      </c>
      <c r="V95" s="58">
        <v>1.5236903832019529E-2</v>
      </c>
      <c r="Y95" s="58">
        <v>1.8736446205041373E-2</v>
      </c>
    </row>
    <row r="96" spans="10:25" x14ac:dyDescent="0.35">
      <c r="J96" s="58">
        <v>6.2383573989025498E-2</v>
      </c>
      <c r="P96" s="58">
        <v>1.7105466406881067E-2</v>
      </c>
      <c r="V96" s="58">
        <v>1.5342850392917606E-2</v>
      </c>
      <c r="Y96" s="58">
        <v>1.8972618106170458E-2</v>
      </c>
    </row>
    <row r="97" spans="10:25" x14ac:dyDescent="0.35">
      <c r="J97" s="58">
        <v>6.287704603173716E-2</v>
      </c>
      <c r="P97" s="58">
        <v>1.7299889270069091E-2</v>
      </c>
      <c r="V97" s="58">
        <v>1.5428548827166107E-2</v>
      </c>
      <c r="Y97" s="58">
        <v>1.9E-2</v>
      </c>
    </row>
    <row r="98" spans="10:25" x14ac:dyDescent="0.35">
      <c r="J98" s="58">
        <v>6.3056578334491187E-2</v>
      </c>
      <c r="P98" s="58">
        <v>1.7500000000000002E-2</v>
      </c>
      <c r="V98" s="58">
        <v>1.55E-2</v>
      </c>
      <c r="Y98" s="58">
        <v>1.9452624262604967E-2</v>
      </c>
    </row>
    <row r="99" spans="10:25" x14ac:dyDescent="0.35">
      <c r="J99" s="58">
        <v>6.765181369987272E-2</v>
      </c>
      <c r="P99" s="58">
        <v>1.8000000000000002E-2</v>
      </c>
      <c r="V99" s="58">
        <v>1.5727705203647968E-2</v>
      </c>
      <c r="Y99" s="58">
        <v>1.958697356956085E-2</v>
      </c>
    </row>
    <row r="100" spans="10:25" x14ac:dyDescent="0.35">
      <c r="J100" s="58">
        <v>6.8343820082715778E-2</v>
      </c>
      <c r="P100" s="58">
        <v>1.8500000000000003E-2</v>
      </c>
      <c r="V100" s="58">
        <v>1.5981106764594299E-2</v>
      </c>
      <c r="Y100" s="58">
        <v>2.1297387243117472E-2</v>
      </c>
    </row>
    <row r="101" spans="10:25" x14ac:dyDescent="0.35">
      <c r="J101" s="58">
        <v>6.9273082454898605E-2</v>
      </c>
      <c r="P101" s="58">
        <v>1.8529427683058642E-2</v>
      </c>
      <c r="V101" s="58">
        <v>1.6E-2</v>
      </c>
      <c r="Y101" s="58">
        <v>2.2161454320951623E-2</v>
      </c>
    </row>
    <row r="102" spans="10:25" x14ac:dyDescent="0.35">
      <c r="J102" s="58">
        <v>6.965528671008081E-2</v>
      </c>
      <c r="P102" s="58">
        <v>1.8582648043217409E-2</v>
      </c>
      <c r="V102" s="58">
        <v>1.609587357932396E-2</v>
      </c>
      <c r="Y102" s="58">
        <v>2.233316455374515E-2</v>
      </c>
    </row>
    <row r="103" spans="10:25" x14ac:dyDescent="0.35">
      <c r="J103" s="58">
        <v>7.0491951816031628E-2</v>
      </c>
      <c r="P103" s="58">
        <v>1.8651845037651275E-2</v>
      </c>
      <c r="V103" s="58">
        <v>1.6201249241704074E-2</v>
      </c>
      <c r="Y103" s="58">
        <v>2.3966635794522739E-2</v>
      </c>
    </row>
    <row r="104" spans="10:25" x14ac:dyDescent="0.35">
      <c r="J104" s="58">
        <v>7.405760536218442E-2</v>
      </c>
      <c r="P104" s="58">
        <v>1.8882530055031443E-2</v>
      </c>
      <c r="V104" s="58">
        <v>1.6247324630025539E-2</v>
      </c>
      <c r="Y104" s="58">
        <v>2.5517885094564541E-2</v>
      </c>
    </row>
    <row r="105" spans="10:25" x14ac:dyDescent="0.35">
      <c r="J105" s="58">
        <v>7.8918372935750769E-2</v>
      </c>
      <c r="P105" s="58">
        <v>1.9E-2</v>
      </c>
      <c r="V105" s="58">
        <v>1.6306716609078009E-2</v>
      </c>
      <c r="Y105" s="58">
        <v>2.5937831332745409E-2</v>
      </c>
    </row>
    <row r="106" spans="10:25" x14ac:dyDescent="0.35">
      <c r="J106" s="58">
        <v>8.0867187505597959E-2</v>
      </c>
      <c r="P106" s="58">
        <v>1.9018154910432673E-2</v>
      </c>
      <c r="V106" s="58">
        <v>1.6377653273914383E-2</v>
      </c>
      <c r="Y106" s="58">
        <v>2.8999999999999998E-2</v>
      </c>
    </row>
    <row r="107" spans="10:25" x14ac:dyDescent="0.35">
      <c r="J107" s="58" t="s">
        <v>768</v>
      </c>
      <c r="P107" s="58">
        <v>1.9193198348066431E-2</v>
      </c>
      <c r="V107" s="58">
        <v>1.6500000000000001E-2</v>
      </c>
      <c r="Y107" s="58">
        <v>2.9568365235058458E-2</v>
      </c>
    </row>
    <row r="108" spans="10:25" x14ac:dyDescent="0.35">
      <c r="P108" s="58">
        <v>1.9299999999999998E-2</v>
      </c>
      <c r="V108" s="58">
        <v>1.7000000000000001E-2</v>
      </c>
      <c r="Y108" s="58">
        <v>0.03</v>
      </c>
    </row>
    <row r="109" spans="10:25" x14ac:dyDescent="0.35">
      <c r="P109" s="58">
        <v>1.95E-2</v>
      </c>
      <c r="V109" s="58">
        <v>1.7105466406881067E-2</v>
      </c>
      <c r="Y109" s="58">
        <v>3.0202927202235993E-2</v>
      </c>
    </row>
    <row r="110" spans="10:25" x14ac:dyDescent="0.35">
      <c r="P110" s="58">
        <v>1.9581088218107286E-2</v>
      </c>
      <c r="V110" s="58">
        <v>1.7299889270069091E-2</v>
      </c>
      <c r="Y110" s="58">
        <v>3.0551174246535862E-2</v>
      </c>
    </row>
    <row r="111" spans="10:25" x14ac:dyDescent="0.35">
      <c r="P111" s="58">
        <v>1.9763618005311328E-2</v>
      </c>
      <c r="V111" s="58">
        <v>1.7500000000000002E-2</v>
      </c>
      <c r="Y111" s="58">
        <v>3.4199026263797672E-2</v>
      </c>
    </row>
    <row r="112" spans="10:25" x14ac:dyDescent="0.35">
      <c r="P112" s="58">
        <v>1.9798020773846181E-2</v>
      </c>
      <c r="V112" s="58">
        <v>1.7976200985041269E-2</v>
      </c>
      <c r="Y112" s="58">
        <v>3.5000000000000003E-2</v>
      </c>
    </row>
    <row r="113" spans="16:25" x14ac:dyDescent="0.35">
      <c r="P113" s="58">
        <v>0.02</v>
      </c>
      <c r="V113" s="58">
        <v>1.8000000000000002E-2</v>
      </c>
      <c r="Y113" s="58">
        <v>3.544129370823601E-2</v>
      </c>
    </row>
    <row r="114" spans="16:25" x14ac:dyDescent="0.35">
      <c r="P114" s="58">
        <v>2.0154403245554658E-2</v>
      </c>
      <c r="V114" s="58">
        <v>1.8023954684549093E-2</v>
      </c>
      <c r="Y114" s="58">
        <v>3.5467931354284499E-2</v>
      </c>
    </row>
    <row r="115" spans="16:25" x14ac:dyDescent="0.35">
      <c r="P115" s="58">
        <v>2.0465598430974351E-2</v>
      </c>
      <c r="V115" s="58">
        <v>1.805013833392799E-2</v>
      </c>
      <c r="Y115" s="58">
        <v>3.5770224885680824E-2</v>
      </c>
    </row>
    <row r="116" spans="16:25" x14ac:dyDescent="0.35">
      <c r="P116" s="58">
        <v>2.0499999999999997E-2</v>
      </c>
      <c r="V116" s="58">
        <v>1.8243284135623039E-2</v>
      </c>
      <c r="Y116" s="58">
        <v>3.5874829767077676E-2</v>
      </c>
    </row>
    <row r="117" spans="16:25" x14ac:dyDescent="0.35">
      <c r="P117" s="58">
        <v>2.1000000000000001E-2</v>
      </c>
      <c r="V117" s="58">
        <v>1.8362899748158856E-2</v>
      </c>
      <c r="Y117" s="58">
        <v>3.6085786666145925E-2</v>
      </c>
    </row>
    <row r="118" spans="16:25" x14ac:dyDescent="0.35">
      <c r="P118" s="58">
        <v>2.1109162423284023E-2</v>
      </c>
      <c r="V118" s="58">
        <v>1.8500000000000003E-2</v>
      </c>
      <c r="Y118" s="58">
        <v>3.7635157834776889E-2</v>
      </c>
    </row>
    <row r="119" spans="16:25" x14ac:dyDescent="0.35">
      <c r="P119" s="58">
        <v>2.1499999999999998E-2</v>
      </c>
      <c r="V119" s="58">
        <v>1.8529427683058642E-2</v>
      </c>
      <c r="Y119" s="58">
        <v>4.015736044542062E-2</v>
      </c>
    </row>
    <row r="120" spans="16:25" x14ac:dyDescent="0.35">
      <c r="P120" s="58">
        <v>2.1536877034549897E-2</v>
      </c>
      <c r="V120" s="58">
        <v>1.8582648043217409E-2</v>
      </c>
      <c r="Y120" s="58">
        <v>4.2369839199843939E-2</v>
      </c>
    </row>
    <row r="121" spans="16:25" x14ac:dyDescent="0.35">
      <c r="P121" s="58">
        <v>2.1962358542059985E-2</v>
      </c>
      <c r="V121" s="58">
        <v>1.8651845037651275E-2</v>
      </c>
      <c r="Y121" s="58">
        <v>4.9623241768894877E-2</v>
      </c>
    </row>
    <row r="122" spans="16:25" x14ac:dyDescent="0.35">
      <c r="P122" s="58">
        <v>2.2000000000000002E-2</v>
      </c>
      <c r="V122" s="58">
        <v>1.8719447467970385E-2</v>
      </c>
      <c r="Y122" s="58" t="s">
        <v>768</v>
      </c>
    </row>
    <row r="123" spans="16:25" x14ac:dyDescent="0.35">
      <c r="P123" s="58">
        <v>2.2092331408492878E-2</v>
      </c>
      <c r="V123" s="58">
        <v>1.8882530055031443E-2</v>
      </c>
    </row>
    <row r="124" spans="16:25" x14ac:dyDescent="0.35">
      <c r="P124" s="58">
        <v>2.2142673285790431E-2</v>
      </c>
      <c r="V124" s="58">
        <v>1.9E-2</v>
      </c>
    </row>
    <row r="125" spans="16:25" x14ac:dyDescent="0.35">
      <c r="P125" s="58">
        <v>2.2258713158324065E-2</v>
      </c>
      <c r="V125" s="58">
        <v>1.9018154910432673E-2</v>
      </c>
    </row>
    <row r="126" spans="16:25" x14ac:dyDescent="0.35">
      <c r="P126" s="58">
        <v>2.2765255468301326E-2</v>
      </c>
      <c r="V126" s="58">
        <v>1.9129053004034224E-2</v>
      </c>
    </row>
    <row r="127" spans="16:25" x14ac:dyDescent="0.35">
      <c r="P127" s="58">
        <v>2.3E-2</v>
      </c>
      <c r="V127" s="58">
        <v>1.9193198348066431E-2</v>
      </c>
    </row>
    <row r="128" spans="16:25" x14ac:dyDescent="0.35">
      <c r="P128" s="58">
        <v>2.3068193821138241E-2</v>
      </c>
      <c r="V128" s="58">
        <v>1.9299999999999998E-2</v>
      </c>
    </row>
    <row r="129" spans="16:22" x14ac:dyDescent="0.35">
      <c r="P129" s="58">
        <v>2.343930710942525E-2</v>
      </c>
      <c r="V129" s="58">
        <v>1.95E-2</v>
      </c>
    </row>
    <row r="130" spans="16:22" x14ac:dyDescent="0.35">
      <c r="P130" s="58">
        <v>2.349734366634082E-2</v>
      </c>
      <c r="V130" s="58">
        <v>1.9581088218107286E-2</v>
      </c>
    </row>
    <row r="131" spans="16:22" x14ac:dyDescent="0.35">
      <c r="P131" s="58">
        <v>2.4E-2</v>
      </c>
      <c r="V131" s="58">
        <v>1.9763618005311328E-2</v>
      </c>
    </row>
    <row r="132" spans="16:22" x14ac:dyDescent="0.35">
      <c r="P132" s="58">
        <v>2.4094206287527543E-2</v>
      </c>
      <c r="V132" s="58">
        <v>1.9798020773846181E-2</v>
      </c>
    </row>
    <row r="133" spans="16:22" x14ac:dyDescent="0.35">
      <c r="P133" s="58">
        <v>2.4482383374950623E-2</v>
      </c>
      <c r="V133" s="58">
        <v>0.02</v>
      </c>
    </row>
    <row r="134" spans="16:22" x14ac:dyDescent="0.35">
      <c r="P134" s="58">
        <v>2.5000000000000001E-2</v>
      </c>
      <c r="V134" s="58">
        <v>2.0154403245554658E-2</v>
      </c>
    </row>
    <row r="135" spans="16:22" x14ac:dyDescent="0.35">
      <c r="P135" s="58">
        <v>2.5099999999999997E-2</v>
      </c>
      <c r="V135" s="58">
        <v>2.033447348682027E-2</v>
      </c>
    </row>
    <row r="136" spans="16:22" x14ac:dyDescent="0.35">
      <c r="P136" s="58">
        <v>2.5499999999999998E-2</v>
      </c>
      <c r="V136" s="58">
        <v>2.0409370729472132E-2</v>
      </c>
    </row>
    <row r="137" spans="16:22" x14ac:dyDescent="0.35">
      <c r="P137" s="58">
        <v>2.5918275031720832E-2</v>
      </c>
      <c r="V137" s="58">
        <v>2.0465598430974351E-2</v>
      </c>
    </row>
    <row r="138" spans="16:22" x14ac:dyDescent="0.35">
      <c r="P138" s="58">
        <v>2.6000000000000002E-2</v>
      </c>
      <c r="V138" s="58">
        <v>2.0499999999999997E-2</v>
      </c>
    </row>
    <row r="139" spans="16:22" x14ac:dyDescent="0.35">
      <c r="P139" s="58">
        <v>2.6438609515595513E-2</v>
      </c>
      <c r="V139" s="58">
        <v>2.0530424709657602E-2</v>
      </c>
    </row>
    <row r="140" spans="16:22" x14ac:dyDescent="0.35">
      <c r="P140" s="58">
        <v>2.6499999999999999E-2</v>
      </c>
      <c r="V140" s="58">
        <v>2.0824236100700722E-2</v>
      </c>
    </row>
    <row r="141" spans="16:22" x14ac:dyDescent="0.35">
      <c r="P141" s="58">
        <v>2.6847053391805136E-2</v>
      </c>
      <c r="V141" s="58">
        <v>2.1000000000000001E-2</v>
      </c>
    </row>
    <row r="142" spans="16:22" x14ac:dyDescent="0.35">
      <c r="P142" s="58">
        <v>2.7000000000000003E-2</v>
      </c>
      <c r="V142" s="58">
        <v>2.11059573457959E-2</v>
      </c>
    </row>
    <row r="143" spans="16:22" x14ac:dyDescent="0.35">
      <c r="P143" s="58">
        <v>2.75E-2</v>
      </c>
      <c r="V143" s="58">
        <v>2.1109162423284023E-2</v>
      </c>
    </row>
    <row r="144" spans="16:22" x14ac:dyDescent="0.35">
      <c r="P144" s="58">
        <v>2.8072431015108812E-2</v>
      </c>
      <c r="V144" s="58">
        <v>2.1179202871856706E-2</v>
      </c>
    </row>
    <row r="145" spans="16:22" x14ac:dyDescent="0.35">
      <c r="P145" s="58">
        <v>2.8500000000000001E-2</v>
      </c>
      <c r="V145" s="58">
        <v>2.143565323755614E-2</v>
      </c>
    </row>
    <row r="146" spans="16:22" x14ac:dyDescent="0.35">
      <c r="P146" s="58">
        <v>2.8576984540753747E-2</v>
      </c>
      <c r="V146" s="58">
        <v>2.1499999999999998E-2</v>
      </c>
    </row>
    <row r="147" spans="16:22" x14ac:dyDescent="0.35">
      <c r="P147" s="58">
        <v>2.8884797597171996E-2</v>
      </c>
      <c r="V147" s="58">
        <v>2.1536877034549897E-2</v>
      </c>
    </row>
    <row r="148" spans="16:22" x14ac:dyDescent="0.35">
      <c r="P148" s="58">
        <v>2.8999999999999998E-2</v>
      </c>
      <c r="V148" s="58">
        <v>2.1628928786174617E-2</v>
      </c>
    </row>
    <row r="149" spans="16:22" x14ac:dyDescent="0.35">
      <c r="P149" s="58">
        <v>2.9500000000000002E-2</v>
      </c>
      <c r="V149" s="58">
        <v>2.1758156496881842E-2</v>
      </c>
    </row>
    <row r="150" spans="16:22" x14ac:dyDescent="0.35">
      <c r="P150" s="58">
        <v>2.959836153967476E-2</v>
      </c>
      <c r="V150" s="58">
        <v>2.1962358542059985E-2</v>
      </c>
    </row>
    <row r="151" spans="16:22" x14ac:dyDescent="0.35">
      <c r="P151" s="58">
        <v>2.9883486935029069E-2</v>
      </c>
      <c r="V151" s="58">
        <v>2.2000000000000002E-2</v>
      </c>
    </row>
    <row r="152" spans="16:22" x14ac:dyDescent="0.35">
      <c r="P152" s="58">
        <v>0.03</v>
      </c>
      <c r="V152" s="58">
        <v>2.2092331408492878E-2</v>
      </c>
    </row>
    <row r="153" spans="16:22" x14ac:dyDescent="0.35">
      <c r="P153" s="58">
        <v>3.0695966659125551E-2</v>
      </c>
      <c r="V153" s="58">
        <v>2.2142673285790431E-2</v>
      </c>
    </row>
    <row r="154" spans="16:22" x14ac:dyDescent="0.35">
      <c r="P154" s="58">
        <v>3.1475868118271078E-2</v>
      </c>
      <c r="V154" s="58">
        <v>2.2258713158324065E-2</v>
      </c>
    </row>
    <row r="155" spans="16:22" x14ac:dyDescent="0.35">
      <c r="P155" s="58">
        <v>3.2000000000000001E-2</v>
      </c>
      <c r="V155" s="58">
        <v>2.2628024356858401E-2</v>
      </c>
    </row>
    <row r="156" spans="16:22" x14ac:dyDescent="0.35">
      <c r="P156" s="58">
        <v>3.3301888425993686E-2</v>
      </c>
      <c r="V156" s="58">
        <v>2.2765255468301326E-2</v>
      </c>
    </row>
    <row r="157" spans="16:22" x14ac:dyDescent="0.35">
      <c r="P157" s="58">
        <v>3.3341303280623673E-2</v>
      </c>
      <c r="V157" s="58">
        <v>2.3E-2</v>
      </c>
    </row>
    <row r="158" spans="16:22" x14ac:dyDescent="0.35">
      <c r="P158" s="58">
        <v>3.3896976234699429E-2</v>
      </c>
      <c r="V158" s="58">
        <v>2.3068193821138241E-2</v>
      </c>
    </row>
    <row r="159" spans="16:22" x14ac:dyDescent="0.35">
      <c r="P159" s="58">
        <v>3.4315254502407466E-2</v>
      </c>
      <c r="V159" s="58">
        <v>2.3432653155916805E-2</v>
      </c>
    </row>
    <row r="160" spans="16:22" x14ac:dyDescent="0.35">
      <c r="P160" s="58">
        <v>3.465399115130971E-2</v>
      </c>
      <c r="V160" s="58">
        <v>2.343930710942525E-2</v>
      </c>
    </row>
    <row r="161" spans="16:22" x14ac:dyDescent="0.35">
      <c r="P161" s="58">
        <v>3.5000000000000003E-2</v>
      </c>
      <c r="V161" s="58">
        <v>2.349734366634082E-2</v>
      </c>
    </row>
    <row r="162" spans="16:22" x14ac:dyDescent="0.35">
      <c r="P162" s="58">
        <v>3.5658030132180718E-2</v>
      </c>
      <c r="V162" s="58">
        <v>2.3698309243131543E-2</v>
      </c>
    </row>
    <row r="163" spans="16:22" x14ac:dyDescent="0.35">
      <c r="P163" s="58">
        <v>3.5820001863068891E-2</v>
      </c>
      <c r="V163" s="58">
        <v>2.3777894020265089E-2</v>
      </c>
    </row>
    <row r="164" spans="16:22" x14ac:dyDescent="0.35">
      <c r="P164" s="58">
        <v>3.6142913974750446E-2</v>
      </c>
      <c r="V164" s="58">
        <v>2.4E-2</v>
      </c>
    </row>
    <row r="165" spans="16:22" x14ac:dyDescent="0.35">
      <c r="P165" s="58">
        <v>3.7000000000000005E-2</v>
      </c>
      <c r="V165" s="58">
        <v>2.4094206287527543E-2</v>
      </c>
    </row>
    <row r="166" spans="16:22" x14ac:dyDescent="0.35">
      <c r="P166" s="58">
        <v>3.7302364716141012E-2</v>
      </c>
      <c r="V166" s="58">
        <v>2.424881051711214E-2</v>
      </c>
    </row>
    <row r="167" spans="16:22" x14ac:dyDescent="0.35">
      <c r="P167" s="58">
        <v>3.7499999999999999E-2</v>
      </c>
      <c r="V167" s="58">
        <v>2.4482383374950623E-2</v>
      </c>
    </row>
    <row r="168" spans="16:22" x14ac:dyDescent="0.35">
      <c r="P168" s="58">
        <v>3.752599291835601E-2</v>
      </c>
      <c r="V168" s="58">
        <v>2.5000000000000001E-2</v>
      </c>
    </row>
    <row r="169" spans="16:22" x14ac:dyDescent="0.35">
      <c r="P169" s="58">
        <v>3.7999999999999999E-2</v>
      </c>
      <c r="V169" s="58">
        <v>2.5099999999999997E-2</v>
      </c>
    </row>
    <row r="170" spans="16:22" x14ac:dyDescent="0.35">
      <c r="P170" s="58">
        <v>3.9040698438589816E-2</v>
      </c>
      <c r="V170" s="58">
        <v>2.5288359312976905E-2</v>
      </c>
    </row>
    <row r="171" spans="16:22" x14ac:dyDescent="0.35">
      <c r="P171" s="58">
        <v>0.04</v>
      </c>
      <c r="V171" s="58">
        <v>2.5499999999999998E-2</v>
      </c>
    </row>
    <row r="172" spans="16:22" x14ac:dyDescent="0.35">
      <c r="P172" s="58">
        <v>4.0417528558939264E-2</v>
      </c>
      <c r="V172" s="58">
        <v>2.5918275031720832E-2</v>
      </c>
    </row>
    <row r="173" spans="16:22" x14ac:dyDescent="0.35">
      <c r="P173" s="58">
        <v>4.0500000000000001E-2</v>
      </c>
      <c r="V173" s="58">
        <v>2.6000000000000002E-2</v>
      </c>
    </row>
    <row r="174" spans="16:22" x14ac:dyDescent="0.35">
      <c r="P174" s="58">
        <v>4.0999999999999995E-2</v>
      </c>
      <c r="V174" s="58">
        <v>2.6064604795942081E-2</v>
      </c>
    </row>
    <row r="175" spans="16:22" x14ac:dyDescent="0.35">
      <c r="P175" s="58">
        <v>4.2000000000000003E-2</v>
      </c>
      <c r="V175" s="58">
        <v>2.6399463532976508E-2</v>
      </c>
    </row>
    <row r="176" spans="16:22" x14ac:dyDescent="0.35">
      <c r="P176" s="58">
        <v>4.4999999999999998E-2</v>
      </c>
      <c r="V176" s="58">
        <v>2.6438609515595513E-2</v>
      </c>
    </row>
    <row r="177" spans="16:22" x14ac:dyDescent="0.35">
      <c r="P177" s="58">
        <v>4.6189209405952517E-2</v>
      </c>
      <c r="V177" s="58">
        <v>2.6499999999999999E-2</v>
      </c>
    </row>
    <row r="178" spans="16:22" x14ac:dyDescent="0.35">
      <c r="P178" s="58">
        <v>4.6923739593280958E-2</v>
      </c>
      <c r="V178" s="58">
        <v>2.6847053391805136E-2</v>
      </c>
    </row>
    <row r="179" spans="16:22" x14ac:dyDescent="0.35">
      <c r="P179" s="58">
        <v>0.05</v>
      </c>
      <c r="V179" s="58">
        <v>2.7000000000000003E-2</v>
      </c>
    </row>
    <row r="180" spans="16:22" x14ac:dyDescent="0.35">
      <c r="P180" s="58">
        <v>5.1819030804687721E-2</v>
      </c>
      <c r="V180" s="58">
        <v>2.75E-2</v>
      </c>
    </row>
    <row r="181" spans="16:22" x14ac:dyDescent="0.35">
      <c r="P181" s="58">
        <v>5.243613224615664E-2</v>
      </c>
      <c r="V181" s="58">
        <v>2.7610563309885761E-2</v>
      </c>
    </row>
    <row r="182" spans="16:22" x14ac:dyDescent="0.35">
      <c r="P182" s="58">
        <v>5.4000000000000006E-2</v>
      </c>
      <c r="V182" s="58">
        <v>2.7650555444061808E-2</v>
      </c>
    </row>
    <row r="183" spans="16:22" x14ac:dyDescent="0.35">
      <c r="P183" s="58" t="s">
        <v>768</v>
      </c>
      <c r="V183" s="58">
        <v>2.7905437766002184E-2</v>
      </c>
    </row>
    <row r="184" spans="16:22" x14ac:dyDescent="0.35">
      <c r="V184" s="58">
        <v>2.8072431015108812E-2</v>
      </c>
    </row>
    <row r="185" spans="16:22" x14ac:dyDescent="0.35">
      <c r="V185" s="58">
        <v>2.8500000000000001E-2</v>
      </c>
    </row>
    <row r="186" spans="16:22" x14ac:dyDescent="0.35">
      <c r="V186" s="58">
        <v>2.8576984540753747E-2</v>
      </c>
    </row>
    <row r="187" spans="16:22" x14ac:dyDescent="0.35">
      <c r="V187" s="58">
        <v>2.8884797597171996E-2</v>
      </c>
    </row>
    <row r="188" spans="16:22" x14ac:dyDescent="0.35">
      <c r="V188" s="58">
        <v>2.8999999999999998E-2</v>
      </c>
    </row>
    <row r="189" spans="16:22" x14ac:dyDescent="0.35">
      <c r="V189" s="58">
        <v>2.9500000000000002E-2</v>
      </c>
    </row>
    <row r="190" spans="16:22" x14ac:dyDescent="0.35">
      <c r="V190" s="58">
        <v>2.959836153967476E-2</v>
      </c>
    </row>
    <row r="191" spans="16:22" x14ac:dyDescent="0.35">
      <c r="V191" s="58">
        <v>2.9883486935029069E-2</v>
      </c>
    </row>
    <row r="192" spans="16:22" x14ac:dyDescent="0.35">
      <c r="V192" s="58">
        <v>0.03</v>
      </c>
    </row>
    <row r="193" spans="22:22" x14ac:dyDescent="0.35">
      <c r="V193" s="58">
        <v>3.0164443942955366E-2</v>
      </c>
    </row>
    <row r="194" spans="22:22" x14ac:dyDescent="0.35">
      <c r="V194" s="58">
        <v>3.0171006128791644E-2</v>
      </c>
    </row>
    <row r="195" spans="22:22" x14ac:dyDescent="0.35">
      <c r="V195" s="58">
        <v>3.0281665583921757E-2</v>
      </c>
    </row>
    <row r="196" spans="22:22" x14ac:dyDescent="0.35">
      <c r="V196" s="58">
        <v>3.0695966659125551E-2</v>
      </c>
    </row>
    <row r="197" spans="22:22" x14ac:dyDescent="0.35">
      <c r="V197" s="58">
        <v>3.0748646073593067E-2</v>
      </c>
    </row>
    <row r="198" spans="22:22" x14ac:dyDescent="0.35">
      <c r="V198" s="58">
        <v>3.1304109926429291E-2</v>
      </c>
    </row>
    <row r="199" spans="22:22" x14ac:dyDescent="0.35">
      <c r="V199" s="58">
        <v>3.1322493570187238E-2</v>
      </c>
    </row>
    <row r="200" spans="22:22" x14ac:dyDescent="0.35">
      <c r="V200" s="58">
        <v>3.1475868118271078E-2</v>
      </c>
    </row>
    <row r="201" spans="22:22" x14ac:dyDescent="0.35">
      <c r="V201" s="58">
        <v>3.1506175639021139E-2</v>
      </c>
    </row>
    <row r="202" spans="22:22" x14ac:dyDescent="0.35">
      <c r="V202" s="58">
        <v>3.1559344107938925E-2</v>
      </c>
    </row>
    <row r="203" spans="22:22" x14ac:dyDescent="0.35">
      <c r="V203" s="58">
        <v>3.2000000000000001E-2</v>
      </c>
    </row>
    <row r="204" spans="22:22" x14ac:dyDescent="0.35">
      <c r="V204" s="58">
        <v>3.2106564280990568E-2</v>
      </c>
    </row>
    <row r="205" spans="22:22" x14ac:dyDescent="0.35">
      <c r="V205" s="58">
        <v>3.2445691227251272E-2</v>
      </c>
    </row>
    <row r="206" spans="22:22" x14ac:dyDescent="0.35">
      <c r="V206" s="58">
        <v>3.2679352680916152E-2</v>
      </c>
    </row>
    <row r="207" spans="22:22" x14ac:dyDescent="0.35">
      <c r="V207" s="58">
        <v>3.2888592540073924E-2</v>
      </c>
    </row>
    <row r="208" spans="22:22" x14ac:dyDescent="0.35">
      <c r="V208" s="58">
        <v>3.3065159368694585E-2</v>
      </c>
    </row>
    <row r="209" spans="22:22" x14ac:dyDescent="0.35">
      <c r="V209" s="58">
        <v>3.3068475659474794E-2</v>
      </c>
    </row>
    <row r="210" spans="22:22" x14ac:dyDescent="0.35">
      <c r="V210" s="58">
        <v>3.3301888425993686E-2</v>
      </c>
    </row>
    <row r="211" spans="22:22" x14ac:dyDescent="0.35">
      <c r="V211" s="58">
        <v>3.3341303280623673E-2</v>
      </c>
    </row>
    <row r="212" spans="22:22" x14ac:dyDescent="0.35">
      <c r="V212" s="58">
        <v>3.3568350216095499E-2</v>
      </c>
    </row>
    <row r="213" spans="22:22" x14ac:dyDescent="0.35">
      <c r="V213" s="58">
        <v>3.3622968399086073E-2</v>
      </c>
    </row>
    <row r="214" spans="22:22" x14ac:dyDescent="0.35">
      <c r="V214" s="58">
        <v>3.3896976234699429E-2</v>
      </c>
    </row>
    <row r="215" spans="22:22" x14ac:dyDescent="0.35">
      <c r="V215" s="58">
        <v>3.4315254502407466E-2</v>
      </c>
    </row>
    <row r="216" spans="22:22" x14ac:dyDescent="0.35">
      <c r="V216" s="58">
        <v>3.4371682858379105E-2</v>
      </c>
    </row>
    <row r="217" spans="22:22" x14ac:dyDescent="0.35">
      <c r="V217" s="58">
        <v>3.4508060670419782E-2</v>
      </c>
    </row>
    <row r="218" spans="22:22" x14ac:dyDescent="0.35">
      <c r="V218" s="58">
        <v>3.4534885764128553E-2</v>
      </c>
    </row>
    <row r="219" spans="22:22" x14ac:dyDescent="0.35">
      <c r="V219" s="58">
        <v>3.465399115130971E-2</v>
      </c>
    </row>
    <row r="220" spans="22:22" x14ac:dyDescent="0.35">
      <c r="V220" s="58">
        <v>3.4909510387220566E-2</v>
      </c>
    </row>
    <row r="221" spans="22:22" x14ac:dyDescent="0.35">
      <c r="V221" s="58">
        <v>3.5000000000000003E-2</v>
      </c>
    </row>
    <row r="222" spans="22:22" x14ac:dyDescent="0.35">
      <c r="V222" s="58">
        <v>3.5294796357836722E-2</v>
      </c>
    </row>
    <row r="223" spans="22:22" x14ac:dyDescent="0.35">
      <c r="V223" s="58">
        <v>3.5403578924644963E-2</v>
      </c>
    </row>
    <row r="224" spans="22:22" x14ac:dyDescent="0.35">
      <c r="V224" s="58">
        <v>3.5658030132180718E-2</v>
      </c>
    </row>
    <row r="225" spans="22:22" x14ac:dyDescent="0.35">
      <c r="V225" s="58">
        <v>3.5820001863068891E-2</v>
      </c>
    </row>
    <row r="226" spans="22:22" x14ac:dyDescent="0.35">
      <c r="V226" s="58">
        <v>3.6100445862176533E-2</v>
      </c>
    </row>
    <row r="227" spans="22:22" x14ac:dyDescent="0.35">
      <c r="V227" s="58">
        <v>3.6142913974750446E-2</v>
      </c>
    </row>
    <row r="228" spans="22:22" x14ac:dyDescent="0.35">
      <c r="V228" s="58">
        <v>3.6943968404894223E-2</v>
      </c>
    </row>
    <row r="229" spans="22:22" x14ac:dyDescent="0.35">
      <c r="V229" s="58">
        <v>3.7000000000000005E-2</v>
      </c>
    </row>
    <row r="230" spans="22:22" x14ac:dyDescent="0.35">
      <c r="V230" s="58">
        <v>3.7083175447063077E-2</v>
      </c>
    </row>
    <row r="231" spans="22:22" x14ac:dyDescent="0.35">
      <c r="V231" s="58">
        <v>3.7178928481767404E-2</v>
      </c>
    </row>
    <row r="232" spans="22:22" x14ac:dyDescent="0.35">
      <c r="V232" s="58">
        <v>3.7302364716141012E-2</v>
      </c>
    </row>
    <row r="233" spans="22:22" x14ac:dyDescent="0.35">
      <c r="V233" s="58">
        <v>3.7499999999999999E-2</v>
      </c>
    </row>
    <row r="234" spans="22:22" x14ac:dyDescent="0.35">
      <c r="V234" s="58">
        <v>3.752599291835601E-2</v>
      </c>
    </row>
    <row r="235" spans="22:22" x14ac:dyDescent="0.35">
      <c r="V235" s="58">
        <v>3.7734363683545658E-2</v>
      </c>
    </row>
    <row r="236" spans="22:22" x14ac:dyDescent="0.35">
      <c r="V236" s="58">
        <v>3.7999999999999999E-2</v>
      </c>
    </row>
    <row r="237" spans="22:22" x14ac:dyDescent="0.35">
      <c r="V237" s="58">
        <v>3.8252856066533836E-2</v>
      </c>
    </row>
    <row r="238" spans="22:22" x14ac:dyDescent="0.35">
      <c r="V238" s="58">
        <v>3.8369561739408864E-2</v>
      </c>
    </row>
    <row r="239" spans="22:22" x14ac:dyDescent="0.35">
      <c r="V239" s="58">
        <v>3.9040698438589816E-2</v>
      </c>
    </row>
    <row r="240" spans="22:22" x14ac:dyDescent="0.35">
      <c r="V240" s="58">
        <v>3.9182267411901339E-2</v>
      </c>
    </row>
    <row r="241" spans="22:22" x14ac:dyDescent="0.35">
      <c r="V241" s="58">
        <v>3.9238069640534556E-2</v>
      </c>
    </row>
    <row r="242" spans="22:22" x14ac:dyDescent="0.35">
      <c r="V242" s="58">
        <v>3.9936663477124101E-2</v>
      </c>
    </row>
    <row r="243" spans="22:22" x14ac:dyDescent="0.35">
      <c r="V243" s="58">
        <v>3.9972371689434905E-2</v>
      </c>
    </row>
    <row r="244" spans="22:22" x14ac:dyDescent="0.35">
      <c r="V244" s="58">
        <v>0.04</v>
      </c>
    </row>
    <row r="245" spans="22:22" x14ac:dyDescent="0.35">
      <c r="V245" s="58">
        <v>4.023753387741702E-2</v>
      </c>
    </row>
    <row r="246" spans="22:22" x14ac:dyDescent="0.35">
      <c r="V246" s="58">
        <v>4.0312141728838569E-2</v>
      </c>
    </row>
    <row r="247" spans="22:22" x14ac:dyDescent="0.35">
      <c r="V247" s="58">
        <v>4.0417528558939264E-2</v>
      </c>
    </row>
    <row r="248" spans="22:22" x14ac:dyDescent="0.35">
      <c r="V248" s="58">
        <v>4.0500000000000001E-2</v>
      </c>
    </row>
    <row r="249" spans="22:22" x14ac:dyDescent="0.35">
      <c r="V249" s="58">
        <v>4.0999999999999995E-2</v>
      </c>
    </row>
    <row r="250" spans="22:22" x14ac:dyDescent="0.35">
      <c r="V250" s="58">
        <v>4.1031330001819244E-2</v>
      </c>
    </row>
    <row r="251" spans="22:22" x14ac:dyDescent="0.35">
      <c r="V251" s="58">
        <v>4.1470649175676666E-2</v>
      </c>
    </row>
    <row r="252" spans="22:22" x14ac:dyDescent="0.35">
      <c r="V252" s="58">
        <v>4.1526636118506266E-2</v>
      </c>
    </row>
    <row r="253" spans="22:22" x14ac:dyDescent="0.35">
      <c r="V253" s="58">
        <v>4.1836218274165615E-2</v>
      </c>
    </row>
    <row r="254" spans="22:22" x14ac:dyDescent="0.35">
      <c r="V254" s="58">
        <v>4.2000000000000003E-2</v>
      </c>
    </row>
    <row r="255" spans="22:22" x14ac:dyDescent="0.35">
      <c r="V255" s="58">
        <v>4.2921095395236586E-2</v>
      </c>
    </row>
    <row r="256" spans="22:22" x14ac:dyDescent="0.35">
      <c r="V256" s="58">
        <v>4.4999999999999998E-2</v>
      </c>
    </row>
    <row r="257" spans="22:22" x14ac:dyDescent="0.35">
      <c r="V257" s="58">
        <v>4.5432526897638104E-2</v>
      </c>
    </row>
    <row r="258" spans="22:22" x14ac:dyDescent="0.35">
      <c r="V258" s="58">
        <v>4.6014971236980839E-2</v>
      </c>
    </row>
    <row r="259" spans="22:22" x14ac:dyDescent="0.35">
      <c r="V259" s="58">
        <v>4.6185498059376995E-2</v>
      </c>
    </row>
    <row r="260" spans="22:22" x14ac:dyDescent="0.35">
      <c r="V260" s="58">
        <v>4.6189209405952517E-2</v>
      </c>
    </row>
    <row r="261" spans="22:22" x14ac:dyDescent="0.35">
      <c r="V261" s="58">
        <v>4.6923739593280958E-2</v>
      </c>
    </row>
    <row r="262" spans="22:22" x14ac:dyDescent="0.35">
      <c r="V262" s="58">
        <v>4.7873274823730716E-2</v>
      </c>
    </row>
    <row r="263" spans="22:22" x14ac:dyDescent="0.35">
      <c r="V263" s="58">
        <v>4.9276563587330902E-2</v>
      </c>
    </row>
    <row r="264" spans="22:22" x14ac:dyDescent="0.35">
      <c r="V264" s="58">
        <v>4.9964836445694827E-2</v>
      </c>
    </row>
    <row r="265" spans="22:22" x14ac:dyDescent="0.35">
      <c r="V265" s="58">
        <v>0.05</v>
      </c>
    </row>
    <row r="266" spans="22:22" x14ac:dyDescent="0.35">
      <c r="V266" s="58">
        <v>5.0095109176576447E-2</v>
      </c>
    </row>
    <row r="267" spans="22:22" x14ac:dyDescent="0.35">
      <c r="V267" s="58">
        <v>5.1819030804687721E-2</v>
      </c>
    </row>
    <row r="268" spans="22:22" x14ac:dyDescent="0.35">
      <c r="V268" s="58">
        <v>5.243613224615664E-2</v>
      </c>
    </row>
    <row r="269" spans="22:22" x14ac:dyDescent="0.35">
      <c r="V269" s="58">
        <v>5.3772411338334658E-2</v>
      </c>
    </row>
    <row r="270" spans="22:22" x14ac:dyDescent="0.35">
      <c r="V270" s="58">
        <v>5.4000000000000006E-2</v>
      </c>
    </row>
    <row r="271" spans="22:22" x14ac:dyDescent="0.35">
      <c r="V271" s="58">
        <v>5.5905388633823883E-2</v>
      </c>
    </row>
    <row r="272" spans="22:22" x14ac:dyDescent="0.35">
      <c r="V272" s="58">
        <v>5.7849645880048151E-2</v>
      </c>
    </row>
    <row r="273" spans="22:22" x14ac:dyDescent="0.35">
      <c r="V273" s="58">
        <v>6.2383573989025498E-2</v>
      </c>
    </row>
    <row r="274" spans="22:22" x14ac:dyDescent="0.35">
      <c r="V274" s="58">
        <v>6.287704603173716E-2</v>
      </c>
    </row>
    <row r="275" spans="22:22" x14ac:dyDescent="0.35">
      <c r="V275" s="58">
        <v>6.3056578334491187E-2</v>
      </c>
    </row>
    <row r="276" spans="22:22" x14ac:dyDescent="0.35">
      <c r="V276" s="58">
        <v>6.765181369987272E-2</v>
      </c>
    </row>
    <row r="277" spans="22:22" x14ac:dyDescent="0.35">
      <c r="V277" s="58">
        <v>6.8343820082715778E-2</v>
      </c>
    </row>
    <row r="278" spans="22:22" x14ac:dyDescent="0.35">
      <c r="V278" s="58">
        <v>6.9273082454898605E-2</v>
      </c>
    </row>
    <row r="279" spans="22:22" x14ac:dyDescent="0.35">
      <c r="V279" s="58">
        <v>6.965528671008081E-2</v>
      </c>
    </row>
    <row r="280" spans="22:22" x14ac:dyDescent="0.35">
      <c r="V280" s="58">
        <v>7.0491951816031628E-2</v>
      </c>
    </row>
    <row r="281" spans="22:22" x14ac:dyDescent="0.35">
      <c r="V281" s="58">
        <v>7.405760536218442E-2</v>
      </c>
    </row>
    <row r="282" spans="22:22" x14ac:dyDescent="0.35">
      <c r="V282" s="58">
        <v>7.8918372935750769E-2</v>
      </c>
    </row>
    <row r="283" spans="22:22" x14ac:dyDescent="0.35">
      <c r="V283" s="58">
        <v>8.0867187505597959E-2</v>
      </c>
    </row>
    <row r="284" spans="22:22" x14ac:dyDescent="0.35">
      <c r="V284" s="58" t="s">
        <v>768</v>
      </c>
    </row>
  </sheetData>
  <mergeCells count="3">
    <mergeCell ref="B5:C5"/>
    <mergeCell ref="D5:E5"/>
    <mergeCell ref="F5:G5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3D3E1-5BB9-4C27-967E-2AB6455C6BAC}">
  <dimension ref="B3:U21"/>
  <sheetViews>
    <sheetView showGridLines="0" workbookViewId="0">
      <selection activeCell="G19" sqref="G19"/>
    </sheetView>
  </sheetViews>
  <sheetFormatPr defaultRowHeight="14.5" x14ac:dyDescent="0.35"/>
  <cols>
    <col min="2" max="2" width="11.7265625" customWidth="1"/>
    <col min="3" max="8" width="11" customWidth="1"/>
    <col min="9" max="9" width="10.1796875" customWidth="1"/>
    <col min="10" max="10" width="16.90625" customWidth="1"/>
    <col min="11" max="11" width="17" bestFit="1" customWidth="1"/>
    <col min="12" max="12" width="26.453125" bestFit="1" customWidth="1"/>
    <col min="13" max="13" width="44" bestFit="1" customWidth="1"/>
    <col min="14" max="14" width="14" bestFit="1" customWidth="1"/>
    <col min="15" max="15" width="17" bestFit="1" customWidth="1"/>
    <col min="16" max="16" width="26.453125" bestFit="1" customWidth="1"/>
    <col min="17" max="17" width="44" bestFit="1" customWidth="1"/>
    <col min="18" max="18" width="11.81640625" bestFit="1" customWidth="1"/>
    <col min="19" max="19" width="17" bestFit="1" customWidth="1"/>
    <col min="20" max="20" width="26.453125" bestFit="1" customWidth="1"/>
    <col min="21" max="21" width="44" bestFit="1" customWidth="1"/>
    <col min="22" max="22" width="11.81640625" bestFit="1" customWidth="1"/>
    <col min="23" max="23" width="19.36328125" bestFit="1" customWidth="1"/>
    <col min="24" max="24" width="11.81640625" bestFit="1" customWidth="1"/>
    <col min="25" max="29" width="5.81640625" bestFit="1" customWidth="1"/>
    <col min="30" max="30" width="21.6328125" bestFit="1" customWidth="1"/>
    <col min="31" max="31" width="18.54296875" bestFit="1" customWidth="1"/>
    <col min="32" max="41" width="5.81640625" bestFit="1" customWidth="1"/>
    <col min="42" max="42" width="21.6328125" bestFit="1" customWidth="1"/>
    <col min="43" max="43" width="9.90625" bestFit="1" customWidth="1"/>
    <col min="44" max="62" width="5.81640625" bestFit="1" customWidth="1"/>
    <col min="63" max="63" width="12.90625" bestFit="1" customWidth="1"/>
    <col min="64" max="64" width="6.54296875" bestFit="1" customWidth="1"/>
    <col min="65" max="74" width="5.81640625" bestFit="1" customWidth="1"/>
    <col min="75" max="75" width="8.7265625" bestFit="1" customWidth="1"/>
    <col min="76" max="76" width="7.90625" bestFit="1" customWidth="1"/>
    <col min="77" max="95" width="5.81640625" bestFit="1" customWidth="1"/>
    <col min="96" max="96" width="10.90625" bestFit="1" customWidth="1"/>
    <col min="97" max="97" width="24.6328125" bestFit="1" customWidth="1"/>
    <col min="98" max="98" width="5.81640625" bestFit="1" customWidth="1"/>
    <col min="99" max="99" width="27.81640625" bestFit="1" customWidth="1"/>
    <col min="100" max="100" width="6.90625" bestFit="1" customWidth="1"/>
    <col min="101" max="102" width="5.81640625" bestFit="1" customWidth="1"/>
    <col min="103" max="103" width="9.90625" bestFit="1" customWidth="1"/>
    <col min="104" max="104" width="7.7265625" bestFit="1" customWidth="1"/>
    <col min="105" max="115" width="5.81640625" bestFit="1" customWidth="1"/>
    <col min="116" max="116" width="10.6328125" bestFit="1" customWidth="1"/>
    <col min="117" max="117" width="6" bestFit="1" customWidth="1"/>
    <col min="118" max="126" width="5.81640625" bestFit="1" customWidth="1"/>
    <col min="127" max="127" width="9" bestFit="1" customWidth="1"/>
    <col min="128" max="128" width="10.1796875" bestFit="1" customWidth="1"/>
    <col min="129" max="130" width="5.81640625" bestFit="1" customWidth="1"/>
    <col min="131" max="131" width="13.1796875" bestFit="1" customWidth="1"/>
    <col min="132" max="132" width="11.26953125" bestFit="1" customWidth="1"/>
    <col min="133" max="140" width="5.81640625" bestFit="1" customWidth="1"/>
    <col min="141" max="141" width="14.26953125" bestFit="1" customWidth="1"/>
    <col min="142" max="142" width="11.26953125" bestFit="1" customWidth="1"/>
    <col min="143" max="145" width="5.81640625" bestFit="1" customWidth="1"/>
    <col min="146" max="146" width="14.26953125" bestFit="1" customWidth="1"/>
    <col min="147" max="147" width="8.81640625" bestFit="1" customWidth="1"/>
    <col min="148" max="155" width="5.81640625" bestFit="1" customWidth="1"/>
    <col min="156" max="156" width="11.81640625" bestFit="1" customWidth="1"/>
    <col min="157" max="157" width="17.7265625" bestFit="1" customWidth="1"/>
    <col min="158" max="166" width="5.81640625" bestFit="1" customWidth="1"/>
    <col min="167" max="167" width="21" bestFit="1" customWidth="1"/>
    <col min="168" max="168" width="18.36328125" bestFit="1" customWidth="1"/>
    <col min="169" max="171" width="5.81640625" bestFit="1" customWidth="1"/>
    <col min="172" max="172" width="21.54296875" bestFit="1" customWidth="1"/>
    <col min="173" max="173" width="8.6328125" bestFit="1" customWidth="1"/>
    <col min="174" max="182" width="5.81640625" bestFit="1" customWidth="1"/>
    <col min="183" max="183" width="11.54296875" bestFit="1" customWidth="1"/>
    <col min="184" max="184" width="13.36328125" bestFit="1" customWidth="1"/>
    <col min="185" max="187" width="5.81640625" bestFit="1" customWidth="1"/>
    <col min="188" max="188" width="16.6328125" bestFit="1" customWidth="1"/>
    <col min="189" max="189" width="15.54296875" bestFit="1" customWidth="1"/>
    <col min="190" max="195" width="5.81640625" bestFit="1" customWidth="1"/>
    <col min="196" max="196" width="18.6328125" bestFit="1" customWidth="1"/>
    <col min="197" max="197" width="7.90625" bestFit="1" customWidth="1"/>
    <col min="198" max="204" width="5.81640625" bestFit="1" customWidth="1"/>
    <col min="205" max="205" width="10.90625" bestFit="1" customWidth="1"/>
    <col min="206" max="206" width="13.36328125" bestFit="1" customWidth="1"/>
    <col min="207" max="235" width="5.81640625" bestFit="1" customWidth="1"/>
    <col min="236" max="236" width="16.6328125" bestFit="1" customWidth="1"/>
    <col min="237" max="237" width="8.81640625" bestFit="1" customWidth="1"/>
    <col min="238" max="248" width="5.81640625" bestFit="1" customWidth="1"/>
    <col min="249" max="249" width="11.81640625" bestFit="1" customWidth="1"/>
    <col min="250" max="250" width="9.6328125" bestFit="1" customWidth="1"/>
    <col min="251" max="261" width="5.81640625" bestFit="1" customWidth="1"/>
    <col min="262" max="262" width="12.81640625" bestFit="1" customWidth="1"/>
    <col min="263" max="263" width="9" bestFit="1" customWidth="1"/>
    <col min="264" max="285" width="5.81640625" bestFit="1" customWidth="1"/>
    <col min="286" max="286" width="12" bestFit="1" customWidth="1"/>
    <col min="287" max="287" width="18.6328125" bestFit="1" customWidth="1"/>
    <col min="288" max="302" width="5.81640625" bestFit="1" customWidth="1"/>
    <col min="303" max="303" width="21.81640625" bestFit="1" customWidth="1"/>
    <col min="304" max="304" width="6.54296875" bestFit="1" customWidth="1"/>
    <col min="305" max="311" width="5.81640625" bestFit="1" customWidth="1"/>
    <col min="312" max="312" width="7.453125" bestFit="1" customWidth="1"/>
    <col min="313" max="313" width="10.90625" bestFit="1" customWidth="1"/>
    <col min="314" max="317" width="6.54296875" bestFit="1" customWidth="1"/>
    <col min="318" max="344" width="5.81640625" bestFit="1" customWidth="1"/>
    <col min="345" max="345" width="13.90625" bestFit="1" customWidth="1"/>
    <col min="346" max="346" width="15.6328125" bestFit="1" customWidth="1"/>
    <col min="347" max="354" width="5.81640625" bestFit="1" customWidth="1"/>
    <col min="355" max="355" width="18.81640625" bestFit="1" customWidth="1"/>
    <col min="356" max="356" width="8.1796875" bestFit="1" customWidth="1"/>
    <col min="357" max="362" width="5.81640625" bestFit="1" customWidth="1"/>
    <col min="363" max="363" width="11.1796875" bestFit="1" customWidth="1"/>
    <col min="364" max="364" width="10.90625" bestFit="1" customWidth="1"/>
    <col min="365" max="379" width="5.81640625" bestFit="1" customWidth="1"/>
    <col min="380" max="380" width="14" bestFit="1" customWidth="1"/>
    <col min="381" max="381" width="7.54296875" bestFit="1" customWidth="1"/>
    <col min="382" max="393" width="5.81640625" bestFit="1" customWidth="1"/>
    <col min="394" max="394" width="10.453125" bestFit="1" customWidth="1"/>
    <col min="395" max="395" width="8.453125" bestFit="1" customWidth="1"/>
    <col min="396" max="413" width="5.81640625" bestFit="1" customWidth="1"/>
    <col min="414" max="414" width="11.453125" bestFit="1" customWidth="1"/>
    <col min="415" max="415" width="8.6328125" bestFit="1" customWidth="1"/>
    <col min="416" max="430" width="5.81640625" bestFit="1" customWidth="1"/>
    <col min="431" max="431" width="11.54296875" bestFit="1" customWidth="1"/>
    <col min="432" max="432" width="9.6328125" bestFit="1" customWidth="1"/>
    <col min="433" max="437" width="5.81640625" bestFit="1" customWidth="1"/>
    <col min="438" max="438" width="12.6328125" bestFit="1" customWidth="1"/>
    <col min="439" max="439" width="10.36328125" bestFit="1" customWidth="1"/>
    <col min="440" max="442" width="5.81640625" bestFit="1" customWidth="1"/>
    <col min="443" max="443" width="13.453125" bestFit="1" customWidth="1"/>
    <col min="444" max="444" width="6.54296875" bestFit="1" customWidth="1"/>
    <col min="445" max="454" width="5.81640625" bestFit="1" customWidth="1"/>
    <col min="455" max="455" width="9.36328125" bestFit="1" customWidth="1"/>
    <col min="456" max="456" width="21" bestFit="1" customWidth="1"/>
    <col min="457" max="469" width="5.81640625" bestFit="1" customWidth="1"/>
    <col min="470" max="470" width="24.08984375" bestFit="1" customWidth="1"/>
    <col min="471" max="471" width="10.1796875" bestFit="1" customWidth="1"/>
  </cols>
  <sheetData>
    <row r="3" spans="2:21" x14ac:dyDescent="0.35">
      <c r="K3" s="57" t="s">
        <v>3</v>
      </c>
      <c r="L3" t="s">
        <v>25</v>
      </c>
      <c r="O3" s="57" t="s">
        <v>3</v>
      </c>
      <c r="P3" t="s">
        <v>34</v>
      </c>
      <c r="S3" s="57" t="s">
        <v>3</v>
      </c>
      <c r="T3" t="s">
        <v>771</v>
      </c>
    </row>
    <row r="5" spans="2:21" x14ac:dyDescent="0.35">
      <c r="C5" s="126" t="s">
        <v>25</v>
      </c>
      <c r="D5" s="125"/>
      <c r="E5" s="126" t="s">
        <v>34</v>
      </c>
      <c r="F5" s="125"/>
      <c r="G5" s="126" t="s">
        <v>775</v>
      </c>
      <c r="H5" s="125"/>
      <c r="K5" s="57" t="s">
        <v>769</v>
      </c>
      <c r="L5" t="s">
        <v>800</v>
      </c>
      <c r="M5" t="s">
        <v>810</v>
      </c>
      <c r="O5" s="57" t="s">
        <v>769</v>
      </c>
      <c r="P5" t="s">
        <v>800</v>
      </c>
      <c r="Q5" t="s">
        <v>810</v>
      </c>
      <c r="S5" s="57" t="s">
        <v>769</v>
      </c>
      <c r="T5" t="s">
        <v>800</v>
      </c>
      <c r="U5" t="s">
        <v>810</v>
      </c>
    </row>
    <row r="6" spans="2:21" ht="43.5" x14ac:dyDescent="0.35">
      <c r="B6" s="88" t="s">
        <v>809</v>
      </c>
      <c r="C6" s="89" t="s">
        <v>786</v>
      </c>
      <c r="D6" s="88" t="s">
        <v>799</v>
      </c>
      <c r="E6" s="89" t="s">
        <v>786</v>
      </c>
      <c r="F6" s="88" t="s">
        <v>799</v>
      </c>
      <c r="G6" s="89" t="s">
        <v>786</v>
      </c>
      <c r="H6" s="88" t="s">
        <v>799</v>
      </c>
      <c r="K6" s="59" t="s">
        <v>680</v>
      </c>
      <c r="L6" s="8">
        <v>9.9375</v>
      </c>
      <c r="M6" s="8">
        <v>3</v>
      </c>
      <c r="O6" s="59" t="s">
        <v>680</v>
      </c>
      <c r="P6" s="8">
        <v>205.78639999999996</v>
      </c>
      <c r="Q6" s="8">
        <v>12</v>
      </c>
      <c r="S6" s="59" t="s">
        <v>680</v>
      </c>
      <c r="T6" s="8">
        <v>215.72389999999999</v>
      </c>
      <c r="U6" s="8">
        <v>15</v>
      </c>
    </row>
    <row r="7" spans="2:21" x14ac:dyDescent="0.35">
      <c r="B7" s="5" t="s">
        <v>684</v>
      </c>
      <c r="C7" s="94">
        <f>IFERROR(+GETPIVOTDATA("Contagem de Corporate Rating na data da Emissão",$K$5,"Corporate Rating na data da Emissão",$B7),0)</f>
        <v>7</v>
      </c>
      <c r="D7" s="68">
        <f>IFERROR(+GETPIVOTDATA("Soma de Volume R$ (100 MM)",$K$5,"Corporate Rating na data da Emissão",$B7),0)</f>
        <v>69.5</v>
      </c>
      <c r="E7" s="94">
        <f>IFERROR(+GETPIVOTDATA("Contagem de Corporate Rating na data da Emissão",$O$5,"Corporate Rating na data da Emissão",$B7),0)</f>
        <v>4</v>
      </c>
      <c r="F7" s="68">
        <f>IFERROR(+GETPIVOTDATA("Soma de Volume R$ (100 MM)",$O$5,"Corporate Rating na data da Emissão",$B7),0)</f>
        <v>88.998000000000005</v>
      </c>
      <c r="G7" s="94">
        <f>IFERROR(+GETPIVOTDATA("Contagem de Corporate Rating na data da Emissão",$S$5,"Corporate Rating na data da Emissão",$B7),0)</f>
        <v>11</v>
      </c>
      <c r="H7" s="68">
        <f>IFERROR(+GETPIVOTDATA("Soma de Volume R$ (100 MM)",$S$5,"Corporate Rating na data da Emissão",$B7),)</f>
        <v>158.49800000000002</v>
      </c>
      <c r="K7" s="59" t="s">
        <v>664</v>
      </c>
      <c r="L7" s="8">
        <v>11.38</v>
      </c>
      <c r="M7" s="8">
        <v>2</v>
      </c>
      <c r="O7" s="59" t="s">
        <v>664</v>
      </c>
      <c r="P7" s="8">
        <v>23.232050000000001</v>
      </c>
      <c r="Q7" s="8">
        <v>3</v>
      </c>
      <c r="S7" s="59" t="s">
        <v>664</v>
      </c>
      <c r="T7" s="8">
        <v>34.612050000000004</v>
      </c>
      <c r="U7" s="8">
        <v>5</v>
      </c>
    </row>
    <row r="8" spans="2:21" x14ac:dyDescent="0.35">
      <c r="B8" s="5" t="s">
        <v>677</v>
      </c>
      <c r="C8" s="94">
        <f t="shared" ref="C8:C21" si="0">IFERROR(+GETPIVOTDATA("Contagem de Corporate Rating na data da Emissão",$K$5,"Corporate Rating na data da Emissão",$B8),0)</f>
        <v>26</v>
      </c>
      <c r="D8" s="68">
        <f t="shared" ref="D8:D21" si="1">IFERROR(+GETPIVOTDATA("Soma de Volume R$ (100 MM)",$K$5,"Corporate Rating na data da Emissão",$B8),0)</f>
        <v>146.69517999999999</v>
      </c>
      <c r="E8" s="94">
        <f t="shared" ref="E8:E21" si="2">IFERROR(+GETPIVOTDATA("Contagem de Corporate Rating na data da Emissão",$O$5,"Corporate Rating na data da Emissão",$B8),0)</f>
        <v>21</v>
      </c>
      <c r="F8" s="68">
        <f t="shared" ref="F8:F21" si="3">IFERROR(+GETPIVOTDATA("Soma de Volume R$ (100 MM)",$O$5,"Corporate Rating na data da Emissão",$B8),0)</f>
        <v>679.1871500000002</v>
      </c>
      <c r="G8" s="94">
        <f t="shared" ref="G8:G21" si="4">IFERROR(+GETPIVOTDATA("Contagem de Corporate Rating na data da Emissão",$S$5,"Corporate Rating na data da Emissão",$B8),0)</f>
        <v>47</v>
      </c>
      <c r="H8" s="68">
        <f t="shared" ref="H8:H21" si="5">IFERROR(+GETPIVOTDATA("Soma de Volume R$ (100 MM)",$S$5,"Corporate Rating na data da Emissão",$B8),)</f>
        <v>825.88233000000002</v>
      </c>
      <c r="K8" s="59" t="s">
        <v>679</v>
      </c>
      <c r="L8" s="8">
        <v>61.602000000000004</v>
      </c>
      <c r="M8" s="8">
        <v>7</v>
      </c>
      <c r="O8" s="59" t="s">
        <v>679</v>
      </c>
      <c r="P8" s="8">
        <v>106.8596</v>
      </c>
      <c r="Q8" s="8">
        <v>7</v>
      </c>
      <c r="S8" s="59" t="s">
        <v>679</v>
      </c>
      <c r="T8" s="8">
        <v>168.4616</v>
      </c>
      <c r="U8" s="8">
        <v>14</v>
      </c>
    </row>
    <row r="9" spans="2:21" x14ac:dyDescent="0.35">
      <c r="B9" s="5" t="s">
        <v>662</v>
      </c>
      <c r="C9" s="94">
        <f t="shared" si="0"/>
        <v>30</v>
      </c>
      <c r="D9" s="68">
        <f t="shared" si="1"/>
        <v>296.93550000000005</v>
      </c>
      <c r="E9" s="94">
        <f t="shared" si="2"/>
        <v>34</v>
      </c>
      <c r="F9" s="68">
        <f t="shared" si="3"/>
        <v>724.95379999999989</v>
      </c>
      <c r="G9" s="94">
        <f t="shared" si="4"/>
        <v>64</v>
      </c>
      <c r="H9" s="68">
        <f t="shared" si="5"/>
        <v>1021.8893</v>
      </c>
      <c r="K9" s="59" t="s">
        <v>657</v>
      </c>
      <c r="L9" s="8">
        <v>304.11299000000002</v>
      </c>
      <c r="M9" s="8">
        <v>52</v>
      </c>
      <c r="O9" s="59" t="s">
        <v>657</v>
      </c>
      <c r="P9" s="8">
        <v>1224.773596</v>
      </c>
      <c r="Q9" s="8">
        <v>25</v>
      </c>
      <c r="S9" s="59" t="s">
        <v>657</v>
      </c>
      <c r="T9" s="8">
        <v>1528.8865860000001</v>
      </c>
      <c r="U9" s="8">
        <v>77</v>
      </c>
    </row>
    <row r="10" spans="2:21" x14ac:dyDescent="0.35">
      <c r="B10" s="5" t="s">
        <v>663</v>
      </c>
      <c r="C10" s="94">
        <f t="shared" si="0"/>
        <v>30</v>
      </c>
      <c r="D10" s="68">
        <f t="shared" si="1"/>
        <v>243.67569999999998</v>
      </c>
      <c r="E10" s="94">
        <f t="shared" si="2"/>
        <v>22</v>
      </c>
      <c r="F10" s="68">
        <f t="shared" si="3"/>
        <v>341.1739159</v>
      </c>
      <c r="G10" s="94">
        <f t="shared" si="4"/>
        <v>52</v>
      </c>
      <c r="H10" s="68">
        <f t="shared" si="5"/>
        <v>584.84961589999989</v>
      </c>
      <c r="K10" s="59" t="s">
        <v>669</v>
      </c>
      <c r="L10" s="8">
        <v>341.92016286879999</v>
      </c>
      <c r="M10" s="8">
        <v>55</v>
      </c>
      <c r="O10" s="59" t="s">
        <v>669</v>
      </c>
      <c r="P10" s="8">
        <v>978.42072644599978</v>
      </c>
      <c r="Q10" s="8">
        <v>24</v>
      </c>
      <c r="S10" s="59" t="s">
        <v>669</v>
      </c>
      <c r="T10" s="8">
        <v>1320.3408893147998</v>
      </c>
      <c r="U10" s="8">
        <v>79</v>
      </c>
    </row>
    <row r="11" spans="2:21" x14ac:dyDescent="0.35">
      <c r="B11" s="5" t="s">
        <v>657</v>
      </c>
      <c r="C11" s="94">
        <f t="shared" si="0"/>
        <v>52</v>
      </c>
      <c r="D11" s="68">
        <f t="shared" si="1"/>
        <v>304.11299000000002</v>
      </c>
      <c r="E11" s="94">
        <f t="shared" si="2"/>
        <v>25</v>
      </c>
      <c r="F11" s="68">
        <f t="shared" si="3"/>
        <v>1224.773596</v>
      </c>
      <c r="G11" s="94">
        <f t="shared" si="4"/>
        <v>77</v>
      </c>
      <c r="H11" s="68">
        <f t="shared" si="5"/>
        <v>1528.8865860000001</v>
      </c>
      <c r="K11" s="59" t="s">
        <v>663</v>
      </c>
      <c r="L11" s="8">
        <v>243.67569999999998</v>
      </c>
      <c r="M11" s="8">
        <v>30</v>
      </c>
      <c r="O11" s="59" t="s">
        <v>663</v>
      </c>
      <c r="P11" s="8">
        <v>341.1739159</v>
      </c>
      <c r="Q11" s="8">
        <v>22</v>
      </c>
      <c r="S11" s="59" t="s">
        <v>663</v>
      </c>
      <c r="T11" s="8">
        <v>584.84961589999989</v>
      </c>
      <c r="U11" s="8">
        <v>52</v>
      </c>
    </row>
    <row r="12" spans="2:21" x14ac:dyDescent="0.35">
      <c r="B12" s="5" t="s">
        <v>669</v>
      </c>
      <c r="C12" s="94">
        <f t="shared" si="0"/>
        <v>55</v>
      </c>
      <c r="D12" s="68">
        <f t="shared" si="1"/>
        <v>341.92016286879999</v>
      </c>
      <c r="E12" s="94">
        <f t="shared" si="2"/>
        <v>24</v>
      </c>
      <c r="F12" s="68">
        <f t="shared" si="3"/>
        <v>978.42072644599978</v>
      </c>
      <c r="G12" s="94">
        <f t="shared" si="4"/>
        <v>79</v>
      </c>
      <c r="H12" s="68">
        <f t="shared" si="5"/>
        <v>1320.3408893147998</v>
      </c>
      <c r="K12" s="59" t="s">
        <v>677</v>
      </c>
      <c r="L12" s="8">
        <v>146.69517999999999</v>
      </c>
      <c r="M12" s="8">
        <v>26</v>
      </c>
      <c r="O12" s="59" t="s">
        <v>677</v>
      </c>
      <c r="P12" s="8">
        <v>679.1871500000002</v>
      </c>
      <c r="Q12" s="8">
        <v>21</v>
      </c>
      <c r="S12" s="59" t="s">
        <v>677</v>
      </c>
      <c r="T12" s="8">
        <v>825.88233000000002</v>
      </c>
      <c r="U12" s="8">
        <v>47</v>
      </c>
    </row>
    <row r="13" spans="2:21" x14ac:dyDescent="0.35">
      <c r="B13" s="5" t="s">
        <v>679</v>
      </c>
      <c r="C13" s="94">
        <f t="shared" si="0"/>
        <v>7</v>
      </c>
      <c r="D13" s="68">
        <f t="shared" si="1"/>
        <v>61.602000000000004</v>
      </c>
      <c r="E13" s="94">
        <f t="shared" si="2"/>
        <v>7</v>
      </c>
      <c r="F13" s="68">
        <f t="shared" si="3"/>
        <v>106.8596</v>
      </c>
      <c r="G13" s="94">
        <f t="shared" si="4"/>
        <v>14</v>
      </c>
      <c r="H13" s="68">
        <f t="shared" si="5"/>
        <v>168.4616</v>
      </c>
      <c r="K13" s="59" t="s">
        <v>662</v>
      </c>
      <c r="L13" s="8">
        <v>296.93550000000005</v>
      </c>
      <c r="M13" s="8">
        <v>30</v>
      </c>
      <c r="O13" s="59" t="s">
        <v>662</v>
      </c>
      <c r="P13" s="8">
        <v>724.95379999999989</v>
      </c>
      <c r="Q13" s="8">
        <v>34</v>
      </c>
      <c r="S13" s="59" t="s">
        <v>662</v>
      </c>
      <c r="T13" s="8">
        <v>1021.8893</v>
      </c>
      <c r="U13" s="8">
        <v>64</v>
      </c>
    </row>
    <row r="14" spans="2:21" x14ac:dyDescent="0.35">
      <c r="B14" s="5" t="s">
        <v>680</v>
      </c>
      <c r="C14" s="94">
        <f t="shared" si="0"/>
        <v>3</v>
      </c>
      <c r="D14" s="68">
        <f t="shared" si="1"/>
        <v>9.9375</v>
      </c>
      <c r="E14" s="94">
        <f t="shared" si="2"/>
        <v>12</v>
      </c>
      <c r="F14" s="68">
        <f t="shared" si="3"/>
        <v>205.78639999999996</v>
      </c>
      <c r="G14" s="94">
        <f t="shared" si="4"/>
        <v>15</v>
      </c>
      <c r="H14" s="68">
        <f t="shared" si="5"/>
        <v>215.72389999999999</v>
      </c>
      <c r="K14" s="59" t="s">
        <v>684</v>
      </c>
      <c r="L14" s="8">
        <v>69.5</v>
      </c>
      <c r="M14" s="8">
        <v>7</v>
      </c>
      <c r="O14" s="59" t="s">
        <v>684</v>
      </c>
      <c r="P14" s="8">
        <v>88.998000000000005</v>
      </c>
      <c r="Q14" s="8">
        <v>4</v>
      </c>
      <c r="S14" s="59" t="s">
        <v>684</v>
      </c>
      <c r="T14" s="8">
        <v>158.49800000000002</v>
      </c>
      <c r="U14" s="8">
        <v>11</v>
      </c>
    </row>
    <row r="15" spans="2:21" x14ac:dyDescent="0.35">
      <c r="B15" s="5" t="s">
        <v>664</v>
      </c>
      <c r="C15" s="94">
        <f t="shared" si="0"/>
        <v>2</v>
      </c>
      <c r="D15" s="68">
        <f t="shared" si="1"/>
        <v>11.38</v>
      </c>
      <c r="E15" s="94">
        <f t="shared" si="2"/>
        <v>3</v>
      </c>
      <c r="F15" s="68">
        <f t="shared" si="3"/>
        <v>23.232050000000001</v>
      </c>
      <c r="G15" s="94">
        <f t="shared" si="4"/>
        <v>5</v>
      </c>
      <c r="H15" s="68">
        <f t="shared" si="5"/>
        <v>34.612050000000004</v>
      </c>
      <c r="K15" s="59" t="s">
        <v>687</v>
      </c>
      <c r="L15" s="8">
        <v>46.76827999999999</v>
      </c>
      <c r="M15" s="8">
        <v>18</v>
      </c>
      <c r="O15" s="59" t="s">
        <v>694</v>
      </c>
      <c r="P15" s="8">
        <v>21.34535</v>
      </c>
      <c r="Q15" s="8">
        <v>1</v>
      </c>
      <c r="S15" s="59" t="s">
        <v>687</v>
      </c>
      <c r="T15" s="8">
        <v>46.76827999999999</v>
      </c>
      <c r="U15" s="8">
        <v>18</v>
      </c>
    </row>
    <row r="16" spans="2:21" x14ac:dyDescent="0.35">
      <c r="B16" s="5" t="s">
        <v>670</v>
      </c>
      <c r="C16" s="94">
        <f t="shared" si="0"/>
        <v>1</v>
      </c>
      <c r="D16" s="68">
        <f t="shared" si="1"/>
        <v>6.1021700000000001</v>
      </c>
      <c r="E16" s="94">
        <f t="shared" si="2"/>
        <v>3</v>
      </c>
      <c r="F16" s="68">
        <f t="shared" si="3"/>
        <v>54.3735</v>
      </c>
      <c r="G16" s="94">
        <f t="shared" si="4"/>
        <v>4</v>
      </c>
      <c r="H16" s="68">
        <f t="shared" si="5"/>
        <v>60.475670000000001</v>
      </c>
      <c r="K16" s="59" t="s">
        <v>694</v>
      </c>
      <c r="L16" s="8">
        <v>10</v>
      </c>
      <c r="M16" s="8">
        <v>9</v>
      </c>
      <c r="O16" s="59" t="s">
        <v>665</v>
      </c>
      <c r="P16" s="8">
        <v>19.918559999999999</v>
      </c>
      <c r="Q16" s="8">
        <v>1</v>
      </c>
      <c r="S16" s="59" t="s">
        <v>694</v>
      </c>
      <c r="T16" s="8">
        <v>31.345349999999993</v>
      </c>
      <c r="U16" s="8">
        <v>10</v>
      </c>
    </row>
    <row r="17" spans="2:21" x14ac:dyDescent="0.35">
      <c r="B17" s="5" t="s">
        <v>694</v>
      </c>
      <c r="C17" s="94">
        <f t="shared" si="0"/>
        <v>9</v>
      </c>
      <c r="D17" s="68">
        <f t="shared" si="1"/>
        <v>10</v>
      </c>
      <c r="E17" s="94">
        <f t="shared" si="2"/>
        <v>1</v>
      </c>
      <c r="F17" s="68">
        <f t="shared" si="3"/>
        <v>21.34535</v>
      </c>
      <c r="G17" s="94">
        <f t="shared" si="4"/>
        <v>10</v>
      </c>
      <c r="H17" s="68">
        <f t="shared" si="5"/>
        <v>31.345349999999993</v>
      </c>
      <c r="K17" s="59" t="s">
        <v>665</v>
      </c>
      <c r="L17" s="8">
        <v>8.02</v>
      </c>
      <c r="M17" s="8">
        <v>2</v>
      </c>
      <c r="O17" s="59" t="s">
        <v>670</v>
      </c>
      <c r="P17" s="8">
        <v>54.3735</v>
      </c>
      <c r="Q17" s="8">
        <v>3</v>
      </c>
      <c r="S17" s="59" t="s">
        <v>665</v>
      </c>
      <c r="T17" s="8">
        <v>27.938559999999999</v>
      </c>
      <c r="U17" s="8">
        <v>3</v>
      </c>
    </row>
    <row r="18" spans="2:21" x14ac:dyDescent="0.35">
      <c r="B18" s="5" t="s">
        <v>665</v>
      </c>
      <c r="C18" s="94">
        <f t="shared" si="0"/>
        <v>2</v>
      </c>
      <c r="D18" s="68">
        <f t="shared" si="1"/>
        <v>8.02</v>
      </c>
      <c r="E18" s="94">
        <f t="shared" si="2"/>
        <v>1</v>
      </c>
      <c r="F18" s="68">
        <f t="shared" si="3"/>
        <v>19.918559999999999</v>
      </c>
      <c r="G18" s="94">
        <f t="shared" si="4"/>
        <v>3</v>
      </c>
      <c r="H18" s="68">
        <f t="shared" si="5"/>
        <v>27.938559999999999</v>
      </c>
      <c r="K18" s="59" t="s">
        <v>670</v>
      </c>
      <c r="L18" s="8">
        <v>6.1021700000000001</v>
      </c>
      <c r="M18" s="8">
        <v>1</v>
      </c>
      <c r="O18" s="59" t="s">
        <v>689</v>
      </c>
      <c r="P18" s="8">
        <v>61.518784799999999</v>
      </c>
      <c r="Q18" s="8">
        <v>1</v>
      </c>
      <c r="S18" s="59" t="s">
        <v>670</v>
      </c>
      <c r="T18" s="8">
        <v>60.475670000000001</v>
      </c>
      <c r="U18" s="8">
        <v>4</v>
      </c>
    </row>
    <row r="19" spans="2:21" x14ac:dyDescent="0.35">
      <c r="B19" s="5" t="s">
        <v>687</v>
      </c>
      <c r="C19" s="94">
        <f t="shared" si="0"/>
        <v>18</v>
      </c>
      <c r="D19" s="68">
        <f t="shared" si="1"/>
        <v>46.76827999999999</v>
      </c>
      <c r="E19" s="94">
        <f t="shared" si="2"/>
        <v>0</v>
      </c>
      <c r="F19" s="68">
        <f t="shared" si="3"/>
        <v>0</v>
      </c>
      <c r="G19" s="94">
        <f t="shared" si="4"/>
        <v>18</v>
      </c>
      <c r="H19" s="68">
        <f t="shared" si="5"/>
        <v>46.76827999999999</v>
      </c>
      <c r="K19" s="59" t="s">
        <v>689</v>
      </c>
      <c r="L19" s="8">
        <v>41.686019999999999</v>
      </c>
      <c r="M19" s="8">
        <v>1</v>
      </c>
      <c r="O19" s="59" t="s">
        <v>656</v>
      </c>
      <c r="P19" s="8">
        <v>23.916899999999998</v>
      </c>
      <c r="Q19" s="8">
        <v>2</v>
      </c>
      <c r="S19" s="59" t="s">
        <v>689</v>
      </c>
      <c r="T19" s="8">
        <v>103.20480480000001</v>
      </c>
      <c r="U19" s="8">
        <v>2</v>
      </c>
    </row>
    <row r="20" spans="2:21" x14ac:dyDescent="0.35">
      <c r="B20" s="5" t="s">
        <v>689</v>
      </c>
      <c r="C20" s="94">
        <f t="shared" si="0"/>
        <v>1</v>
      </c>
      <c r="D20" s="68">
        <f t="shared" si="1"/>
        <v>41.686019999999999</v>
      </c>
      <c r="E20" s="94">
        <f t="shared" si="2"/>
        <v>1</v>
      </c>
      <c r="F20" s="68">
        <f t="shared" si="3"/>
        <v>61.518784799999999</v>
      </c>
      <c r="G20" s="94">
        <f t="shared" si="4"/>
        <v>2</v>
      </c>
      <c r="H20" s="68">
        <f t="shared" si="5"/>
        <v>103.20480480000001</v>
      </c>
      <c r="K20" s="59" t="s">
        <v>656</v>
      </c>
      <c r="L20" s="8">
        <v>471.38864640426999</v>
      </c>
      <c r="M20" s="8">
        <v>110</v>
      </c>
      <c r="O20" s="59" t="s">
        <v>768</v>
      </c>
      <c r="P20" s="8">
        <v>4554.4583331460008</v>
      </c>
      <c r="Q20" s="8">
        <v>160</v>
      </c>
      <c r="S20" s="59" t="s">
        <v>656</v>
      </c>
      <c r="T20" s="8">
        <v>495.30554640427005</v>
      </c>
      <c r="U20" s="8">
        <v>112</v>
      </c>
    </row>
    <row r="21" spans="2:21" x14ac:dyDescent="0.35">
      <c r="B21" s="96" t="s">
        <v>656</v>
      </c>
      <c r="C21" s="95">
        <f t="shared" si="0"/>
        <v>110</v>
      </c>
      <c r="D21" s="69">
        <f t="shared" si="1"/>
        <v>471.38864640426999</v>
      </c>
      <c r="E21" s="95">
        <f t="shared" si="2"/>
        <v>2</v>
      </c>
      <c r="F21" s="69">
        <f t="shared" si="3"/>
        <v>23.916899999999998</v>
      </c>
      <c r="G21" s="95">
        <f t="shared" si="4"/>
        <v>112</v>
      </c>
      <c r="H21" s="69">
        <f t="shared" si="5"/>
        <v>495.30554640427005</v>
      </c>
      <c r="K21" s="59" t="s">
        <v>768</v>
      </c>
      <c r="L21" s="8">
        <v>2069.7241492730705</v>
      </c>
      <c r="M21" s="8">
        <v>353</v>
      </c>
      <c r="S21" s="59" t="s">
        <v>768</v>
      </c>
      <c r="T21" s="8">
        <v>6624.1824824190717</v>
      </c>
      <c r="U21" s="8">
        <v>513</v>
      </c>
    </row>
  </sheetData>
  <sortState xmlns:xlrd2="http://schemas.microsoft.com/office/spreadsheetml/2017/richdata2" ref="B9:B23">
    <sortCondition ref="B9:B23"/>
  </sortState>
  <mergeCells count="3">
    <mergeCell ref="C5:D5"/>
    <mergeCell ref="E5:F5"/>
    <mergeCell ref="G5:H5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E5788-B16C-4E77-9BC2-6D12502D9A04}">
  <dimension ref="B2:P189"/>
  <sheetViews>
    <sheetView showGridLines="0" topLeftCell="A4" workbookViewId="0">
      <selection activeCell="I6" sqref="I6"/>
    </sheetView>
  </sheetViews>
  <sheetFormatPr defaultRowHeight="14.5" x14ac:dyDescent="0.35"/>
  <cols>
    <col min="2" max="2" width="17.26953125" bestFit="1" customWidth="1"/>
    <col min="3" max="6" width="11.1796875" customWidth="1"/>
    <col min="7" max="7" width="10.1796875" customWidth="1"/>
    <col min="8" max="8" width="16.90625" customWidth="1"/>
    <col min="9" max="9" width="17" bestFit="1" customWidth="1"/>
    <col min="10" max="10" width="26.453125" bestFit="1" customWidth="1"/>
    <col min="11" max="11" width="33" bestFit="1" customWidth="1"/>
    <col min="12" max="12" width="13.1796875" customWidth="1"/>
    <col min="13" max="13" width="8.453125" customWidth="1"/>
    <col min="14" max="14" width="17" bestFit="1" customWidth="1"/>
    <col min="15" max="15" width="26.453125" bestFit="1" customWidth="1"/>
    <col min="16" max="16" width="33" bestFit="1" customWidth="1"/>
    <col min="17" max="18" width="11.81640625" bestFit="1" customWidth="1"/>
    <col min="19" max="19" width="17" bestFit="1" customWidth="1"/>
    <col min="20" max="21" width="11.81640625" bestFit="1" customWidth="1"/>
    <col min="22" max="22" width="14" bestFit="1" customWidth="1"/>
    <col min="23" max="30" width="11.81640625" bestFit="1" customWidth="1"/>
    <col min="31" max="31" width="19.36328125" bestFit="1" customWidth="1"/>
    <col min="32" max="32" width="11.81640625" bestFit="1" customWidth="1"/>
    <col min="33" max="37" width="5.81640625" bestFit="1" customWidth="1"/>
    <col min="38" max="38" width="21.6328125" bestFit="1" customWidth="1"/>
    <col min="39" max="39" width="18.54296875" bestFit="1" customWidth="1"/>
    <col min="40" max="49" width="5.81640625" bestFit="1" customWidth="1"/>
    <col min="50" max="50" width="21.6328125" bestFit="1" customWidth="1"/>
    <col min="51" max="51" width="9.90625" bestFit="1" customWidth="1"/>
    <col min="52" max="70" width="5.81640625" bestFit="1" customWidth="1"/>
    <col min="71" max="71" width="12.90625" bestFit="1" customWidth="1"/>
    <col min="72" max="72" width="6.54296875" bestFit="1" customWidth="1"/>
    <col min="73" max="82" width="5.81640625" bestFit="1" customWidth="1"/>
    <col min="83" max="83" width="8.7265625" bestFit="1" customWidth="1"/>
    <col min="84" max="84" width="7.90625" bestFit="1" customWidth="1"/>
    <col min="85" max="103" width="5.81640625" bestFit="1" customWidth="1"/>
    <col min="104" max="104" width="10.90625" bestFit="1" customWidth="1"/>
    <col min="105" max="105" width="24.6328125" bestFit="1" customWidth="1"/>
    <col min="106" max="106" width="5.81640625" bestFit="1" customWidth="1"/>
    <col min="107" max="107" width="27.81640625" bestFit="1" customWidth="1"/>
    <col min="108" max="108" width="6.90625" bestFit="1" customWidth="1"/>
    <col min="109" max="110" width="5.81640625" bestFit="1" customWidth="1"/>
    <col min="111" max="111" width="9.90625" bestFit="1" customWidth="1"/>
    <col min="112" max="112" width="7.7265625" bestFit="1" customWidth="1"/>
    <col min="113" max="123" width="5.81640625" bestFit="1" customWidth="1"/>
    <col min="124" max="124" width="10.6328125" bestFit="1" customWidth="1"/>
    <col min="125" max="125" width="6" bestFit="1" customWidth="1"/>
    <col min="126" max="134" width="5.81640625" bestFit="1" customWidth="1"/>
    <col min="135" max="135" width="9" bestFit="1" customWidth="1"/>
    <col min="136" max="136" width="10.1796875" bestFit="1" customWidth="1"/>
    <col min="137" max="138" width="5.81640625" bestFit="1" customWidth="1"/>
    <col min="139" max="139" width="13.1796875" bestFit="1" customWidth="1"/>
    <col min="140" max="140" width="11.26953125" bestFit="1" customWidth="1"/>
    <col min="141" max="148" width="5.81640625" bestFit="1" customWidth="1"/>
    <col min="149" max="149" width="14.26953125" bestFit="1" customWidth="1"/>
    <col min="150" max="150" width="11.26953125" bestFit="1" customWidth="1"/>
    <col min="151" max="153" width="5.81640625" bestFit="1" customWidth="1"/>
    <col min="154" max="154" width="14.26953125" bestFit="1" customWidth="1"/>
    <col min="155" max="155" width="8.81640625" bestFit="1" customWidth="1"/>
    <col min="156" max="163" width="5.81640625" bestFit="1" customWidth="1"/>
    <col min="164" max="164" width="11.81640625" bestFit="1" customWidth="1"/>
    <col min="165" max="165" width="17.7265625" bestFit="1" customWidth="1"/>
    <col min="166" max="174" width="5.81640625" bestFit="1" customWidth="1"/>
    <col min="175" max="175" width="21" bestFit="1" customWidth="1"/>
    <col min="176" max="176" width="18.36328125" bestFit="1" customWidth="1"/>
    <col min="177" max="179" width="5.81640625" bestFit="1" customWidth="1"/>
    <col min="180" max="180" width="21.54296875" bestFit="1" customWidth="1"/>
    <col min="181" max="181" width="8.6328125" bestFit="1" customWidth="1"/>
    <col min="182" max="190" width="5.81640625" bestFit="1" customWidth="1"/>
    <col min="191" max="191" width="11.54296875" bestFit="1" customWidth="1"/>
    <col min="192" max="192" width="13.36328125" bestFit="1" customWidth="1"/>
    <col min="193" max="195" width="5.81640625" bestFit="1" customWidth="1"/>
    <col min="196" max="196" width="16.6328125" bestFit="1" customWidth="1"/>
    <col min="197" max="197" width="15.54296875" bestFit="1" customWidth="1"/>
    <col min="198" max="203" width="5.81640625" bestFit="1" customWidth="1"/>
    <col min="204" max="204" width="18.6328125" bestFit="1" customWidth="1"/>
    <col min="205" max="205" width="7.90625" bestFit="1" customWidth="1"/>
    <col min="206" max="212" width="5.81640625" bestFit="1" customWidth="1"/>
    <col min="213" max="213" width="10.90625" bestFit="1" customWidth="1"/>
    <col min="214" max="214" width="13.36328125" bestFit="1" customWidth="1"/>
    <col min="215" max="243" width="5.81640625" bestFit="1" customWidth="1"/>
    <col min="244" max="244" width="16.6328125" bestFit="1" customWidth="1"/>
    <col min="245" max="245" width="8.81640625" bestFit="1" customWidth="1"/>
    <col min="246" max="256" width="5.81640625" bestFit="1" customWidth="1"/>
    <col min="257" max="257" width="11.81640625" bestFit="1" customWidth="1"/>
    <col min="258" max="258" width="9.6328125" bestFit="1" customWidth="1"/>
    <col min="259" max="269" width="5.81640625" bestFit="1" customWidth="1"/>
    <col min="270" max="270" width="12.81640625" bestFit="1" customWidth="1"/>
    <col min="271" max="271" width="9" bestFit="1" customWidth="1"/>
    <col min="272" max="293" width="5.81640625" bestFit="1" customWidth="1"/>
    <col min="294" max="294" width="12" bestFit="1" customWidth="1"/>
    <col min="295" max="295" width="18.6328125" bestFit="1" customWidth="1"/>
    <col min="296" max="310" width="5.81640625" bestFit="1" customWidth="1"/>
    <col min="311" max="311" width="21.81640625" bestFit="1" customWidth="1"/>
    <col min="312" max="312" width="6.54296875" bestFit="1" customWidth="1"/>
    <col min="313" max="319" width="5.81640625" bestFit="1" customWidth="1"/>
    <col min="320" max="320" width="7.453125" bestFit="1" customWidth="1"/>
    <col min="321" max="321" width="10.90625" bestFit="1" customWidth="1"/>
    <col min="322" max="325" width="6.54296875" bestFit="1" customWidth="1"/>
    <col min="326" max="352" width="5.81640625" bestFit="1" customWidth="1"/>
    <col min="353" max="353" width="13.90625" bestFit="1" customWidth="1"/>
    <col min="354" max="354" width="15.6328125" bestFit="1" customWidth="1"/>
    <col min="355" max="362" width="5.81640625" bestFit="1" customWidth="1"/>
    <col min="363" max="363" width="18.81640625" bestFit="1" customWidth="1"/>
    <col min="364" max="364" width="8.1796875" bestFit="1" customWidth="1"/>
    <col min="365" max="370" width="5.81640625" bestFit="1" customWidth="1"/>
    <col min="371" max="371" width="11.1796875" bestFit="1" customWidth="1"/>
    <col min="372" max="372" width="10.90625" bestFit="1" customWidth="1"/>
    <col min="373" max="387" width="5.81640625" bestFit="1" customWidth="1"/>
    <col min="388" max="388" width="14" bestFit="1" customWidth="1"/>
    <col min="389" max="389" width="7.54296875" bestFit="1" customWidth="1"/>
    <col min="390" max="401" width="5.81640625" bestFit="1" customWidth="1"/>
    <col min="402" max="402" width="10.453125" bestFit="1" customWidth="1"/>
    <col min="403" max="403" width="8.453125" bestFit="1" customWidth="1"/>
    <col min="404" max="421" width="5.81640625" bestFit="1" customWidth="1"/>
    <col min="422" max="422" width="11.453125" bestFit="1" customWidth="1"/>
    <col min="423" max="423" width="8.6328125" bestFit="1" customWidth="1"/>
    <col min="424" max="438" width="5.81640625" bestFit="1" customWidth="1"/>
    <col min="439" max="439" width="11.54296875" bestFit="1" customWidth="1"/>
    <col min="440" max="440" width="9.6328125" bestFit="1" customWidth="1"/>
    <col min="441" max="445" width="5.81640625" bestFit="1" customWidth="1"/>
    <col min="446" max="446" width="12.6328125" bestFit="1" customWidth="1"/>
    <col min="447" max="447" width="10.36328125" bestFit="1" customWidth="1"/>
    <col min="448" max="450" width="5.81640625" bestFit="1" customWidth="1"/>
    <col min="451" max="451" width="13.453125" bestFit="1" customWidth="1"/>
    <col min="452" max="452" width="6.54296875" bestFit="1" customWidth="1"/>
    <col min="453" max="462" width="5.81640625" bestFit="1" customWidth="1"/>
    <col min="463" max="463" width="9.36328125" bestFit="1" customWidth="1"/>
    <col min="464" max="464" width="21" bestFit="1" customWidth="1"/>
    <col min="465" max="477" width="5.81640625" bestFit="1" customWidth="1"/>
    <col min="478" max="478" width="24.08984375" bestFit="1" customWidth="1"/>
    <col min="479" max="479" width="10.1796875" bestFit="1" customWidth="1"/>
  </cols>
  <sheetData>
    <row r="2" spans="2:16" x14ac:dyDescent="0.35">
      <c r="I2" s="57" t="s">
        <v>3</v>
      </c>
      <c r="J2" t="s">
        <v>25</v>
      </c>
      <c r="N2" s="57" t="s">
        <v>3</v>
      </c>
      <c r="O2" t="s">
        <v>25</v>
      </c>
    </row>
    <row r="3" spans="2:16" x14ac:dyDescent="0.35">
      <c r="I3" s="57" t="s">
        <v>803</v>
      </c>
      <c r="J3" s="59">
        <v>1</v>
      </c>
      <c r="K3" s="59"/>
      <c r="L3" s="59"/>
      <c r="N3" s="57" t="s">
        <v>803</v>
      </c>
      <c r="O3" s="59">
        <v>0</v>
      </c>
    </row>
    <row r="5" spans="2:16" x14ac:dyDescent="0.35">
      <c r="C5" s="125" t="s">
        <v>804</v>
      </c>
      <c r="D5" s="127"/>
      <c r="E5" s="126" t="s">
        <v>806</v>
      </c>
      <c r="F5" s="125"/>
      <c r="I5" s="57" t="s">
        <v>769</v>
      </c>
      <c r="J5" t="s">
        <v>800</v>
      </c>
      <c r="K5" t="s">
        <v>805</v>
      </c>
      <c r="N5" s="57" t="s">
        <v>769</v>
      </c>
      <c r="O5" t="s">
        <v>800</v>
      </c>
      <c r="P5" t="s">
        <v>805</v>
      </c>
    </row>
    <row r="6" spans="2:16" ht="43.5" x14ac:dyDescent="0.35">
      <c r="C6" s="88" t="s">
        <v>786</v>
      </c>
      <c r="D6" s="92" t="s">
        <v>799</v>
      </c>
      <c r="E6" s="89" t="s">
        <v>786</v>
      </c>
      <c r="F6" s="88" t="s">
        <v>799</v>
      </c>
      <c r="I6" s="58">
        <v>-4.1516193542532331E-3</v>
      </c>
      <c r="J6" s="8">
        <v>16.94089</v>
      </c>
      <c r="K6" s="8">
        <v>1</v>
      </c>
      <c r="N6" s="58">
        <v>-2.0816001846274228E-2</v>
      </c>
      <c r="O6" s="8">
        <v>41.686019999999999</v>
      </c>
      <c r="P6" s="8">
        <v>1</v>
      </c>
    </row>
    <row r="7" spans="2:16" x14ac:dyDescent="0.35">
      <c r="C7" s="91">
        <f>GETPIVOTDATA("Contagem de Deb. Incent. (Lei 12.431)",$I$5)</f>
        <v>44</v>
      </c>
      <c r="D7" s="93">
        <f>GETPIVOTDATA("Soma de Volume R$ (100 MM)",$I$5)/10</f>
        <v>31.587544999999999</v>
      </c>
      <c r="E7" s="90">
        <f>GETPIVOTDATA("Contagem de Deb. Incent. (Lei 12.431)",$N$5)</f>
        <v>309</v>
      </c>
      <c r="F7" s="91">
        <f>GETPIVOTDATA("Soma de Volume R$ (100 MM)",$N$5)/10</f>
        <v>175.38486992730714</v>
      </c>
      <c r="I7" s="58">
        <v>-3.5346357219493418E-3</v>
      </c>
      <c r="J7" s="8">
        <v>8.9839699999999993</v>
      </c>
      <c r="K7" s="8">
        <v>1</v>
      </c>
      <c r="N7" s="58">
        <v>-1.2812260942345834E-3</v>
      </c>
      <c r="O7" s="8">
        <v>2.5</v>
      </c>
      <c r="P7" s="8">
        <v>1</v>
      </c>
    </row>
    <row r="8" spans="2:16" x14ac:dyDescent="0.35">
      <c r="I8" s="58">
        <v>-1.1025469042358349E-3</v>
      </c>
      <c r="J8" s="8">
        <v>3.01</v>
      </c>
      <c r="K8" s="8">
        <v>1</v>
      </c>
      <c r="N8" s="58">
        <v>1.8373437826946226E-3</v>
      </c>
      <c r="O8" s="8">
        <v>2.5169000000000001</v>
      </c>
      <c r="P8" s="8">
        <v>1</v>
      </c>
    </row>
    <row r="9" spans="2:16" x14ac:dyDescent="0.35">
      <c r="I9" s="58">
        <v>-1.1284162663882658E-4</v>
      </c>
      <c r="J9" s="8">
        <v>6</v>
      </c>
      <c r="K9" s="8">
        <v>1</v>
      </c>
      <c r="N9" s="58">
        <v>1.9761106845022744E-3</v>
      </c>
      <c r="O9" s="8">
        <v>40</v>
      </c>
      <c r="P9" s="8">
        <v>1</v>
      </c>
    </row>
    <row r="10" spans="2:16" x14ac:dyDescent="0.35">
      <c r="I10" s="58">
        <v>2.4544996723085966E-4</v>
      </c>
      <c r="J10" s="8">
        <v>1.5</v>
      </c>
      <c r="K10" s="8">
        <v>1</v>
      </c>
      <c r="N10" s="58">
        <v>2.4006291517652606E-3</v>
      </c>
      <c r="O10" s="8">
        <v>30</v>
      </c>
      <c r="P10" s="8">
        <v>1</v>
      </c>
    </row>
    <row r="11" spans="2:16" x14ac:dyDescent="0.35">
      <c r="I11" s="58">
        <v>8.6028476264177201E-4</v>
      </c>
      <c r="J11" s="8">
        <v>15.29339</v>
      </c>
      <c r="K11" s="8">
        <v>1</v>
      </c>
      <c r="N11" s="58">
        <v>3.2883220489348108E-3</v>
      </c>
      <c r="O11" s="8">
        <v>6</v>
      </c>
      <c r="P11" s="8">
        <v>1</v>
      </c>
    </row>
    <row r="12" spans="2:16" x14ac:dyDescent="0.35">
      <c r="B12" s="107"/>
      <c r="C12" s="108" t="s">
        <v>804</v>
      </c>
      <c r="D12" s="107" t="s">
        <v>806</v>
      </c>
      <c r="I12" s="58">
        <v>9.6104995909662705E-4</v>
      </c>
      <c r="J12" s="8">
        <v>14.7867</v>
      </c>
      <c r="K12" s="8">
        <v>1</v>
      </c>
      <c r="N12" s="58">
        <v>4.3576180954415858E-3</v>
      </c>
      <c r="O12" s="8">
        <v>17</v>
      </c>
      <c r="P12" s="8">
        <v>1</v>
      </c>
    </row>
    <row r="13" spans="2:16" x14ac:dyDescent="0.35">
      <c r="B13" t="s">
        <v>773</v>
      </c>
      <c r="C13" s="98">
        <f>AVERAGE($I$6:$I$47)*100</f>
        <v>1.0745452959730215</v>
      </c>
      <c r="D13" s="99">
        <f>AVERAGE($N$6:$N$188)*100</f>
        <v>1.8532727264775735</v>
      </c>
      <c r="E13" s="68"/>
      <c r="F13" s="68"/>
      <c r="I13" s="58">
        <v>1.2331886793079949E-3</v>
      </c>
      <c r="J13" s="8">
        <v>6</v>
      </c>
      <c r="K13" s="8">
        <v>1</v>
      </c>
      <c r="N13" s="58">
        <v>4.5399999999999998E-3</v>
      </c>
      <c r="O13" s="8">
        <v>21.6</v>
      </c>
      <c r="P13" s="8">
        <v>1</v>
      </c>
    </row>
    <row r="14" spans="2:16" x14ac:dyDescent="0.35">
      <c r="B14" t="s">
        <v>772</v>
      </c>
      <c r="C14" s="98">
        <f>MEDIAN($I$6:$I$47)*100</f>
        <v>0.75136595262260686</v>
      </c>
      <c r="D14" s="99">
        <f>MEDIAN($N$6:$N$188)*100</f>
        <v>1.5707999980897323</v>
      </c>
      <c r="I14" s="58">
        <v>1.5348639145729148E-3</v>
      </c>
      <c r="J14" s="8">
        <v>1</v>
      </c>
      <c r="K14" s="8">
        <v>1</v>
      </c>
      <c r="N14" s="58">
        <v>4.5577590836291355E-3</v>
      </c>
      <c r="O14" s="8">
        <v>6</v>
      </c>
      <c r="P14" s="8">
        <v>1</v>
      </c>
    </row>
    <row r="15" spans="2:16" x14ac:dyDescent="0.35">
      <c r="B15" t="s">
        <v>778</v>
      </c>
      <c r="C15" s="98">
        <f>MAX($I$6:$I$47)*100</f>
        <v>3.9040698438589816</v>
      </c>
      <c r="D15" s="99">
        <f>MAX($N$6:$N$188)*100</f>
        <v>5.4</v>
      </c>
      <c r="I15" s="58">
        <v>1.8373437826946226E-3</v>
      </c>
      <c r="J15" s="8">
        <v>10.89892</v>
      </c>
      <c r="K15" s="8">
        <v>1</v>
      </c>
      <c r="N15" s="58">
        <v>4.8186262296113719E-3</v>
      </c>
      <c r="O15" s="8">
        <v>17.25</v>
      </c>
      <c r="P15" s="8">
        <v>1</v>
      </c>
    </row>
    <row r="16" spans="2:16" x14ac:dyDescent="0.35">
      <c r="B16" t="s">
        <v>779</v>
      </c>
      <c r="C16" s="98">
        <f>MIN($I$6:$I$47)*100</f>
        <v>-0.41516193542532331</v>
      </c>
      <c r="D16" s="99">
        <f>MIN($N$6:$N$188)*100</f>
        <v>-2.081600184627423</v>
      </c>
      <c r="I16" s="58">
        <v>2.1918542666863328E-3</v>
      </c>
      <c r="J16" s="8">
        <v>1.5</v>
      </c>
      <c r="K16" s="8">
        <v>1</v>
      </c>
      <c r="N16" s="58">
        <v>5.2837497010265371E-3</v>
      </c>
      <c r="O16" s="8">
        <v>4</v>
      </c>
      <c r="P16" s="8">
        <v>1</v>
      </c>
    </row>
    <row r="17" spans="2:16" x14ac:dyDescent="0.35">
      <c r="B17" t="s">
        <v>780</v>
      </c>
      <c r="C17" s="98">
        <f>_xlfn.STDEV.S($I$6:$I$47)</f>
        <v>1.147427662425563E-2</v>
      </c>
      <c r="D17" s="99">
        <f>_xlfn.STDEV.S($N$6:$N$188)</f>
        <v>1.1739071575720501E-2</v>
      </c>
      <c r="I17" s="58">
        <v>3.0341799518824875E-3</v>
      </c>
      <c r="J17" s="8">
        <v>8.2347699999999993</v>
      </c>
      <c r="K17" s="8">
        <v>1</v>
      </c>
      <c r="N17" s="58">
        <v>5.5261974590611537E-3</v>
      </c>
      <c r="O17" s="8">
        <v>8</v>
      </c>
      <c r="P17" s="8">
        <v>1</v>
      </c>
    </row>
    <row r="18" spans="2:16" x14ac:dyDescent="0.35">
      <c r="B18" t="s">
        <v>781</v>
      </c>
      <c r="C18" s="98">
        <f>SKEW($I$6:$I$47)</f>
        <v>1.1791269513256493</v>
      </c>
      <c r="D18" s="99">
        <f>SKEW($N$6:$N$188)</f>
        <v>0.78759192659467903</v>
      </c>
      <c r="I18" s="58">
        <v>3.5893393102754967E-3</v>
      </c>
      <c r="J18" s="8">
        <v>9</v>
      </c>
      <c r="K18" s="8">
        <v>1</v>
      </c>
      <c r="N18" s="58">
        <v>5.7480659251790966E-3</v>
      </c>
      <c r="O18" s="8">
        <v>10.075139999999999</v>
      </c>
      <c r="P18" s="8">
        <v>1</v>
      </c>
    </row>
    <row r="19" spans="2:16" x14ac:dyDescent="0.35">
      <c r="B19" s="62" t="s">
        <v>782</v>
      </c>
      <c r="C19" s="100">
        <f>KURT($I$6:$I$47)</f>
        <v>0.54656855452811515</v>
      </c>
      <c r="D19" s="101">
        <f>KURT($N$6:$N$188)</f>
        <v>1.0574778908201563</v>
      </c>
      <c r="I19" s="58">
        <v>4.0206608393469345E-3</v>
      </c>
      <c r="J19" s="8">
        <v>1.9906900000000001</v>
      </c>
      <c r="K19" s="8">
        <v>1</v>
      </c>
      <c r="N19" s="58">
        <v>5.908266142141877E-3</v>
      </c>
      <c r="O19" s="8">
        <v>15</v>
      </c>
      <c r="P19" s="8">
        <v>1</v>
      </c>
    </row>
    <row r="20" spans="2:16" x14ac:dyDescent="0.35">
      <c r="B20" t="s">
        <v>786</v>
      </c>
      <c r="C20" s="105">
        <f>GETPIVOTDATA("Contagem de Deb. Incent. (Lei 12.431)",$I$5)</f>
        <v>44</v>
      </c>
      <c r="D20" s="102">
        <f>GETPIVOTDATA("Contagem de Deb. Incent. (Lei 12.431)",$N$5)</f>
        <v>309</v>
      </c>
      <c r="I20" s="58">
        <v>4.1325287443632064E-3</v>
      </c>
      <c r="J20" s="8">
        <v>15</v>
      </c>
      <c r="K20" s="8">
        <v>1</v>
      </c>
      <c r="N20" s="58">
        <v>6.2943663344020183E-3</v>
      </c>
      <c r="O20" s="8">
        <v>5</v>
      </c>
      <c r="P20" s="8">
        <v>1</v>
      </c>
    </row>
    <row r="21" spans="2:16" ht="29" x14ac:dyDescent="0.35">
      <c r="B21" s="103" t="s">
        <v>799</v>
      </c>
      <c r="C21" s="106">
        <f>GETPIVOTDATA("Soma de Volume R$ (100 MM)",$I$5)/10</f>
        <v>31.587544999999999</v>
      </c>
      <c r="D21" s="104">
        <f>GETPIVOTDATA("Soma de Volume R$ (100 MM)",$N$5)/10</f>
        <v>175.38486992730714</v>
      </c>
      <c r="I21" s="58">
        <v>4.1822530079089759E-3</v>
      </c>
      <c r="J21" s="8">
        <v>3.7652299999999999</v>
      </c>
      <c r="K21" s="8">
        <v>1</v>
      </c>
      <c r="N21" s="58">
        <v>6.433802739494357E-3</v>
      </c>
      <c r="O21" s="8">
        <v>8</v>
      </c>
      <c r="P21" s="8">
        <v>1</v>
      </c>
    </row>
    <row r="22" spans="2:16" x14ac:dyDescent="0.35">
      <c r="I22" s="58">
        <v>6.2185755510817398E-3</v>
      </c>
      <c r="J22" s="8">
        <v>1.0093099999999999</v>
      </c>
      <c r="K22" s="8">
        <v>1</v>
      </c>
      <c r="N22" s="58">
        <v>6.6759137794922272E-3</v>
      </c>
      <c r="O22" s="8">
        <v>33.46237</v>
      </c>
      <c r="P22" s="8">
        <v>1</v>
      </c>
    </row>
    <row r="23" spans="2:16" x14ac:dyDescent="0.35">
      <c r="I23" s="58">
        <v>6.8613025290367169E-3</v>
      </c>
      <c r="J23" s="8">
        <v>11.291359999999999</v>
      </c>
      <c r="K23" s="8">
        <v>2</v>
      </c>
      <c r="N23" s="58">
        <v>6.8999999999999999E-3</v>
      </c>
      <c r="O23" s="8">
        <v>4.1081700000000003</v>
      </c>
      <c r="P23" s="8">
        <v>1</v>
      </c>
    </row>
    <row r="24" spans="2:16" x14ac:dyDescent="0.35">
      <c r="I24" s="58">
        <v>6.8807341954011392E-3</v>
      </c>
      <c r="J24" s="8">
        <v>2.5881500000000002</v>
      </c>
      <c r="K24" s="8">
        <v>1</v>
      </c>
      <c r="N24" s="58">
        <v>6.9999999999999993E-3</v>
      </c>
      <c r="O24" s="8">
        <v>11</v>
      </c>
      <c r="P24" s="8">
        <v>1</v>
      </c>
    </row>
    <row r="25" spans="2:16" x14ac:dyDescent="0.35">
      <c r="I25" s="58">
        <v>7.2281627997561326E-3</v>
      </c>
      <c r="J25" s="8">
        <v>3.0402499999999999</v>
      </c>
      <c r="K25" s="8">
        <v>1</v>
      </c>
      <c r="N25" s="58">
        <v>7.4150203878619323E-3</v>
      </c>
      <c r="O25" s="8">
        <v>14</v>
      </c>
      <c r="P25" s="8">
        <v>1</v>
      </c>
    </row>
    <row r="26" spans="2:16" x14ac:dyDescent="0.35">
      <c r="I26" s="58">
        <v>7.5067311753969079E-3</v>
      </c>
      <c r="J26" s="8">
        <v>7.84619</v>
      </c>
      <c r="K26" s="8">
        <v>1</v>
      </c>
      <c r="N26" s="58">
        <v>7.4582735496095606E-3</v>
      </c>
      <c r="O26" s="8">
        <v>46</v>
      </c>
      <c r="P26" s="8">
        <v>1</v>
      </c>
    </row>
    <row r="27" spans="2:16" x14ac:dyDescent="0.35">
      <c r="I27" s="58">
        <v>7.5205878770552292E-3</v>
      </c>
      <c r="J27" s="8">
        <v>8</v>
      </c>
      <c r="K27" s="8">
        <v>1</v>
      </c>
      <c r="N27" s="58">
        <v>7.4999999999999997E-3</v>
      </c>
      <c r="O27" s="8">
        <v>26.387999999999998</v>
      </c>
      <c r="P27" s="8">
        <v>4</v>
      </c>
    </row>
    <row r="28" spans="2:16" x14ac:dyDescent="0.35">
      <c r="I28" s="58">
        <v>7.6999024418418216E-3</v>
      </c>
      <c r="J28" s="8">
        <v>5.5</v>
      </c>
      <c r="K28" s="8">
        <v>1</v>
      </c>
      <c r="N28" s="58">
        <v>7.5441064164305741E-3</v>
      </c>
      <c r="O28" s="8">
        <v>1.8</v>
      </c>
      <c r="P28" s="8">
        <v>1</v>
      </c>
    </row>
    <row r="29" spans="2:16" x14ac:dyDescent="0.35">
      <c r="I29" s="58">
        <v>8.4341361251929481E-3</v>
      </c>
      <c r="J29" s="8">
        <v>9.1638099999999998</v>
      </c>
      <c r="K29" s="8">
        <v>1</v>
      </c>
      <c r="N29" s="58">
        <v>7.9000000000000008E-3</v>
      </c>
      <c r="O29" s="8">
        <v>10</v>
      </c>
      <c r="P29" s="8">
        <v>1</v>
      </c>
    </row>
    <row r="30" spans="2:16" x14ac:dyDescent="0.35">
      <c r="I30" s="58">
        <v>9.9580365641116497E-3</v>
      </c>
      <c r="J30" s="8">
        <v>15</v>
      </c>
      <c r="K30" s="8">
        <v>1</v>
      </c>
      <c r="N30" s="58">
        <v>8.0000000000000002E-3</v>
      </c>
      <c r="O30" s="8">
        <v>1.42</v>
      </c>
      <c r="P30" s="8">
        <v>2</v>
      </c>
    </row>
    <row r="31" spans="2:16" x14ac:dyDescent="0.35">
      <c r="I31" s="58">
        <v>1.0185622550690443E-2</v>
      </c>
      <c r="J31" s="8">
        <v>5.7644799999999998</v>
      </c>
      <c r="K31" s="8">
        <v>1</v>
      </c>
      <c r="N31" s="58">
        <v>8.1521380967564117E-3</v>
      </c>
      <c r="O31" s="8">
        <v>10.955080000000001</v>
      </c>
      <c r="P31" s="8">
        <v>1</v>
      </c>
    </row>
    <row r="32" spans="2:16" x14ac:dyDescent="0.35">
      <c r="I32" s="58">
        <v>1.0354764919061399E-2</v>
      </c>
      <c r="J32" s="8">
        <v>4.2355200000000002</v>
      </c>
      <c r="K32" s="8">
        <v>1</v>
      </c>
      <c r="N32" s="58">
        <v>8.4788981808620427E-3</v>
      </c>
      <c r="O32" s="8">
        <v>2</v>
      </c>
      <c r="P32" s="8">
        <v>1</v>
      </c>
    </row>
    <row r="33" spans="9:16" x14ac:dyDescent="0.35">
      <c r="I33" s="58">
        <v>1.142545649491189E-2</v>
      </c>
      <c r="J33" s="8">
        <v>5</v>
      </c>
      <c r="K33" s="8">
        <v>2</v>
      </c>
      <c r="N33" s="58">
        <v>8.5000000000000006E-3</v>
      </c>
      <c r="O33" s="8">
        <v>5</v>
      </c>
      <c r="P33" s="8">
        <v>1</v>
      </c>
    </row>
    <row r="34" spans="9:16" x14ac:dyDescent="0.35">
      <c r="I34" s="58">
        <v>1.1940699254376463E-2</v>
      </c>
      <c r="J34" s="8">
        <v>4</v>
      </c>
      <c r="K34" s="8">
        <v>1</v>
      </c>
      <c r="N34" s="58">
        <v>8.52775741801645E-3</v>
      </c>
      <c r="O34" s="8">
        <v>8</v>
      </c>
      <c r="P34" s="8">
        <v>1</v>
      </c>
    </row>
    <row r="35" spans="9:16" x14ac:dyDescent="0.35">
      <c r="I35" s="58">
        <v>1.2125318250302497E-2</v>
      </c>
      <c r="J35" s="8">
        <v>7</v>
      </c>
      <c r="K35" s="8">
        <v>1</v>
      </c>
      <c r="N35" s="58">
        <v>8.7377622129751632E-3</v>
      </c>
      <c r="O35" s="8">
        <v>4.5</v>
      </c>
      <c r="P35" s="8">
        <v>2</v>
      </c>
    </row>
    <row r="36" spans="9:16" x14ac:dyDescent="0.35">
      <c r="I36" s="58">
        <v>1.2509766887391249E-2</v>
      </c>
      <c r="J36" s="8">
        <v>1</v>
      </c>
      <c r="K36" s="8">
        <v>1</v>
      </c>
      <c r="N36" s="58">
        <v>8.79967786004659E-3</v>
      </c>
      <c r="O36" s="8">
        <v>4.5</v>
      </c>
      <c r="P36" s="8">
        <v>1</v>
      </c>
    </row>
    <row r="37" spans="9:16" x14ac:dyDescent="0.35">
      <c r="I37" s="58">
        <v>1.270252601352384E-2</v>
      </c>
      <c r="J37" s="8">
        <v>2.8</v>
      </c>
      <c r="K37" s="8">
        <v>1</v>
      </c>
      <c r="N37" s="58">
        <v>8.8213961141190914E-3</v>
      </c>
      <c r="O37" s="8">
        <v>3.8904000000000001</v>
      </c>
      <c r="P37" s="8">
        <v>1</v>
      </c>
    </row>
    <row r="38" spans="9:16" x14ac:dyDescent="0.35">
      <c r="I38" s="58">
        <v>1.5342850392917606E-2</v>
      </c>
      <c r="J38" s="8">
        <v>5.4</v>
      </c>
      <c r="K38" s="8">
        <v>1</v>
      </c>
      <c r="N38" s="58">
        <v>8.8398325053484772E-3</v>
      </c>
      <c r="O38" s="8">
        <v>2</v>
      </c>
      <c r="P38" s="8">
        <v>1</v>
      </c>
    </row>
    <row r="39" spans="9:16" x14ac:dyDescent="0.35">
      <c r="I39" s="58">
        <v>1.609587357932396E-2</v>
      </c>
      <c r="J39" s="8">
        <v>3.05</v>
      </c>
      <c r="K39" s="8">
        <v>1</v>
      </c>
      <c r="N39" s="58">
        <v>8.8999999999999999E-3</v>
      </c>
      <c r="O39" s="8">
        <v>1.05975</v>
      </c>
      <c r="P39" s="8">
        <v>1</v>
      </c>
    </row>
    <row r="40" spans="9:16" x14ac:dyDescent="0.35">
      <c r="I40" s="58">
        <v>2.1297387243117472E-2</v>
      </c>
      <c r="J40" s="8">
        <v>1.6951799999999999</v>
      </c>
      <c r="K40" s="8">
        <v>1</v>
      </c>
      <c r="N40" s="58">
        <v>9.0000000000000011E-3</v>
      </c>
      <c r="O40" s="8">
        <v>6.125</v>
      </c>
      <c r="P40" s="8">
        <v>2</v>
      </c>
    </row>
    <row r="41" spans="9:16" x14ac:dyDescent="0.35">
      <c r="I41" s="58">
        <v>2.8072431015108812E-2</v>
      </c>
      <c r="J41" s="8">
        <v>4.5866400000000001</v>
      </c>
      <c r="K41" s="8">
        <v>1</v>
      </c>
      <c r="N41" s="58">
        <v>9.0285496807668147E-3</v>
      </c>
      <c r="O41" s="8">
        <v>8</v>
      </c>
      <c r="P41" s="8">
        <v>1</v>
      </c>
    </row>
    <row r="42" spans="9:16" x14ac:dyDescent="0.35">
      <c r="I42" s="58">
        <v>2.8576984540753747E-2</v>
      </c>
      <c r="J42" s="8">
        <v>8</v>
      </c>
      <c r="K42" s="8">
        <v>1</v>
      </c>
      <c r="N42" s="58">
        <v>9.2460075600163446E-3</v>
      </c>
      <c r="O42" s="8">
        <v>2</v>
      </c>
      <c r="P42" s="8">
        <v>1</v>
      </c>
    </row>
    <row r="43" spans="9:16" x14ac:dyDescent="0.35">
      <c r="I43" s="58">
        <v>2.8884797597171996E-2</v>
      </c>
      <c r="J43" s="8">
        <v>6</v>
      </c>
      <c r="K43" s="8">
        <v>1</v>
      </c>
      <c r="N43" s="58">
        <v>9.3999999999999986E-3</v>
      </c>
      <c r="O43" s="8">
        <v>7.4</v>
      </c>
      <c r="P43" s="8">
        <v>2</v>
      </c>
    </row>
    <row r="44" spans="9:16" x14ac:dyDescent="0.35">
      <c r="I44" s="58">
        <v>3.0695966659125551E-2</v>
      </c>
      <c r="J44" s="8">
        <v>31</v>
      </c>
      <c r="K44" s="8">
        <v>1</v>
      </c>
      <c r="N44" s="58">
        <v>9.4818592281103488E-3</v>
      </c>
      <c r="O44" s="8">
        <v>2</v>
      </c>
      <c r="P44" s="8">
        <v>1</v>
      </c>
    </row>
    <row r="45" spans="9:16" x14ac:dyDescent="0.35">
      <c r="I45" s="58">
        <v>3.7302364716141012E-2</v>
      </c>
      <c r="J45" s="8">
        <v>31</v>
      </c>
      <c r="K45" s="8">
        <v>1</v>
      </c>
      <c r="N45" s="58">
        <v>9.4999999999999998E-3</v>
      </c>
      <c r="O45" s="8">
        <v>1.1120000000000001</v>
      </c>
      <c r="P45" s="8">
        <v>1</v>
      </c>
    </row>
    <row r="46" spans="9:16" x14ac:dyDescent="0.35">
      <c r="I46" s="58">
        <v>3.752599291835601E-2</v>
      </c>
      <c r="J46" s="8">
        <v>3</v>
      </c>
      <c r="K46" s="8">
        <v>1</v>
      </c>
      <c r="N46" s="58">
        <v>9.5028440230666006E-3</v>
      </c>
      <c r="O46" s="8">
        <v>4</v>
      </c>
      <c r="P46" s="8">
        <v>1</v>
      </c>
    </row>
    <row r="47" spans="9:16" x14ac:dyDescent="0.35">
      <c r="I47" s="58">
        <v>3.9040698438589816E-2</v>
      </c>
      <c r="J47" s="8">
        <v>5</v>
      </c>
      <c r="K47" s="8">
        <v>1</v>
      </c>
      <c r="N47" s="58">
        <v>9.5540485226726091E-3</v>
      </c>
      <c r="O47" s="8">
        <v>6.7</v>
      </c>
      <c r="P47" s="8">
        <v>1</v>
      </c>
    </row>
    <row r="48" spans="9:16" x14ac:dyDescent="0.35">
      <c r="I48" s="58" t="s">
        <v>768</v>
      </c>
      <c r="J48" s="8">
        <v>315.87545</v>
      </c>
      <c r="K48" s="8">
        <v>44</v>
      </c>
      <c r="N48" s="58">
        <v>9.7810905659582829E-3</v>
      </c>
      <c r="O48" s="8">
        <v>1.5</v>
      </c>
      <c r="P48" s="8">
        <v>1</v>
      </c>
    </row>
    <row r="49" spans="14:16" x14ac:dyDescent="0.35">
      <c r="N49" s="58">
        <v>9.840006657273942E-3</v>
      </c>
      <c r="O49" s="8">
        <v>4.3</v>
      </c>
      <c r="P49" s="8">
        <v>1</v>
      </c>
    </row>
    <row r="50" spans="14:16" x14ac:dyDescent="0.35">
      <c r="N50" s="58">
        <v>9.9579739307182093E-3</v>
      </c>
      <c r="O50" s="8">
        <v>2</v>
      </c>
      <c r="P50" s="8">
        <v>1</v>
      </c>
    </row>
    <row r="51" spans="14:16" x14ac:dyDescent="0.35">
      <c r="N51" s="58">
        <v>0.01</v>
      </c>
      <c r="O51" s="8">
        <v>36</v>
      </c>
      <c r="P51" s="8">
        <v>3</v>
      </c>
    </row>
    <row r="52" spans="14:16" x14ac:dyDescent="0.35">
      <c r="N52" s="58">
        <v>1.0154394942621438E-2</v>
      </c>
      <c r="O52" s="8">
        <v>2.54</v>
      </c>
      <c r="P52" s="8">
        <v>1</v>
      </c>
    </row>
    <row r="53" spans="14:16" x14ac:dyDescent="0.35">
      <c r="N53" s="58">
        <v>1.0180001104728262E-2</v>
      </c>
      <c r="O53" s="8">
        <v>1.7</v>
      </c>
      <c r="P53" s="8">
        <v>1</v>
      </c>
    </row>
    <row r="54" spans="14:16" x14ac:dyDescent="0.35">
      <c r="N54" s="58">
        <v>1.0200000000000001E-2</v>
      </c>
      <c r="O54" s="8">
        <v>14</v>
      </c>
      <c r="P54" s="8">
        <v>1</v>
      </c>
    </row>
    <row r="55" spans="14:16" x14ac:dyDescent="0.35">
      <c r="N55" s="58">
        <v>1.03E-2</v>
      </c>
      <c r="O55" s="8">
        <v>3</v>
      </c>
      <c r="P55" s="8">
        <v>1</v>
      </c>
    </row>
    <row r="56" spans="14:16" x14ac:dyDescent="0.35">
      <c r="N56" s="58">
        <v>1.081201627685595E-2</v>
      </c>
      <c r="O56" s="8">
        <v>3.0831</v>
      </c>
      <c r="P56" s="8">
        <v>1</v>
      </c>
    </row>
    <row r="57" spans="14:16" x14ac:dyDescent="0.35">
      <c r="N57" s="58">
        <v>1.087163456281659E-2</v>
      </c>
      <c r="O57" s="8">
        <v>6.5367499999999996</v>
      </c>
      <c r="P57" s="8">
        <v>1</v>
      </c>
    </row>
    <row r="58" spans="14:16" x14ac:dyDescent="0.35">
      <c r="N58" s="58">
        <v>1.09E-2</v>
      </c>
      <c r="O58" s="8">
        <v>5</v>
      </c>
      <c r="P58" s="8">
        <v>1</v>
      </c>
    </row>
    <row r="59" spans="14:16" x14ac:dyDescent="0.35">
      <c r="N59" s="58">
        <v>1.0989691938876599E-2</v>
      </c>
      <c r="O59" s="8">
        <v>4</v>
      </c>
      <c r="P59" s="8">
        <v>1</v>
      </c>
    </row>
    <row r="60" spans="14:16" x14ac:dyDescent="0.35">
      <c r="N60" s="58">
        <v>1.1077013807165486E-2</v>
      </c>
      <c r="O60" s="8">
        <v>2.5</v>
      </c>
      <c r="P60" s="8">
        <v>1</v>
      </c>
    </row>
    <row r="61" spans="14:16" x14ac:dyDescent="0.35">
      <c r="N61" s="58">
        <v>1.1199780455757058E-2</v>
      </c>
      <c r="O61" s="8">
        <v>8</v>
      </c>
      <c r="P61" s="8">
        <v>1</v>
      </c>
    </row>
    <row r="62" spans="14:16" x14ac:dyDescent="0.35">
      <c r="N62" s="58">
        <v>1.15E-2</v>
      </c>
      <c r="O62" s="8">
        <v>45.274799999999999</v>
      </c>
      <c r="P62" s="8">
        <v>5</v>
      </c>
    </row>
    <row r="63" spans="14:16" x14ac:dyDescent="0.35">
      <c r="N63" s="58">
        <v>1.18E-2</v>
      </c>
      <c r="O63" s="8">
        <v>4.25</v>
      </c>
      <c r="P63" s="8">
        <v>1</v>
      </c>
    </row>
    <row r="64" spans="14:16" x14ac:dyDescent="0.35">
      <c r="N64" s="58">
        <v>1.1812850252158391E-2</v>
      </c>
      <c r="O64" s="8">
        <v>2</v>
      </c>
      <c r="P64" s="8">
        <v>1</v>
      </c>
    </row>
    <row r="65" spans="14:16" x14ac:dyDescent="0.35">
      <c r="N65" s="58">
        <v>1.192847043520584E-2</v>
      </c>
      <c r="O65" s="8">
        <v>0.66500000000000004</v>
      </c>
      <c r="P65" s="8">
        <v>1</v>
      </c>
    </row>
    <row r="66" spans="14:16" x14ac:dyDescent="0.35">
      <c r="N66" s="58">
        <v>1.2E-2</v>
      </c>
      <c r="O66" s="8">
        <v>17.5</v>
      </c>
      <c r="P66" s="8">
        <v>2</v>
      </c>
    </row>
    <row r="67" spans="14:16" x14ac:dyDescent="0.35">
      <c r="N67" s="58">
        <v>1.2010042098670064E-2</v>
      </c>
      <c r="O67" s="8">
        <v>1.5</v>
      </c>
      <c r="P67" s="8">
        <v>1</v>
      </c>
    </row>
    <row r="68" spans="14:16" x14ac:dyDescent="0.35">
      <c r="N68" s="58">
        <v>1.2301859665232232E-2</v>
      </c>
      <c r="O68" s="8">
        <v>5</v>
      </c>
      <c r="P68" s="8">
        <v>1</v>
      </c>
    </row>
    <row r="69" spans="14:16" x14ac:dyDescent="0.35">
      <c r="N69" s="58">
        <v>1.2374478439314052E-2</v>
      </c>
      <c r="O69" s="8">
        <v>16</v>
      </c>
      <c r="P69" s="8">
        <v>1</v>
      </c>
    </row>
    <row r="70" spans="14:16" x14ac:dyDescent="0.35">
      <c r="N70" s="58">
        <v>1.2500000000000001E-2</v>
      </c>
      <c r="O70" s="8">
        <v>39.729500000000002</v>
      </c>
      <c r="P70" s="8">
        <v>4</v>
      </c>
    </row>
    <row r="71" spans="14:16" x14ac:dyDescent="0.35">
      <c r="N71" s="58">
        <v>1.2548325769659373E-2</v>
      </c>
      <c r="O71" s="8">
        <v>4</v>
      </c>
      <c r="P71" s="8">
        <v>1</v>
      </c>
    </row>
    <row r="72" spans="14:16" x14ac:dyDescent="0.35">
      <c r="N72" s="58">
        <v>1.29E-2</v>
      </c>
      <c r="O72" s="8">
        <v>1.6</v>
      </c>
      <c r="P72" s="8">
        <v>1</v>
      </c>
    </row>
    <row r="73" spans="14:16" x14ac:dyDescent="0.35">
      <c r="N73" s="58">
        <v>1.3000000000000001E-2</v>
      </c>
      <c r="O73" s="8">
        <v>7.5</v>
      </c>
      <c r="P73" s="8">
        <v>1</v>
      </c>
    </row>
    <row r="74" spans="14:16" x14ac:dyDescent="0.35">
      <c r="N74" s="58">
        <v>1.301109180961219E-2</v>
      </c>
      <c r="O74" s="8">
        <v>1.546</v>
      </c>
      <c r="P74" s="8">
        <v>1</v>
      </c>
    </row>
    <row r="75" spans="14:16" x14ac:dyDescent="0.35">
      <c r="N75" s="58">
        <v>1.3189020710146215E-2</v>
      </c>
      <c r="O75" s="8">
        <v>3.0265</v>
      </c>
      <c r="P75" s="8">
        <v>1</v>
      </c>
    </row>
    <row r="76" spans="14:16" x14ac:dyDescent="0.35">
      <c r="N76" s="58">
        <v>1.3197724978515095E-2</v>
      </c>
      <c r="O76" s="8">
        <v>10</v>
      </c>
      <c r="P76" s="8">
        <v>1</v>
      </c>
    </row>
    <row r="77" spans="14:16" x14ac:dyDescent="0.35">
      <c r="N77" s="58">
        <v>1.3205942263497262E-2</v>
      </c>
      <c r="O77" s="8">
        <v>0.95499999999999996</v>
      </c>
      <c r="P77" s="8">
        <v>1</v>
      </c>
    </row>
    <row r="78" spans="14:16" x14ac:dyDescent="0.35">
      <c r="N78" s="58">
        <v>1.3258711060067339E-2</v>
      </c>
      <c r="O78" s="8">
        <v>2</v>
      </c>
      <c r="P78" s="8">
        <v>1</v>
      </c>
    </row>
    <row r="79" spans="14:16" x14ac:dyDescent="0.35">
      <c r="N79" s="58">
        <v>1.3334596901974803E-2</v>
      </c>
      <c r="O79" s="8">
        <v>5</v>
      </c>
      <c r="P79" s="8">
        <v>2</v>
      </c>
    </row>
    <row r="80" spans="14:16" x14ac:dyDescent="0.35">
      <c r="N80" s="58">
        <v>1.3500000000000002E-2</v>
      </c>
      <c r="O80" s="8">
        <v>7.125</v>
      </c>
      <c r="P80" s="8">
        <v>2</v>
      </c>
    </row>
    <row r="81" spans="14:16" x14ac:dyDescent="0.35">
      <c r="N81" s="58">
        <v>1.3728575122936541E-2</v>
      </c>
      <c r="O81" s="8">
        <v>3.5</v>
      </c>
      <c r="P81" s="8">
        <v>1</v>
      </c>
    </row>
    <row r="82" spans="14:16" x14ac:dyDescent="0.35">
      <c r="N82" s="58">
        <v>1.3730194668303969E-2</v>
      </c>
      <c r="O82" s="8">
        <v>0.45400000000000001</v>
      </c>
      <c r="P82" s="8">
        <v>1</v>
      </c>
    </row>
    <row r="83" spans="14:16" x14ac:dyDescent="0.35">
      <c r="N83" s="58">
        <v>1.3999999999999999E-2</v>
      </c>
      <c r="O83" s="8">
        <v>17.5623</v>
      </c>
      <c r="P83" s="8">
        <v>3</v>
      </c>
    </row>
    <row r="84" spans="14:16" x14ac:dyDescent="0.35">
      <c r="N84" s="58">
        <v>1.4098648233335002E-2</v>
      </c>
      <c r="O84" s="8">
        <v>3</v>
      </c>
      <c r="P84" s="8">
        <v>1</v>
      </c>
    </row>
    <row r="85" spans="14:16" x14ac:dyDescent="0.35">
      <c r="N85" s="58">
        <v>1.41124262469337E-2</v>
      </c>
      <c r="O85" s="8">
        <v>2</v>
      </c>
      <c r="P85" s="8">
        <v>1</v>
      </c>
    </row>
    <row r="86" spans="14:16" x14ac:dyDescent="0.35">
      <c r="N86" s="58">
        <v>1.4115161866876289E-2</v>
      </c>
      <c r="O86" s="8">
        <v>2</v>
      </c>
      <c r="P86" s="8">
        <v>1</v>
      </c>
    </row>
    <row r="87" spans="14:16" x14ac:dyDescent="0.35">
      <c r="N87" s="58">
        <v>1.4164291090012484E-2</v>
      </c>
      <c r="O87" s="8">
        <v>12</v>
      </c>
      <c r="P87" s="8">
        <v>1</v>
      </c>
    </row>
    <row r="88" spans="14:16" x14ac:dyDescent="0.35">
      <c r="N88" s="58">
        <v>1.4475248313748024E-2</v>
      </c>
      <c r="O88" s="8">
        <v>0.27250000000000002</v>
      </c>
      <c r="P88" s="8">
        <v>1</v>
      </c>
    </row>
    <row r="89" spans="14:16" x14ac:dyDescent="0.35">
      <c r="N89" s="58">
        <v>1.4499999999999999E-2</v>
      </c>
      <c r="O89" s="8">
        <v>18.882679999999997</v>
      </c>
      <c r="P89" s="8">
        <v>4</v>
      </c>
    </row>
    <row r="90" spans="14:16" x14ac:dyDescent="0.35">
      <c r="N90" s="58">
        <v>1.4667591244999861E-2</v>
      </c>
      <c r="O90" s="8">
        <v>10</v>
      </c>
      <c r="P90" s="8">
        <v>1</v>
      </c>
    </row>
    <row r="91" spans="14:16" x14ac:dyDescent="0.35">
      <c r="N91" s="58">
        <v>1.4775311220029147E-2</v>
      </c>
      <c r="O91" s="8">
        <v>46.811</v>
      </c>
      <c r="P91" s="8">
        <v>1</v>
      </c>
    </row>
    <row r="92" spans="14:16" x14ac:dyDescent="0.35">
      <c r="N92" s="58">
        <v>1.4999999999999999E-2</v>
      </c>
      <c r="O92" s="8">
        <v>31.853999999999999</v>
      </c>
      <c r="P92" s="8">
        <v>3</v>
      </c>
    </row>
    <row r="93" spans="14:16" x14ac:dyDescent="0.35">
      <c r="N93" s="58">
        <v>1.5132821505853046E-2</v>
      </c>
      <c r="O93" s="8">
        <v>12.6335</v>
      </c>
      <c r="P93" s="8">
        <v>1</v>
      </c>
    </row>
    <row r="94" spans="14:16" x14ac:dyDescent="0.35">
      <c r="N94" s="58">
        <v>1.5236903832019529E-2</v>
      </c>
      <c r="O94" s="8">
        <v>10</v>
      </c>
      <c r="P94" s="8">
        <v>1</v>
      </c>
    </row>
    <row r="95" spans="14:16" x14ac:dyDescent="0.35">
      <c r="N95" s="58">
        <v>1.5428548827166107E-2</v>
      </c>
      <c r="O95" s="8">
        <v>2.5</v>
      </c>
      <c r="P95" s="8">
        <v>1</v>
      </c>
    </row>
    <row r="96" spans="14:16" x14ac:dyDescent="0.35">
      <c r="N96" s="58">
        <v>1.55E-2</v>
      </c>
      <c r="O96" s="8">
        <v>8.8000000000000007</v>
      </c>
      <c r="P96" s="8">
        <v>3</v>
      </c>
    </row>
    <row r="97" spans="14:16" x14ac:dyDescent="0.35">
      <c r="N97" s="58">
        <v>1.5707999980897322E-2</v>
      </c>
      <c r="O97" s="8">
        <v>5</v>
      </c>
      <c r="P97" s="8">
        <v>1</v>
      </c>
    </row>
    <row r="98" spans="14:16" x14ac:dyDescent="0.35">
      <c r="N98" s="58">
        <v>1.5727705203647968E-2</v>
      </c>
      <c r="O98" s="8">
        <v>3.5</v>
      </c>
      <c r="P98" s="8">
        <v>1</v>
      </c>
    </row>
    <row r="99" spans="14:16" x14ac:dyDescent="0.35">
      <c r="N99" s="58">
        <v>1.6E-2</v>
      </c>
      <c r="O99" s="8">
        <v>18.7745</v>
      </c>
      <c r="P99" s="8">
        <v>5</v>
      </c>
    </row>
    <row r="100" spans="14:16" x14ac:dyDescent="0.35">
      <c r="N100" s="58">
        <v>1.6247324630025539E-2</v>
      </c>
      <c r="O100" s="8">
        <v>15</v>
      </c>
      <c r="P100" s="8">
        <v>2</v>
      </c>
    </row>
    <row r="101" spans="14:16" x14ac:dyDescent="0.35">
      <c r="N101" s="58">
        <v>1.6500000000000001E-2</v>
      </c>
      <c r="O101" s="8">
        <v>19.123362868800001</v>
      </c>
      <c r="P101" s="8">
        <v>5</v>
      </c>
    </row>
    <row r="102" spans="14:16" x14ac:dyDescent="0.35">
      <c r="N102" s="58">
        <v>1.7000000000000001E-2</v>
      </c>
      <c r="O102" s="8">
        <v>21</v>
      </c>
      <c r="P102" s="8">
        <v>2</v>
      </c>
    </row>
    <row r="103" spans="14:16" x14ac:dyDescent="0.35">
      <c r="N103" s="58">
        <v>1.7105466406881067E-2</v>
      </c>
      <c r="O103" s="8">
        <v>1</v>
      </c>
      <c r="P103" s="8">
        <v>1</v>
      </c>
    </row>
    <row r="104" spans="14:16" x14ac:dyDescent="0.35">
      <c r="N104" s="58">
        <v>1.7299889270069091E-2</v>
      </c>
      <c r="O104" s="8">
        <v>2.3664999999999998</v>
      </c>
      <c r="P104" s="8">
        <v>1</v>
      </c>
    </row>
    <row r="105" spans="14:16" x14ac:dyDescent="0.35">
      <c r="N105" s="58">
        <v>1.7500000000000002E-2</v>
      </c>
      <c r="O105" s="8">
        <v>40.622700000000002</v>
      </c>
      <c r="P105" s="8">
        <v>7</v>
      </c>
    </row>
    <row r="106" spans="14:16" x14ac:dyDescent="0.35">
      <c r="N106" s="58">
        <v>1.7597398896003959E-2</v>
      </c>
      <c r="O106" s="8">
        <v>6</v>
      </c>
      <c r="P106" s="8">
        <v>1</v>
      </c>
    </row>
    <row r="107" spans="14:16" x14ac:dyDescent="0.35">
      <c r="N107" s="58">
        <v>1.7820376526369006E-2</v>
      </c>
      <c r="O107" s="8">
        <v>12</v>
      </c>
      <c r="P107" s="8">
        <v>1</v>
      </c>
    </row>
    <row r="108" spans="14:16" x14ac:dyDescent="0.35">
      <c r="N108" s="58">
        <v>1.8000000000000002E-2</v>
      </c>
      <c r="O108" s="8">
        <v>21.574289999999998</v>
      </c>
      <c r="P108" s="8">
        <v>5</v>
      </c>
    </row>
    <row r="109" spans="14:16" x14ac:dyDescent="0.35">
      <c r="N109" s="58">
        <v>1.8500000000000003E-2</v>
      </c>
      <c r="O109" s="8">
        <v>5.1447799999999999</v>
      </c>
      <c r="P109" s="8">
        <v>3</v>
      </c>
    </row>
    <row r="110" spans="14:16" x14ac:dyDescent="0.35">
      <c r="N110" s="58">
        <v>1.8529427683058642E-2</v>
      </c>
      <c r="O110" s="8">
        <v>7.5</v>
      </c>
      <c r="P110" s="8">
        <v>1</v>
      </c>
    </row>
    <row r="111" spans="14:16" x14ac:dyDescent="0.35">
      <c r="N111" s="58">
        <v>1.8582648043217409E-2</v>
      </c>
      <c r="O111" s="8">
        <v>3.5</v>
      </c>
      <c r="P111" s="8">
        <v>1</v>
      </c>
    </row>
    <row r="112" spans="14:16" x14ac:dyDescent="0.35">
      <c r="N112" s="58">
        <v>1.8651845037651275E-2</v>
      </c>
      <c r="O112" s="8">
        <v>5</v>
      </c>
      <c r="P112" s="8">
        <v>1</v>
      </c>
    </row>
    <row r="113" spans="14:16" x14ac:dyDescent="0.35">
      <c r="N113" s="58">
        <v>1.8736446205041373E-2</v>
      </c>
      <c r="O113" s="8">
        <v>7.5</v>
      </c>
      <c r="P113" s="8">
        <v>1</v>
      </c>
    </row>
    <row r="114" spans="14:16" x14ac:dyDescent="0.35">
      <c r="N114" s="58">
        <v>1.8882530055031443E-2</v>
      </c>
      <c r="O114" s="8">
        <v>1.6517500000000001</v>
      </c>
      <c r="P114" s="8">
        <v>1</v>
      </c>
    </row>
    <row r="115" spans="14:16" x14ac:dyDescent="0.35">
      <c r="N115" s="58">
        <v>1.9E-2</v>
      </c>
      <c r="O115" s="8">
        <v>57.449399999999997</v>
      </c>
      <c r="P115" s="8">
        <v>5</v>
      </c>
    </row>
    <row r="116" spans="14:16" x14ac:dyDescent="0.35">
      <c r="N116" s="58">
        <v>1.9018154910432673E-2</v>
      </c>
      <c r="O116" s="8">
        <v>3.1</v>
      </c>
      <c r="P116" s="8">
        <v>1</v>
      </c>
    </row>
    <row r="117" spans="14:16" x14ac:dyDescent="0.35">
      <c r="N117" s="58">
        <v>1.9193198348066431E-2</v>
      </c>
      <c r="O117" s="8">
        <v>2.7084000000000001</v>
      </c>
      <c r="P117" s="8">
        <v>1</v>
      </c>
    </row>
    <row r="118" spans="14:16" x14ac:dyDescent="0.35">
      <c r="N118" s="58">
        <v>1.9299999999999998E-2</v>
      </c>
      <c r="O118" s="8">
        <v>3</v>
      </c>
      <c r="P118" s="8">
        <v>1</v>
      </c>
    </row>
    <row r="119" spans="14:16" x14ac:dyDescent="0.35">
      <c r="N119" s="58">
        <v>1.95E-2</v>
      </c>
      <c r="O119" s="8">
        <v>4.6850000000000005</v>
      </c>
      <c r="P119" s="8">
        <v>2</v>
      </c>
    </row>
    <row r="120" spans="14:16" x14ac:dyDescent="0.35">
      <c r="N120" s="58">
        <v>1.9581088218107286E-2</v>
      </c>
      <c r="O120" s="8">
        <v>3</v>
      </c>
      <c r="P120" s="8">
        <v>1</v>
      </c>
    </row>
    <row r="121" spans="14:16" x14ac:dyDescent="0.35">
      <c r="N121" s="58">
        <v>1.9763618005311328E-2</v>
      </c>
      <c r="O121" s="8">
        <v>5</v>
      </c>
      <c r="P121" s="8">
        <v>1</v>
      </c>
    </row>
    <row r="122" spans="14:16" x14ac:dyDescent="0.35">
      <c r="N122" s="58">
        <v>1.9798020773846181E-2</v>
      </c>
      <c r="O122" s="8">
        <v>0.71750999999999998</v>
      </c>
      <c r="P122" s="8">
        <v>1</v>
      </c>
    </row>
    <row r="123" spans="14:16" x14ac:dyDescent="0.35">
      <c r="N123" s="58">
        <v>0.02</v>
      </c>
      <c r="O123" s="8">
        <v>23.129506404269996</v>
      </c>
      <c r="P123" s="8">
        <v>8</v>
      </c>
    </row>
    <row r="124" spans="14:16" x14ac:dyDescent="0.35">
      <c r="N124" s="58">
        <v>2.0154403245554658E-2</v>
      </c>
      <c r="O124" s="8">
        <v>1</v>
      </c>
      <c r="P124" s="8">
        <v>1</v>
      </c>
    </row>
    <row r="125" spans="14:16" x14ac:dyDescent="0.35">
      <c r="N125" s="58">
        <v>2.0465598430974351E-2</v>
      </c>
      <c r="O125" s="8">
        <v>1.7</v>
      </c>
      <c r="P125" s="8">
        <v>1</v>
      </c>
    </row>
    <row r="126" spans="14:16" x14ac:dyDescent="0.35">
      <c r="N126" s="58">
        <v>2.0499999999999997E-2</v>
      </c>
      <c r="O126" s="8">
        <v>9.1907199999999989</v>
      </c>
      <c r="P126" s="8">
        <v>4</v>
      </c>
    </row>
    <row r="127" spans="14:16" x14ac:dyDescent="0.35">
      <c r="N127" s="58">
        <v>2.1000000000000001E-2</v>
      </c>
      <c r="O127" s="8">
        <v>16</v>
      </c>
      <c r="P127" s="8">
        <v>2</v>
      </c>
    </row>
    <row r="128" spans="14:16" x14ac:dyDescent="0.35">
      <c r="N128" s="58">
        <v>2.1109162423284023E-2</v>
      </c>
      <c r="O128" s="8">
        <v>7</v>
      </c>
      <c r="P128" s="8">
        <v>1</v>
      </c>
    </row>
    <row r="129" spans="14:16" x14ac:dyDescent="0.35">
      <c r="N129" s="58">
        <v>2.1499999999999998E-2</v>
      </c>
      <c r="O129" s="8">
        <v>4</v>
      </c>
      <c r="P129" s="8">
        <v>1</v>
      </c>
    </row>
    <row r="130" spans="14:16" x14ac:dyDescent="0.35">
      <c r="N130" s="58">
        <v>2.1536877034549897E-2</v>
      </c>
      <c r="O130" s="8">
        <v>19</v>
      </c>
      <c r="P130" s="8">
        <v>1</v>
      </c>
    </row>
    <row r="131" spans="14:16" x14ac:dyDescent="0.35">
      <c r="N131" s="58">
        <v>2.1962358542059985E-2</v>
      </c>
      <c r="O131" s="8">
        <v>1.1299999999999999</v>
      </c>
      <c r="P131" s="8">
        <v>1</v>
      </c>
    </row>
    <row r="132" spans="14:16" x14ac:dyDescent="0.35">
      <c r="N132" s="58">
        <v>2.2000000000000002E-2</v>
      </c>
      <c r="O132" s="8">
        <v>6.0903200000000002</v>
      </c>
      <c r="P132" s="8">
        <v>5</v>
      </c>
    </row>
    <row r="133" spans="14:16" x14ac:dyDescent="0.35">
      <c r="N133" s="58">
        <v>2.2092331408492878E-2</v>
      </c>
      <c r="O133" s="8">
        <v>1.6307400000000001</v>
      </c>
      <c r="P133" s="8">
        <v>1</v>
      </c>
    </row>
    <row r="134" spans="14:16" x14ac:dyDescent="0.35">
      <c r="N134" s="58">
        <v>2.2142673285790431E-2</v>
      </c>
      <c r="O134" s="8">
        <v>21</v>
      </c>
      <c r="P134" s="8">
        <v>3</v>
      </c>
    </row>
    <row r="135" spans="14:16" x14ac:dyDescent="0.35">
      <c r="N135" s="58">
        <v>2.2258713158324065E-2</v>
      </c>
      <c r="O135" s="8">
        <v>14</v>
      </c>
      <c r="P135" s="8">
        <v>1</v>
      </c>
    </row>
    <row r="136" spans="14:16" x14ac:dyDescent="0.35">
      <c r="N136" s="58">
        <v>2.233316455374515E-2</v>
      </c>
      <c r="O136" s="8">
        <v>5</v>
      </c>
      <c r="P136" s="8">
        <v>1</v>
      </c>
    </row>
    <row r="137" spans="14:16" x14ac:dyDescent="0.35">
      <c r="N137" s="58">
        <v>2.2765255468301326E-2</v>
      </c>
      <c r="O137" s="8">
        <v>1.8509899999999999</v>
      </c>
      <c r="P137" s="8">
        <v>1</v>
      </c>
    </row>
    <row r="138" spans="14:16" x14ac:dyDescent="0.35">
      <c r="N138" s="58">
        <v>2.3E-2</v>
      </c>
      <c r="O138" s="8">
        <v>18</v>
      </c>
      <c r="P138" s="8">
        <v>3</v>
      </c>
    </row>
    <row r="139" spans="14:16" x14ac:dyDescent="0.35">
      <c r="N139" s="58">
        <v>2.3068193821138241E-2</v>
      </c>
      <c r="O139" s="8">
        <v>1.5</v>
      </c>
      <c r="P139" s="8">
        <v>1</v>
      </c>
    </row>
    <row r="140" spans="14:16" x14ac:dyDescent="0.35">
      <c r="N140" s="58">
        <v>2.343930710942525E-2</v>
      </c>
      <c r="O140" s="8">
        <v>1</v>
      </c>
      <c r="P140" s="8">
        <v>1</v>
      </c>
    </row>
    <row r="141" spans="14:16" x14ac:dyDescent="0.35">
      <c r="N141" s="58">
        <v>2.349734366634082E-2</v>
      </c>
      <c r="O141" s="8">
        <v>1.496</v>
      </c>
      <c r="P141" s="8">
        <v>1</v>
      </c>
    </row>
    <row r="142" spans="14:16" x14ac:dyDescent="0.35">
      <c r="N142" s="58">
        <v>2.4E-2</v>
      </c>
      <c r="O142" s="8">
        <v>8</v>
      </c>
      <c r="P142" s="8">
        <v>1</v>
      </c>
    </row>
    <row r="143" spans="14:16" x14ac:dyDescent="0.35">
      <c r="N143" s="58">
        <v>2.4094206287527543E-2</v>
      </c>
      <c r="O143" s="8">
        <v>2</v>
      </c>
      <c r="P143" s="8">
        <v>1</v>
      </c>
    </row>
    <row r="144" spans="14:16" x14ac:dyDescent="0.35">
      <c r="N144" s="58">
        <v>2.4482383374950623E-2</v>
      </c>
      <c r="O144" s="8">
        <v>3</v>
      </c>
      <c r="P144" s="8">
        <v>1</v>
      </c>
    </row>
    <row r="145" spans="14:16" x14ac:dyDescent="0.35">
      <c r="N145" s="58">
        <v>2.5000000000000001E-2</v>
      </c>
      <c r="O145" s="8">
        <v>2.5</v>
      </c>
      <c r="P145" s="8">
        <v>1</v>
      </c>
    </row>
    <row r="146" spans="14:16" x14ac:dyDescent="0.35">
      <c r="N146" s="58">
        <v>2.5099999999999997E-2</v>
      </c>
      <c r="O146" s="8">
        <v>4</v>
      </c>
      <c r="P146" s="8">
        <v>1</v>
      </c>
    </row>
    <row r="147" spans="14:16" x14ac:dyDescent="0.35">
      <c r="N147" s="58">
        <v>2.5499999999999998E-2</v>
      </c>
      <c r="O147" s="8">
        <v>14</v>
      </c>
      <c r="P147" s="8">
        <v>1</v>
      </c>
    </row>
    <row r="148" spans="14:16" x14ac:dyDescent="0.35">
      <c r="N148" s="58">
        <v>2.5918275031720832E-2</v>
      </c>
      <c r="O148" s="8">
        <v>0.88</v>
      </c>
      <c r="P148" s="8">
        <v>1</v>
      </c>
    </row>
    <row r="149" spans="14:16" x14ac:dyDescent="0.35">
      <c r="N149" s="58">
        <v>2.6000000000000002E-2</v>
      </c>
      <c r="O149" s="8">
        <v>9.1</v>
      </c>
      <c r="P149" s="8">
        <v>3</v>
      </c>
    </row>
    <row r="150" spans="14:16" x14ac:dyDescent="0.35">
      <c r="N150" s="58">
        <v>2.6438609515595513E-2</v>
      </c>
      <c r="O150" s="8">
        <v>4.1173200000000003</v>
      </c>
      <c r="P150" s="8">
        <v>1</v>
      </c>
    </row>
    <row r="151" spans="14:16" x14ac:dyDescent="0.35">
      <c r="N151" s="58">
        <v>2.6499999999999999E-2</v>
      </c>
      <c r="O151" s="8">
        <v>17.399999999999999</v>
      </c>
      <c r="P151" s="8">
        <v>1</v>
      </c>
    </row>
    <row r="152" spans="14:16" x14ac:dyDescent="0.35">
      <c r="N152" s="58">
        <v>2.6847053391805136E-2</v>
      </c>
      <c r="O152" s="8">
        <v>0.27</v>
      </c>
      <c r="P152" s="8">
        <v>1</v>
      </c>
    </row>
    <row r="153" spans="14:16" x14ac:dyDescent="0.35">
      <c r="N153" s="58">
        <v>2.7000000000000003E-2</v>
      </c>
      <c r="O153" s="8">
        <v>31</v>
      </c>
      <c r="P153" s="8">
        <v>5</v>
      </c>
    </row>
    <row r="154" spans="14:16" x14ac:dyDescent="0.35">
      <c r="N154" s="58">
        <v>2.75E-2</v>
      </c>
      <c r="O154" s="8">
        <v>2</v>
      </c>
      <c r="P154" s="8">
        <v>1</v>
      </c>
    </row>
    <row r="155" spans="14:16" x14ac:dyDescent="0.35">
      <c r="N155" s="58">
        <v>2.8500000000000001E-2</v>
      </c>
      <c r="O155" s="8">
        <v>1.5</v>
      </c>
      <c r="P155" s="8">
        <v>1</v>
      </c>
    </row>
    <row r="156" spans="14:16" x14ac:dyDescent="0.35">
      <c r="N156" s="58">
        <v>2.8999999999999998E-2</v>
      </c>
      <c r="O156" s="8">
        <v>4.8293999999999997</v>
      </c>
      <c r="P156" s="8">
        <v>3</v>
      </c>
    </row>
    <row r="157" spans="14:16" x14ac:dyDescent="0.35">
      <c r="N157" s="58">
        <v>2.9500000000000002E-2</v>
      </c>
      <c r="O157" s="8">
        <v>3.5</v>
      </c>
      <c r="P157" s="8">
        <v>1</v>
      </c>
    </row>
    <row r="158" spans="14:16" x14ac:dyDescent="0.35">
      <c r="N158" s="58">
        <v>2.959836153967476E-2</v>
      </c>
      <c r="O158" s="8">
        <v>3</v>
      </c>
      <c r="P158" s="8">
        <v>1</v>
      </c>
    </row>
    <row r="159" spans="14:16" x14ac:dyDescent="0.35">
      <c r="N159" s="58">
        <v>2.9883486935029069E-2</v>
      </c>
      <c r="O159" s="8">
        <v>2.3820000000000001</v>
      </c>
      <c r="P159" s="8">
        <v>1</v>
      </c>
    </row>
    <row r="160" spans="14:16" x14ac:dyDescent="0.35">
      <c r="N160" s="58">
        <v>0.03</v>
      </c>
      <c r="O160" s="8">
        <v>45.1845</v>
      </c>
      <c r="P160" s="8">
        <v>9</v>
      </c>
    </row>
    <row r="161" spans="14:16" x14ac:dyDescent="0.35">
      <c r="N161" s="58">
        <v>3.0202927202235993E-2</v>
      </c>
      <c r="O161" s="8">
        <v>6</v>
      </c>
      <c r="P161" s="8">
        <v>1</v>
      </c>
    </row>
    <row r="162" spans="14:16" x14ac:dyDescent="0.35">
      <c r="N162" s="58">
        <v>3.1475868118271078E-2</v>
      </c>
      <c r="O162" s="8">
        <v>10</v>
      </c>
      <c r="P162" s="8">
        <v>1</v>
      </c>
    </row>
    <row r="163" spans="14:16" x14ac:dyDescent="0.35">
      <c r="N163" s="58">
        <v>3.2000000000000001E-2</v>
      </c>
      <c r="O163" s="8">
        <v>5.5</v>
      </c>
      <c r="P163" s="8">
        <v>1</v>
      </c>
    </row>
    <row r="164" spans="14:16" x14ac:dyDescent="0.35">
      <c r="N164" s="58">
        <v>3.3301888425993686E-2</v>
      </c>
      <c r="O164" s="8">
        <v>4</v>
      </c>
      <c r="P164" s="8">
        <v>1</v>
      </c>
    </row>
    <row r="165" spans="14:16" x14ac:dyDescent="0.35">
      <c r="N165" s="58">
        <v>3.3341303280623673E-2</v>
      </c>
      <c r="O165" s="8">
        <v>1.05</v>
      </c>
      <c r="P165" s="8">
        <v>1</v>
      </c>
    </row>
    <row r="166" spans="14:16" x14ac:dyDescent="0.35">
      <c r="N166" s="58">
        <v>3.3896976234699429E-2</v>
      </c>
      <c r="O166" s="8">
        <v>5</v>
      </c>
      <c r="P166" s="8">
        <v>1</v>
      </c>
    </row>
    <row r="167" spans="14:16" x14ac:dyDescent="0.35">
      <c r="N167" s="58">
        <v>3.4315254502407466E-2</v>
      </c>
      <c r="O167" s="8">
        <v>2.5499999999999998</v>
      </c>
      <c r="P167" s="8">
        <v>1</v>
      </c>
    </row>
    <row r="168" spans="14:16" x14ac:dyDescent="0.35">
      <c r="N168" s="58">
        <v>3.465399115130971E-2</v>
      </c>
      <c r="O168" s="8">
        <v>3.6</v>
      </c>
      <c r="P168" s="8">
        <v>1</v>
      </c>
    </row>
    <row r="169" spans="14:16" x14ac:dyDescent="0.35">
      <c r="N169" s="58">
        <v>3.5000000000000003E-2</v>
      </c>
      <c r="O169" s="8">
        <v>21.689999999999998</v>
      </c>
      <c r="P169" s="8">
        <v>4</v>
      </c>
    </row>
    <row r="170" spans="14:16" x14ac:dyDescent="0.35">
      <c r="N170" s="58">
        <v>3.5658030132180718E-2</v>
      </c>
      <c r="O170" s="8">
        <v>9.4</v>
      </c>
      <c r="P170" s="8">
        <v>1</v>
      </c>
    </row>
    <row r="171" spans="14:16" x14ac:dyDescent="0.35">
      <c r="N171" s="58">
        <v>3.5820001863068891E-2</v>
      </c>
      <c r="O171" s="8">
        <v>2</v>
      </c>
      <c r="P171" s="8">
        <v>1</v>
      </c>
    </row>
    <row r="172" spans="14:16" x14ac:dyDescent="0.35">
      <c r="N172" s="58">
        <v>3.6142913974750446E-2</v>
      </c>
      <c r="O172" s="8">
        <v>0.53332999999999997</v>
      </c>
      <c r="P172" s="8">
        <v>1</v>
      </c>
    </row>
    <row r="173" spans="14:16" x14ac:dyDescent="0.35">
      <c r="N173" s="58">
        <v>3.7000000000000005E-2</v>
      </c>
      <c r="O173" s="8">
        <v>6</v>
      </c>
      <c r="P173" s="8">
        <v>1</v>
      </c>
    </row>
    <row r="174" spans="14:16" x14ac:dyDescent="0.35">
      <c r="N174" s="58">
        <v>3.7499999999999999E-2</v>
      </c>
      <c r="O174" s="8">
        <v>56.768279999999976</v>
      </c>
      <c r="P174" s="8">
        <v>27</v>
      </c>
    </row>
    <row r="175" spans="14:16" x14ac:dyDescent="0.35">
      <c r="N175" s="58">
        <v>3.7999999999999999E-2</v>
      </c>
      <c r="O175" s="8">
        <v>7.95</v>
      </c>
      <c r="P175" s="8">
        <v>1</v>
      </c>
    </row>
    <row r="176" spans="14:16" x14ac:dyDescent="0.35">
      <c r="N176" s="58">
        <v>0.04</v>
      </c>
      <c r="O176" s="8">
        <v>2.9877799999999999</v>
      </c>
      <c r="P176" s="8">
        <v>2</v>
      </c>
    </row>
    <row r="177" spans="14:16" x14ac:dyDescent="0.35">
      <c r="N177" s="58">
        <v>4.0417528558939264E-2</v>
      </c>
      <c r="O177" s="8">
        <v>2.52</v>
      </c>
      <c r="P177" s="8">
        <v>1</v>
      </c>
    </row>
    <row r="178" spans="14:16" x14ac:dyDescent="0.35">
      <c r="N178" s="58">
        <v>4.0500000000000001E-2</v>
      </c>
      <c r="O178" s="8">
        <v>22.4</v>
      </c>
      <c r="P178" s="8">
        <v>3</v>
      </c>
    </row>
    <row r="179" spans="14:16" x14ac:dyDescent="0.35">
      <c r="N179" s="58">
        <v>4.0999999999999995E-2</v>
      </c>
      <c r="O179" s="8">
        <v>1.5</v>
      </c>
      <c r="P179" s="8">
        <v>1</v>
      </c>
    </row>
    <row r="180" spans="14:16" x14ac:dyDescent="0.35">
      <c r="N180" s="58">
        <v>4.2000000000000003E-2</v>
      </c>
      <c r="O180" s="8">
        <v>3.4788899999999998</v>
      </c>
      <c r="P180" s="8">
        <v>2</v>
      </c>
    </row>
    <row r="181" spans="14:16" x14ac:dyDescent="0.35">
      <c r="N181" s="58">
        <v>4.4999999999999998E-2</v>
      </c>
      <c r="O181" s="8">
        <v>10.539669999999999</v>
      </c>
      <c r="P181" s="8">
        <v>3</v>
      </c>
    </row>
    <row r="182" spans="14:16" x14ac:dyDescent="0.35">
      <c r="N182" s="58">
        <v>4.6189209405952517E-2</v>
      </c>
      <c r="O182" s="8">
        <v>22.4</v>
      </c>
      <c r="P182" s="8">
        <v>1</v>
      </c>
    </row>
    <row r="183" spans="14:16" x14ac:dyDescent="0.35">
      <c r="N183" s="58">
        <v>4.6923739593280958E-2</v>
      </c>
      <c r="O183" s="8">
        <v>15.75</v>
      </c>
      <c r="P183" s="8">
        <v>1</v>
      </c>
    </row>
    <row r="184" spans="14:16" x14ac:dyDescent="0.35">
      <c r="N184" s="58">
        <v>4.9623241768894877E-2</v>
      </c>
      <c r="O184" s="8">
        <v>4.7805999999999997</v>
      </c>
      <c r="P184" s="8">
        <v>1</v>
      </c>
    </row>
    <row r="185" spans="14:16" x14ac:dyDescent="0.35">
      <c r="N185" s="58">
        <v>0.05</v>
      </c>
      <c r="O185" s="8">
        <v>7</v>
      </c>
      <c r="P185" s="8">
        <v>2</v>
      </c>
    </row>
    <row r="186" spans="14:16" x14ac:dyDescent="0.35">
      <c r="N186" s="58">
        <v>5.1819030804687721E-2</v>
      </c>
      <c r="O186" s="8">
        <v>10.5</v>
      </c>
      <c r="P186" s="8">
        <v>1</v>
      </c>
    </row>
    <row r="187" spans="14:16" x14ac:dyDescent="0.35">
      <c r="N187" s="58">
        <v>5.243613224615664E-2</v>
      </c>
      <c r="O187" s="8">
        <v>1</v>
      </c>
      <c r="P187" s="8">
        <v>1</v>
      </c>
    </row>
    <row r="188" spans="14:16" x14ac:dyDescent="0.35">
      <c r="N188" s="58">
        <v>5.4000000000000006E-2</v>
      </c>
      <c r="O188" s="8">
        <v>5.5</v>
      </c>
      <c r="P188" s="8">
        <v>1</v>
      </c>
    </row>
    <row r="189" spans="14:16" x14ac:dyDescent="0.35">
      <c r="N189" s="58" t="s">
        <v>768</v>
      </c>
      <c r="O189" s="8">
        <v>1753.8486992730714</v>
      </c>
      <c r="P189" s="8">
        <v>309</v>
      </c>
    </row>
  </sheetData>
  <mergeCells count="2">
    <mergeCell ref="C5:D5"/>
    <mergeCell ref="E5:F5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87A92-1A2D-4526-9C9F-7A914A72C766}">
  <dimension ref="A2:AI229"/>
  <sheetViews>
    <sheetView showGridLines="0" zoomScale="70" zoomScaleNormal="70" workbookViewId="0">
      <selection activeCell="J17" sqref="J17"/>
    </sheetView>
  </sheetViews>
  <sheetFormatPr defaultRowHeight="14.5" x14ac:dyDescent="0.35"/>
  <cols>
    <col min="1" max="1" width="17.1796875" bestFit="1" customWidth="1"/>
    <col min="2" max="2" width="26.453125" bestFit="1" customWidth="1"/>
    <col min="3" max="3" width="27" bestFit="1" customWidth="1"/>
    <col min="4" max="4" width="8.26953125" customWidth="1"/>
    <col min="5" max="5" width="17" bestFit="1" customWidth="1"/>
    <col min="6" max="6" width="26.453125" bestFit="1" customWidth="1"/>
    <col min="7" max="7" width="27" bestFit="1" customWidth="1"/>
    <col min="10" max="10" width="17.26953125" bestFit="1" customWidth="1"/>
    <col min="11" max="16" width="10.36328125" customWidth="1"/>
    <col min="17" max="17" width="10.1796875" customWidth="1"/>
    <col min="18" max="18" width="16.90625" customWidth="1"/>
    <col min="19" max="19" width="17" bestFit="1" customWidth="1"/>
    <col min="20" max="20" width="8.26953125" bestFit="1" customWidth="1"/>
    <col min="21" max="21" width="8.453125" customWidth="1"/>
    <col min="22" max="22" width="17" bestFit="1" customWidth="1"/>
    <col min="23" max="23" width="8.26953125" bestFit="1" customWidth="1"/>
    <col min="24" max="24" width="8.453125" customWidth="1"/>
    <col min="25" max="25" width="17" bestFit="1" customWidth="1"/>
    <col min="26" max="26" width="12.81640625" bestFit="1" customWidth="1"/>
    <col min="27" max="27" width="13.1796875" bestFit="1" customWidth="1"/>
    <col min="28" max="28" width="17" bestFit="1" customWidth="1"/>
    <col min="29" max="29" width="12.81640625" bestFit="1" customWidth="1"/>
    <col min="30" max="30" width="11.81640625" bestFit="1" customWidth="1"/>
    <col min="31" max="31" width="17" bestFit="1" customWidth="1"/>
    <col min="32" max="32" width="8.6328125" bestFit="1" customWidth="1"/>
    <col min="33" max="33" width="11.81640625" bestFit="1" customWidth="1"/>
    <col min="34" max="34" width="17" bestFit="1" customWidth="1"/>
    <col min="35" max="35" width="8.6328125" bestFit="1" customWidth="1"/>
    <col min="36" max="40" width="11.81640625" bestFit="1" customWidth="1"/>
    <col min="41" max="41" width="17" bestFit="1" customWidth="1"/>
    <col min="42" max="43" width="11.81640625" bestFit="1" customWidth="1"/>
    <col min="44" max="44" width="14" bestFit="1" customWidth="1"/>
    <col min="45" max="52" width="11.81640625" bestFit="1" customWidth="1"/>
    <col min="53" max="53" width="19.36328125" bestFit="1" customWidth="1"/>
    <col min="54" max="54" width="11.81640625" bestFit="1" customWidth="1"/>
    <col min="55" max="59" width="5.81640625" bestFit="1" customWidth="1"/>
    <col min="60" max="60" width="21.6328125" bestFit="1" customWidth="1"/>
    <col min="61" max="61" width="18.54296875" bestFit="1" customWidth="1"/>
    <col min="62" max="71" width="5.81640625" bestFit="1" customWidth="1"/>
    <col min="72" max="72" width="21.6328125" bestFit="1" customWidth="1"/>
    <col min="73" max="73" width="9.90625" bestFit="1" customWidth="1"/>
    <col min="74" max="92" width="5.81640625" bestFit="1" customWidth="1"/>
    <col min="93" max="93" width="12.90625" bestFit="1" customWidth="1"/>
    <col min="94" max="94" width="6.54296875" bestFit="1" customWidth="1"/>
    <col min="95" max="104" width="5.81640625" bestFit="1" customWidth="1"/>
    <col min="105" max="105" width="8.7265625" bestFit="1" customWidth="1"/>
    <col min="106" max="106" width="7.90625" bestFit="1" customWidth="1"/>
    <col min="107" max="125" width="5.81640625" bestFit="1" customWidth="1"/>
    <col min="126" max="126" width="10.90625" bestFit="1" customWidth="1"/>
    <col min="127" max="127" width="24.6328125" bestFit="1" customWidth="1"/>
    <col min="128" max="128" width="5.81640625" bestFit="1" customWidth="1"/>
    <col min="129" max="129" width="27.81640625" bestFit="1" customWidth="1"/>
    <col min="130" max="130" width="6.90625" bestFit="1" customWidth="1"/>
    <col min="131" max="132" width="5.81640625" bestFit="1" customWidth="1"/>
    <col min="133" max="133" width="9.90625" bestFit="1" customWidth="1"/>
    <col min="134" max="134" width="7.7265625" bestFit="1" customWidth="1"/>
    <col min="135" max="145" width="5.81640625" bestFit="1" customWidth="1"/>
    <col min="146" max="146" width="10.6328125" bestFit="1" customWidth="1"/>
    <col min="147" max="147" width="6" bestFit="1" customWidth="1"/>
    <col min="148" max="156" width="5.81640625" bestFit="1" customWidth="1"/>
    <col min="157" max="157" width="9" bestFit="1" customWidth="1"/>
    <col min="158" max="158" width="10.1796875" bestFit="1" customWidth="1"/>
    <col min="159" max="160" width="5.81640625" bestFit="1" customWidth="1"/>
    <col min="161" max="161" width="13.1796875" bestFit="1" customWidth="1"/>
    <col min="162" max="162" width="11.26953125" bestFit="1" customWidth="1"/>
    <col min="163" max="170" width="5.81640625" bestFit="1" customWidth="1"/>
    <col min="171" max="171" width="14.26953125" bestFit="1" customWidth="1"/>
    <col min="172" max="172" width="11.26953125" bestFit="1" customWidth="1"/>
    <col min="173" max="175" width="5.81640625" bestFit="1" customWidth="1"/>
    <col min="176" max="176" width="14.26953125" bestFit="1" customWidth="1"/>
    <col min="177" max="177" width="8.81640625" bestFit="1" customWidth="1"/>
    <col min="178" max="185" width="5.81640625" bestFit="1" customWidth="1"/>
    <col min="186" max="186" width="11.81640625" bestFit="1" customWidth="1"/>
    <col min="187" max="187" width="17.7265625" bestFit="1" customWidth="1"/>
    <col min="188" max="196" width="5.81640625" bestFit="1" customWidth="1"/>
    <col min="197" max="197" width="21" bestFit="1" customWidth="1"/>
    <col min="198" max="198" width="18.36328125" bestFit="1" customWidth="1"/>
    <col min="199" max="201" width="5.81640625" bestFit="1" customWidth="1"/>
    <col min="202" max="202" width="21.54296875" bestFit="1" customWidth="1"/>
    <col min="203" max="203" width="8.6328125" bestFit="1" customWidth="1"/>
    <col min="204" max="212" width="5.81640625" bestFit="1" customWidth="1"/>
    <col min="213" max="213" width="11.54296875" bestFit="1" customWidth="1"/>
    <col min="214" max="214" width="13.36328125" bestFit="1" customWidth="1"/>
    <col min="215" max="217" width="5.81640625" bestFit="1" customWidth="1"/>
    <col min="218" max="218" width="16.6328125" bestFit="1" customWidth="1"/>
    <col min="219" max="219" width="15.54296875" bestFit="1" customWidth="1"/>
    <col min="220" max="225" width="5.81640625" bestFit="1" customWidth="1"/>
    <col min="226" max="226" width="18.6328125" bestFit="1" customWidth="1"/>
    <col min="227" max="227" width="7.90625" bestFit="1" customWidth="1"/>
    <col min="228" max="234" width="5.81640625" bestFit="1" customWidth="1"/>
    <col min="235" max="235" width="10.90625" bestFit="1" customWidth="1"/>
    <col min="236" max="236" width="13.36328125" bestFit="1" customWidth="1"/>
    <col min="237" max="265" width="5.81640625" bestFit="1" customWidth="1"/>
    <col min="266" max="266" width="16.6328125" bestFit="1" customWidth="1"/>
    <col min="267" max="267" width="8.81640625" bestFit="1" customWidth="1"/>
    <col min="268" max="278" width="5.81640625" bestFit="1" customWidth="1"/>
    <col min="279" max="279" width="11.81640625" bestFit="1" customWidth="1"/>
    <col min="280" max="280" width="9.6328125" bestFit="1" customWidth="1"/>
    <col min="281" max="291" width="5.81640625" bestFit="1" customWidth="1"/>
    <col min="292" max="292" width="12.81640625" bestFit="1" customWidth="1"/>
    <col min="293" max="293" width="9" bestFit="1" customWidth="1"/>
    <col min="294" max="315" width="5.81640625" bestFit="1" customWidth="1"/>
    <col min="316" max="316" width="12" bestFit="1" customWidth="1"/>
    <col min="317" max="317" width="18.6328125" bestFit="1" customWidth="1"/>
    <col min="318" max="332" width="5.81640625" bestFit="1" customWidth="1"/>
    <col min="333" max="333" width="21.81640625" bestFit="1" customWidth="1"/>
    <col min="334" max="334" width="6.54296875" bestFit="1" customWidth="1"/>
    <col min="335" max="341" width="5.81640625" bestFit="1" customWidth="1"/>
    <col min="342" max="342" width="7.453125" bestFit="1" customWidth="1"/>
    <col min="343" max="343" width="10.90625" bestFit="1" customWidth="1"/>
    <col min="344" max="347" width="6.54296875" bestFit="1" customWidth="1"/>
    <col min="348" max="374" width="5.81640625" bestFit="1" customWidth="1"/>
    <col min="375" max="375" width="13.90625" bestFit="1" customWidth="1"/>
    <col min="376" max="376" width="15.6328125" bestFit="1" customWidth="1"/>
    <col min="377" max="384" width="5.81640625" bestFit="1" customWidth="1"/>
    <col min="385" max="385" width="18.81640625" bestFit="1" customWidth="1"/>
    <col min="386" max="386" width="8.1796875" bestFit="1" customWidth="1"/>
    <col min="387" max="392" width="5.81640625" bestFit="1" customWidth="1"/>
    <col min="393" max="393" width="11.1796875" bestFit="1" customWidth="1"/>
    <col min="394" max="394" width="10.90625" bestFit="1" customWidth="1"/>
    <col min="395" max="409" width="5.81640625" bestFit="1" customWidth="1"/>
    <col min="410" max="410" width="14" bestFit="1" customWidth="1"/>
    <col min="411" max="411" width="7.54296875" bestFit="1" customWidth="1"/>
    <col min="412" max="423" width="5.81640625" bestFit="1" customWidth="1"/>
    <col min="424" max="424" width="10.453125" bestFit="1" customWidth="1"/>
    <col min="425" max="425" width="8.453125" bestFit="1" customWidth="1"/>
    <col min="426" max="443" width="5.81640625" bestFit="1" customWidth="1"/>
    <col min="444" max="444" width="11.453125" bestFit="1" customWidth="1"/>
    <col min="445" max="445" width="8.6328125" bestFit="1" customWidth="1"/>
    <col min="446" max="460" width="5.81640625" bestFit="1" customWidth="1"/>
    <col min="461" max="461" width="11.54296875" bestFit="1" customWidth="1"/>
    <col min="462" max="462" width="9.6328125" bestFit="1" customWidth="1"/>
    <col min="463" max="467" width="5.81640625" bestFit="1" customWidth="1"/>
    <col min="468" max="468" width="12.6328125" bestFit="1" customWidth="1"/>
    <col min="469" max="469" width="10.36328125" bestFit="1" customWidth="1"/>
    <col min="470" max="472" width="5.81640625" bestFit="1" customWidth="1"/>
    <col min="473" max="473" width="13.453125" bestFit="1" customWidth="1"/>
    <col min="474" max="474" width="6.54296875" bestFit="1" customWidth="1"/>
    <col min="475" max="484" width="5.81640625" bestFit="1" customWidth="1"/>
    <col min="485" max="485" width="9.36328125" bestFit="1" customWidth="1"/>
    <col min="486" max="486" width="21" bestFit="1" customWidth="1"/>
    <col min="487" max="499" width="5.81640625" bestFit="1" customWidth="1"/>
    <col min="500" max="500" width="24.08984375" bestFit="1" customWidth="1"/>
    <col min="501" max="501" width="10.1796875" bestFit="1" customWidth="1"/>
  </cols>
  <sheetData>
    <row r="2" spans="1:35" x14ac:dyDescent="0.35">
      <c r="M2">
        <v>100</v>
      </c>
      <c r="S2" s="57" t="s">
        <v>3</v>
      </c>
      <c r="T2" t="s">
        <v>34</v>
      </c>
      <c r="V2" s="57" t="s">
        <v>3</v>
      </c>
      <c r="W2" t="s">
        <v>34</v>
      </c>
      <c r="Y2" s="57" t="s">
        <v>3</v>
      </c>
      <c r="Z2" t="s">
        <v>25</v>
      </c>
      <c r="AB2" s="57" t="s">
        <v>3</v>
      </c>
      <c r="AC2" t="s">
        <v>25</v>
      </c>
      <c r="AE2" s="57" t="s">
        <v>3</v>
      </c>
      <c r="AF2" t="s">
        <v>771</v>
      </c>
      <c r="AH2" s="57" t="s">
        <v>3</v>
      </c>
      <c r="AI2" t="s">
        <v>771</v>
      </c>
    </row>
    <row r="3" spans="1:35" x14ac:dyDescent="0.35">
      <c r="S3" s="57" t="s">
        <v>794</v>
      </c>
      <c r="T3" t="s">
        <v>795</v>
      </c>
      <c r="V3" s="57" t="s">
        <v>794</v>
      </c>
      <c r="W3" t="s">
        <v>796</v>
      </c>
      <c r="Y3" s="57" t="s">
        <v>794</v>
      </c>
      <c r="Z3" t="s">
        <v>795</v>
      </c>
      <c r="AB3" s="57" t="s">
        <v>794</v>
      </c>
      <c r="AC3" t="s">
        <v>796</v>
      </c>
      <c r="AE3" s="57" t="s">
        <v>794</v>
      </c>
      <c r="AF3" t="s">
        <v>795</v>
      </c>
      <c r="AH3" s="57" t="s">
        <v>794</v>
      </c>
      <c r="AI3" t="s">
        <v>796</v>
      </c>
    </row>
    <row r="5" spans="1:35" x14ac:dyDescent="0.35">
      <c r="J5" s="62"/>
      <c r="K5" s="123" t="s">
        <v>25</v>
      </c>
      <c r="L5" s="128"/>
      <c r="M5" s="123" t="s">
        <v>34</v>
      </c>
      <c r="N5" s="128"/>
      <c r="O5" s="124" t="s">
        <v>775</v>
      </c>
      <c r="P5" s="124"/>
      <c r="S5" s="57" t="s">
        <v>769</v>
      </c>
      <c r="V5" s="57" t="s">
        <v>769</v>
      </c>
      <c r="Y5" s="57" t="s">
        <v>769</v>
      </c>
      <c r="AB5" s="57" t="s">
        <v>769</v>
      </c>
      <c r="AE5" s="57" t="s">
        <v>769</v>
      </c>
      <c r="AH5" s="57" t="s">
        <v>769</v>
      </c>
    </row>
    <row r="6" spans="1:35" ht="29" x14ac:dyDescent="0.35">
      <c r="K6" s="71" t="s">
        <v>797</v>
      </c>
      <c r="L6" s="72" t="s">
        <v>798</v>
      </c>
      <c r="M6" s="71" t="s">
        <v>797</v>
      </c>
      <c r="N6" s="72" t="s">
        <v>798</v>
      </c>
      <c r="O6" s="66" t="s">
        <v>797</v>
      </c>
      <c r="P6" s="66" t="s">
        <v>798</v>
      </c>
      <c r="S6" s="58">
        <v>4.1188055372809451E-4</v>
      </c>
      <c r="V6" s="58">
        <v>-2.8946580467299476E-3</v>
      </c>
      <c r="Y6" s="58">
        <v>-2.0816001846274228E-2</v>
      </c>
      <c r="AB6" s="58">
        <v>6.2943663344020183E-3</v>
      </c>
      <c r="AE6" s="58">
        <v>-2.0816001846274228E-2</v>
      </c>
      <c r="AH6" s="58">
        <v>-2.8946580467299476E-3</v>
      </c>
    </row>
    <row r="7" spans="1:35" x14ac:dyDescent="0.35">
      <c r="J7" s="79" t="s">
        <v>773</v>
      </c>
      <c r="K7" s="63">
        <f>(AVERAGE($Y$6:$Y$211))*100</f>
        <v>1.6132044320162642</v>
      </c>
      <c r="L7" s="80">
        <f>(AVERAGE($AB$6:$AB$32))*100</f>
        <v>2.73429496306085</v>
      </c>
      <c r="M7" s="63">
        <f>(AVERAGE($S$6:$S$22))*100</f>
        <v>2.2488057843469766</v>
      </c>
      <c r="N7" s="80">
        <f>(AVERAGE($V$6:$V$147))*100</f>
        <v>2.83628313250771</v>
      </c>
      <c r="O7" s="81">
        <f>(AVERAGE($AE$6:$AE$283))*100</f>
        <v>1.6616583467679333</v>
      </c>
      <c r="P7" s="81">
        <f>(AVERAGE($AH$6:$AH$121))*100</f>
        <v>1.9417047202068876</v>
      </c>
      <c r="S7" s="58">
        <v>3.0723252824105263E-3</v>
      </c>
      <c r="V7" s="58">
        <v>-4.1753560869517425E-4</v>
      </c>
      <c r="Y7" s="58">
        <v>-4.1516193542532331E-3</v>
      </c>
      <c r="AB7" s="58">
        <v>1.0180001104728262E-2</v>
      </c>
      <c r="AE7" s="58">
        <v>-4.1516193542532331E-3</v>
      </c>
      <c r="AH7" s="58">
        <v>-4.1753560869517425E-4</v>
      </c>
    </row>
    <row r="8" spans="1:35" x14ac:dyDescent="0.35">
      <c r="A8" s="57" t="s">
        <v>3</v>
      </c>
      <c r="B8" t="s">
        <v>34</v>
      </c>
      <c r="E8" s="57" t="s">
        <v>3</v>
      </c>
      <c r="F8" t="s">
        <v>25</v>
      </c>
      <c r="J8" t="s">
        <v>772</v>
      </c>
      <c r="K8" s="64">
        <f>(MEDIAN($Y$6:$Y$211))*100</f>
        <v>1.3865097334151983</v>
      </c>
      <c r="L8" s="74">
        <f>(MEDIAN($AB$6:$AB$32))*100</f>
        <v>2.6847053391805136</v>
      </c>
      <c r="M8" s="64">
        <f>(MEDIAN($S$6:$S$22))*100</f>
        <v>2.033447348682027</v>
      </c>
      <c r="N8" s="74">
        <f>(MEDIAN($V$6:$V$147))*100</f>
        <v>2.6232034164459295</v>
      </c>
      <c r="O8" s="68">
        <f>(MEDIAN($AE$6:$AE$283))*100</f>
        <v>1.41124262469337</v>
      </c>
      <c r="P8" s="68">
        <f>(MEDIAN($AH$6:$AH$121))*100</f>
        <v>1.8846032787070421</v>
      </c>
      <c r="S8" s="58">
        <v>9.7562734682465901E-3</v>
      </c>
      <c r="V8" s="58">
        <v>-3.8286906505957674E-4</v>
      </c>
      <c r="Y8" s="58">
        <v>-3.5346357219493418E-3</v>
      </c>
      <c r="AB8" s="58">
        <v>1.0989691938876599E-2</v>
      </c>
      <c r="AE8" s="58">
        <v>-3.5346357219493418E-3</v>
      </c>
      <c r="AH8" s="58">
        <v>-3.8286906505957674E-4</v>
      </c>
    </row>
    <row r="9" spans="1:35" x14ac:dyDescent="0.35">
      <c r="J9" t="s">
        <v>778</v>
      </c>
      <c r="K9" s="64">
        <f>(MAX($Y$6:$Y$211))*100</f>
        <v>5.1819030804687722</v>
      </c>
      <c r="L9" s="74">
        <f>(MAX($AB$6:$AB$32))*100</f>
        <v>5.4</v>
      </c>
      <c r="M9" s="64">
        <f>(MAX($S$6:$S$22))*100</f>
        <v>6.3056578334491187</v>
      </c>
      <c r="N9" s="74">
        <f>(MAX($V$6:$V$147))*100</f>
        <v>8.0867187505597968</v>
      </c>
      <c r="O9" s="68">
        <f>(MAX($AE$6:$AE$283))*100</f>
        <v>6.3056578334491187</v>
      </c>
      <c r="P9" s="68">
        <f>(MAX($AH$6:$AH$121))*100</f>
        <v>3.4909510387220566</v>
      </c>
      <c r="S9" s="58">
        <v>1.1553595392548743E-2</v>
      </c>
      <c r="V9" s="58">
        <v>1.0791639435281386E-3</v>
      </c>
      <c r="Y9" s="58">
        <v>-1.2812260942345834E-3</v>
      </c>
      <c r="AB9" s="58">
        <v>1.1940699254376463E-2</v>
      </c>
      <c r="AE9" s="58">
        <v>-1.2812260942345834E-3</v>
      </c>
      <c r="AH9" s="58">
        <v>1.0791639435281386E-3</v>
      </c>
    </row>
    <row r="10" spans="1:35" x14ac:dyDescent="0.35">
      <c r="A10" s="57" t="s">
        <v>769</v>
      </c>
      <c r="B10" t="s">
        <v>800</v>
      </c>
      <c r="C10" t="s">
        <v>802</v>
      </c>
      <c r="E10" s="57" t="s">
        <v>769</v>
      </c>
      <c r="F10" t="s">
        <v>800</v>
      </c>
      <c r="G10" t="s">
        <v>802</v>
      </c>
      <c r="J10" t="s">
        <v>779</v>
      </c>
      <c r="K10" s="64">
        <f>(MIN($Y$6:$Y$211))*100</f>
        <v>-2.081600184627423</v>
      </c>
      <c r="L10" s="74">
        <f>(MIN($AB$6:$AB$32))*100</f>
        <v>0.62943663344020184</v>
      </c>
      <c r="M10" s="64">
        <f>(MIN($S$6:$S$22))*100</f>
        <v>4.1188055372809451E-2</v>
      </c>
      <c r="N10" s="74">
        <f>(MIN($V$6:$V$147))*100</f>
        <v>-0.28946580467299476</v>
      </c>
      <c r="O10" s="68">
        <f>(MIN($AE$6:$AE$283))*100</f>
        <v>-2.081600184627423</v>
      </c>
      <c r="P10" s="68">
        <f>(MIN($AH$6:$AH$121))*100</f>
        <v>-0.28946580467299476</v>
      </c>
      <c r="S10" s="58">
        <v>1.3480780535695791E-2</v>
      </c>
      <c r="V10" s="58">
        <v>1.4181478949022441E-3</v>
      </c>
      <c r="Y10" s="58">
        <v>-1.1025469042358349E-3</v>
      </c>
      <c r="AB10" s="58">
        <v>1.3205942263497262E-2</v>
      </c>
      <c r="AE10" s="58">
        <v>-1.1025469042358349E-3</v>
      </c>
      <c r="AH10" s="58">
        <v>1.4181478949022441E-3</v>
      </c>
    </row>
    <row r="11" spans="1:35" x14ac:dyDescent="0.35">
      <c r="A11" s="59" t="s">
        <v>29</v>
      </c>
      <c r="B11" s="8">
        <v>330.97788589999999</v>
      </c>
      <c r="C11" s="4">
        <v>17</v>
      </c>
      <c r="E11" s="59" t="s">
        <v>58</v>
      </c>
      <c r="F11" s="8">
        <v>39.5</v>
      </c>
      <c r="G11" s="4">
        <v>9</v>
      </c>
      <c r="J11" t="s">
        <v>780</v>
      </c>
      <c r="K11" s="75">
        <f>_xlfn.STDEV.S($Y$6:$Y$211)</f>
        <v>1.1225886484505237E-2</v>
      </c>
      <c r="L11" s="76">
        <f>_xlfn.STDEV.S($AB$6:$AB$32)</f>
        <v>1.2762897025696916E-2</v>
      </c>
      <c r="M11" s="75">
        <f>_xlfn.STDEV.S($S$6:$S$22)</f>
        <v>1.5248621235284756E-2</v>
      </c>
      <c r="N11" s="76">
        <f>_xlfn.STDEV.S($V$6:$V$147)</f>
        <v>1.752859178788594E-2</v>
      </c>
      <c r="O11" s="67">
        <f>_xlfn.STDEV.S($AE$6:$AE$283)</f>
        <v>1.1661316894738486E-2</v>
      </c>
      <c r="P11" s="67">
        <f>_xlfn.STDEV.S($AH$6:$AH$121)</f>
        <v>9.5321199089816802E-3</v>
      </c>
      <c r="S11" s="58">
        <v>1.4076687668435506E-2</v>
      </c>
      <c r="V11" s="58">
        <v>2.8543755705650042E-3</v>
      </c>
      <c r="Y11" s="58">
        <v>-1.1284162663882658E-4</v>
      </c>
      <c r="AB11" s="58">
        <v>1.7500000000000002E-2</v>
      </c>
      <c r="AE11" s="58">
        <v>-1.1284162663882658E-4</v>
      </c>
      <c r="AH11" s="58">
        <v>2.8543755705650042E-3</v>
      </c>
    </row>
    <row r="12" spans="1:35" x14ac:dyDescent="0.35">
      <c r="A12" s="59" t="s">
        <v>36</v>
      </c>
      <c r="B12" s="8">
        <v>4135.1439872459996</v>
      </c>
      <c r="C12" s="4">
        <v>138</v>
      </c>
      <c r="E12" s="59" t="s">
        <v>44</v>
      </c>
      <c r="F12" s="8">
        <v>1914.7091492730704</v>
      </c>
      <c r="G12" s="4">
        <v>322</v>
      </c>
      <c r="J12" t="s">
        <v>781</v>
      </c>
      <c r="K12" s="75">
        <f>SKEW($Y$6:$Y$211)</f>
        <v>0.69788030544538726</v>
      </c>
      <c r="L12" s="76">
        <f>SKEW($AB$6:$AB$32)</f>
        <v>0.46920631495956844</v>
      </c>
      <c r="M12" s="75">
        <f>SKEW($S$6:$S$22)</f>
        <v>1.1132275318097093</v>
      </c>
      <c r="N12" s="76">
        <f>SKEW($V$6:$V$147)</f>
        <v>0.78752989129058915</v>
      </c>
      <c r="O12" s="67">
        <f>SKEW($AE$6:$AE$283)</f>
        <v>0.82418974235130049</v>
      </c>
      <c r="P12" s="67">
        <f>SKEW($AH$6:$AH$121)</f>
        <v>-0.16165737660093454</v>
      </c>
      <c r="S12" s="58">
        <v>1.805013833392799E-2</v>
      </c>
      <c r="V12" s="58">
        <v>2.9739089651910078E-3</v>
      </c>
      <c r="Y12" s="58">
        <v>2.4544996723085966E-4</v>
      </c>
      <c r="AB12" s="58">
        <v>1.9E-2</v>
      </c>
      <c r="AE12" s="58">
        <v>2.4544996723085966E-4</v>
      </c>
      <c r="AH12" s="58">
        <v>2.9739089651910078E-3</v>
      </c>
    </row>
    <row r="13" spans="1:35" x14ac:dyDescent="0.35">
      <c r="A13" s="59" t="s">
        <v>94</v>
      </c>
      <c r="B13" s="8">
        <v>88.336459999999988</v>
      </c>
      <c r="C13" s="4">
        <v>5</v>
      </c>
      <c r="E13" s="59" t="s">
        <v>27</v>
      </c>
      <c r="F13" s="8">
        <v>115.51500000000001</v>
      </c>
      <c r="G13" s="4">
        <v>22</v>
      </c>
      <c r="J13" s="62" t="s">
        <v>782</v>
      </c>
      <c r="K13" s="77">
        <f>KURT($Y$6:$Y$211)</f>
        <v>0.88683159095055775</v>
      </c>
      <c r="L13" s="78">
        <f>KURT($AB$6:$AB$32)</f>
        <v>-0.3277427986395578</v>
      </c>
      <c r="M13" s="77">
        <f>KURT($S$6:$S$22)</f>
        <v>1.9710687522177488</v>
      </c>
      <c r="N13" s="78">
        <f>KURT($V$6:$V$147)</f>
        <v>0.54532913882619205</v>
      </c>
      <c r="O13" s="70">
        <f>KURT($AE$6:$AE$283)</f>
        <v>1.3429101706059106</v>
      </c>
      <c r="P13" s="70">
        <f>KURT($AH$6:$AH$121)</f>
        <v>-0.73609580653538975</v>
      </c>
      <c r="S13" s="58">
        <v>1.9452624262604967E-2</v>
      </c>
      <c r="V13" s="58">
        <v>3.165859118178016E-3</v>
      </c>
      <c r="Y13" s="58">
        <v>8.6028476264177201E-4</v>
      </c>
      <c r="AB13" s="58">
        <v>1.9763618005311328E-2</v>
      </c>
      <c r="AE13" s="58">
        <v>4.1188055372809451E-4</v>
      </c>
      <c r="AH13" s="58">
        <v>3.165859118178016E-3</v>
      </c>
    </row>
    <row r="14" spans="1:35" x14ac:dyDescent="0.35">
      <c r="A14" s="59" t="s">
        <v>768</v>
      </c>
      <c r="B14" s="8">
        <v>4554.4583331459999</v>
      </c>
      <c r="C14" s="4">
        <v>160</v>
      </c>
      <c r="E14" s="59" t="s">
        <v>768</v>
      </c>
      <c r="F14" s="8">
        <v>2069.72414927307</v>
      </c>
      <c r="G14" s="4">
        <v>353</v>
      </c>
      <c r="S14" s="58">
        <v>2.033447348682027E-2</v>
      </c>
      <c r="V14" s="58">
        <v>4.7333622949210508E-3</v>
      </c>
      <c r="Y14" s="58">
        <v>9.6104995909662705E-4</v>
      </c>
      <c r="AB14" s="58">
        <v>0.02</v>
      </c>
      <c r="AE14" s="58">
        <v>8.6028476264177201E-4</v>
      </c>
      <c r="AH14" s="58">
        <v>4.7333622949210508E-3</v>
      </c>
    </row>
    <row r="15" spans="1:35" x14ac:dyDescent="0.35">
      <c r="C15" s="4"/>
      <c r="S15" s="58">
        <v>2.11059573457959E-2</v>
      </c>
      <c r="V15" s="58">
        <v>6.35581542044239E-3</v>
      </c>
      <c r="Y15" s="58">
        <v>1.2331886793079949E-3</v>
      </c>
      <c r="AB15" s="58">
        <v>2.1000000000000001E-2</v>
      </c>
      <c r="AE15" s="58">
        <v>9.6104995909662705E-4</v>
      </c>
      <c r="AH15" s="58">
        <v>6.2943663344020183E-3</v>
      </c>
    </row>
    <row r="16" spans="1:35" x14ac:dyDescent="0.35">
      <c r="S16" s="58">
        <v>2.2628024356858401E-2</v>
      </c>
      <c r="V16" s="58">
        <v>6.4483573642899472E-3</v>
      </c>
      <c r="Y16" s="58">
        <v>1.5348639145729148E-3</v>
      </c>
      <c r="AB16" s="58">
        <v>2.2000000000000002E-2</v>
      </c>
      <c r="AE16" s="58">
        <v>1.2331886793079949E-3</v>
      </c>
      <c r="AH16" s="58">
        <v>6.35581542044239E-3</v>
      </c>
    </row>
    <row r="17" spans="1:34" x14ac:dyDescent="0.35">
      <c r="S17" s="58">
        <v>2.5937831332745409E-2</v>
      </c>
      <c r="V17" s="58">
        <v>6.5381578677621288E-3</v>
      </c>
      <c r="Y17" s="58">
        <v>1.8373437826946226E-3</v>
      </c>
      <c r="AB17" s="58">
        <v>2.3E-2</v>
      </c>
      <c r="AE17" s="58">
        <v>1.5348639145729148E-3</v>
      </c>
      <c r="AH17" s="58">
        <v>6.4483573642899472E-3</v>
      </c>
    </row>
    <row r="18" spans="1:34" x14ac:dyDescent="0.35">
      <c r="J18" s="62"/>
      <c r="K18" s="123" t="s">
        <v>25</v>
      </c>
      <c r="L18" s="128"/>
      <c r="M18" s="123" t="s">
        <v>34</v>
      </c>
      <c r="N18" s="128"/>
      <c r="O18" s="124" t="s">
        <v>775</v>
      </c>
      <c r="P18" s="124"/>
      <c r="S18" s="58">
        <v>2.7610563309885761E-2</v>
      </c>
      <c r="V18" s="58">
        <v>7.7868652583821252E-3</v>
      </c>
      <c r="Y18" s="58">
        <v>1.9761106845022744E-3</v>
      </c>
      <c r="AB18" s="58">
        <v>2.4E-2</v>
      </c>
      <c r="AE18" s="58">
        <v>1.8373437826946226E-3</v>
      </c>
      <c r="AH18" s="58">
        <v>6.5381578677621288E-3</v>
      </c>
    </row>
    <row r="19" spans="1:34" ht="43.5" x14ac:dyDescent="0.35">
      <c r="K19" s="71" t="s">
        <v>786</v>
      </c>
      <c r="L19" s="72" t="s">
        <v>799</v>
      </c>
      <c r="M19" s="71" t="s">
        <v>786</v>
      </c>
      <c r="N19" s="72" t="s">
        <v>799</v>
      </c>
      <c r="O19" s="71" t="s">
        <v>786</v>
      </c>
      <c r="P19" s="82" t="s">
        <v>799</v>
      </c>
      <c r="S19" s="58">
        <v>3.1559344107938925E-2</v>
      </c>
      <c r="V19" s="58">
        <v>7.9904938668893255E-3</v>
      </c>
      <c r="Y19" s="58">
        <v>2.1918542666863328E-3</v>
      </c>
      <c r="AB19" s="58">
        <v>2.6847053391805136E-2</v>
      </c>
      <c r="AE19" s="58">
        <v>1.9761106845022744E-3</v>
      </c>
      <c r="AH19" s="58">
        <v>7.7868652583821252E-3</v>
      </c>
    </row>
    <row r="20" spans="1:34" x14ac:dyDescent="0.35">
      <c r="A20" s="57" t="s">
        <v>3</v>
      </c>
      <c r="B20" t="s">
        <v>771</v>
      </c>
      <c r="J20" s="79" t="s">
        <v>801</v>
      </c>
      <c r="K20" s="83">
        <v>0</v>
      </c>
      <c r="L20" s="80">
        <v>0</v>
      </c>
      <c r="M20" s="83">
        <v>0</v>
      </c>
      <c r="N20" s="80">
        <v>0</v>
      </c>
      <c r="O20" s="86">
        <v>0</v>
      </c>
      <c r="P20" s="81">
        <v>0</v>
      </c>
      <c r="S20" s="58">
        <v>3.9972371689434905E-2</v>
      </c>
      <c r="V20" s="58">
        <v>8.3817677559336889E-3</v>
      </c>
      <c r="Y20" s="58">
        <v>2.4006291517652606E-3</v>
      </c>
      <c r="AB20" s="58">
        <v>2.7000000000000003E-2</v>
      </c>
      <c r="AE20" s="58">
        <v>2.1918542666863328E-3</v>
      </c>
      <c r="AH20" s="58">
        <v>7.9904938668893255E-3</v>
      </c>
    </row>
    <row r="21" spans="1:34" x14ac:dyDescent="0.35">
      <c r="J21" t="s">
        <v>44</v>
      </c>
      <c r="K21" s="84">
        <v>322</v>
      </c>
      <c r="L21" s="74">
        <f>+GETPIVOTDATA("Soma de Volume R$ (100 MM)",$E$10,"Garantia/Especie","Quirografária")/10</f>
        <v>191.47091492730704</v>
      </c>
      <c r="M21" s="84">
        <f>17+138</f>
        <v>155</v>
      </c>
      <c r="N21" s="74">
        <f>(+GETPIVOTDATA("Soma de Volume R$ (100 MM)",$A$10,"Garantia/Especie","-")+GETPIVOTDATA("Soma de Volume R$ (100 MM)",$A$10,"Garantia/Especie","COMPANY GUARNT"))/10</f>
        <v>446.61218731459996</v>
      </c>
      <c r="O21" s="14">
        <f>+M21+K21</f>
        <v>477</v>
      </c>
      <c r="P21" s="68">
        <f>+N21+L21</f>
        <v>638.083102241907</v>
      </c>
      <c r="S21" s="58">
        <v>4.023753387741702E-2</v>
      </c>
      <c r="V21" s="58">
        <v>8.5579889134503873E-3</v>
      </c>
      <c r="Y21" s="58">
        <v>3.0341799518824875E-3</v>
      </c>
      <c r="AB21" s="58">
        <v>2.8999999999999998E-2</v>
      </c>
      <c r="AE21" s="58">
        <v>2.4006291517652606E-3</v>
      </c>
      <c r="AH21" s="58">
        <v>8.3817677559336889E-3</v>
      </c>
    </row>
    <row r="22" spans="1:34" x14ac:dyDescent="0.35">
      <c r="A22" s="57" t="s">
        <v>769</v>
      </c>
      <c r="B22" t="s">
        <v>800</v>
      </c>
      <c r="C22" t="s">
        <v>802</v>
      </c>
      <c r="J22" t="s">
        <v>58</v>
      </c>
      <c r="K22" s="84">
        <v>9</v>
      </c>
      <c r="L22" s="74">
        <f>+GETPIVOTDATA("Soma de Volume R$ (100 MM)",$E$10,"Garantia/Especie","Flutuante")/10</f>
        <v>3.95</v>
      </c>
      <c r="M22" s="84">
        <v>0</v>
      </c>
      <c r="N22" s="74">
        <v>0</v>
      </c>
      <c r="O22" s="14">
        <f t="shared" ref="O22:P23" si="0">+M22+K22</f>
        <v>9</v>
      </c>
      <c r="P22" s="68">
        <f t="shared" si="0"/>
        <v>3.95</v>
      </c>
      <c r="S22" s="58">
        <v>6.3056578334491187E-2</v>
      </c>
      <c r="V22" s="58">
        <v>8.7451265491358399E-3</v>
      </c>
      <c r="Y22" s="58">
        <v>3.2883220489348108E-3</v>
      </c>
      <c r="AB22" s="58">
        <v>0.03</v>
      </c>
      <c r="AE22" s="58">
        <v>3.0341799518824875E-3</v>
      </c>
      <c r="AH22" s="58">
        <v>8.5579889134503873E-3</v>
      </c>
    </row>
    <row r="23" spans="1:34" x14ac:dyDescent="0.35">
      <c r="A23" s="59" t="s">
        <v>29</v>
      </c>
      <c r="B23" s="8">
        <v>330.97788590000005</v>
      </c>
      <c r="C23" s="4">
        <v>17</v>
      </c>
      <c r="J23" s="62" t="s">
        <v>27</v>
      </c>
      <c r="K23" s="85">
        <v>22</v>
      </c>
      <c r="L23" s="73">
        <f>+GETPIVOTDATA("Soma de Volume R$ (100 MM)",$E$10,"Garantia/Especie","Real")/10</f>
        <v>11.551500000000001</v>
      </c>
      <c r="M23" s="85">
        <v>5</v>
      </c>
      <c r="N23" s="73">
        <f>+(+GETPIVOTDATA("Soma de Volume R$ (100 MM)",$A$10,"Garantia/Especie","SR SECURED"))/10</f>
        <v>8.8336459999999981</v>
      </c>
      <c r="O23" s="87">
        <f t="shared" si="0"/>
        <v>27</v>
      </c>
      <c r="P23" s="69">
        <f t="shared" si="0"/>
        <v>20.385145999999999</v>
      </c>
      <c r="S23" s="58" t="s">
        <v>768</v>
      </c>
      <c r="V23" s="58">
        <v>9.0513681464847728E-3</v>
      </c>
      <c r="Y23" s="58">
        <v>3.5893393102754967E-3</v>
      </c>
      <c r="AB23" s="58">
        <v>3.2000000000000001E-2</v>
      </c>
      <c r="AE23" s="58">
        <v>3.0723252824105263E-3</v>
      </c>
      <c r="AH23" s="58">
        <v>8.7451265491358399E-3</v>
      </c>
    </row>
    <row r="24" spans="1:34" x14ac:dyDescent="0.35">
      <c r="A24" s="59" t="s">
        <v>36</v>
      </c>
      <c r="B24" s="8">
        <v>4135.1439872460005</v>
      </c>
      <c r="C24" s="4">
        <v>138</v>
      </c>
      <c r="V24" s="58">
        <v>9.4556217395396214E-3</v>
      </c>
      <c r="Y24" s="58">
        <v>4.0206608393469345E-3</v>
      </c>
      <c r="AB24" s="58">
        <v>3.3301888425993686E-2</v>
      </c>
      <c r="AE24" s="58">
        <v>3.2883220489348108E-3</v>
      </c>
      <c r="AH24" s="58">
        <v>9.0513681464847728E-3</v>
      </c>
    </row>
    <row r="25" spans="1:34" x14ac:dyDescent="0.35">
      <c r="A25" s="59" t="s">
        <v>58</v>
      </c>
      <c r="B25" s="8">
        <v>39.5</v>
      </c>
      <c r="C25" s="4">
        <v>9</v>
      </c>
      <c r="V25" s="58">
        <v>1.1766151987582685E-2</v>
      </c>
      <c r="Y25" s="58">
        <v>4.1325287443632064E-3</v>
      </c>
      <c r="AB25" s="58">
        <v>3.3341303280623673E-2</v>
      </c>
      <c r="AE25" s="58">
        <v>3.5893393102754967E-3</v>
      </c>
      <c r="AH25" s="58">
        <v>9.4556217395396214E-3</v>
      </c>
    </row>
    <row r="26" spans="1:34" x14ac:dyDescent="0.35">
      <c r="A26" s="59" t="s">
        <v>44</v>
      </c>
      <c r="B26" s="8">
        <v>1914.7091492730701</v>
      </c>
      <c r="C26" s="4">
        <v>322</v>
      </c>
      <c r="V26" s="58">
        <v>1.2190923266410802E-2</v>
      </c>
      <c r="Y26" s="58">
        <v>4.1822530079089759E-3</v>
      </c>
      <c r="AB26" s="58">
        <v>3.5000000000000003E-2</v>
      </c>
      <c r="AE26" s="58">
        <v>4.0206608393469345E-3</v>
      </c>
      <c r="AH26" s="58">
        <v>1.0180001104728262E-2</v>
      </c>
    </row>
    <row r="27" spans="1:34" x14ac:dyDescent="0.35">
      <c r="A27" s="59" t="s">
        <v>27</v>
      </c>
      <c r="B27" s="8">
        <v>115.515</v>
      </c>
      <c r="C27" s="4">
        <v>22</v>
      </c>
      <c r="V27" s="58">
        <v>1.2194609831299053E-2</v>
      </c>
      <c r="Y27" s="58">
        <v>4.3576180954415858E-3</v>
      </c>
      <c r="AB27" s="58">
        <v>3.5820001863068891E-2</v>
      </c>
      <c r="AE27" s="58">
        <v>4.1325287443632064E-3</v>
      </c>
      <c r="AH27" s="58">
        <v>1.0989691938876599E-2</v>
      </c>
    </row>
    <row r="28" spans="1:34" x14ac:dyDescent="0.35">
      <c r="A28" s="59" t="s">
        <v>94</v>
      </c>
      <c r="B28" s="8">
        <v>88.336459999999988</v>
      </c>
      <c r="C28" s="4">
        <v>5</v>
      </c>
      <c r="V28" s="58">
        <v>1.2443403559372346E-2</v>
      </c>
      <c r="Y28" s="58">
        <v>4.5399999999999998E-3</v>
      </c>
      <c r="AB28" s="58">
        <v>3.752599291835601E-2</v>
      </c>
      <c r="AE28" s="58">
        <v>4.1822530079089759E-3</v>
      </c>
      <c r="AH28" s="58">
        <v>1.1766151987582685E-2</v>
      </c>
    </row>
    <row r="29" spans="1:34" x14ac:dyDescent="0.35">
      <c r="A29" s="59" t="s">
        <v>768</v>
      </c>
      <c r="B29" s="8">
        <v>6624.1824824190744</v>
      </c>
      <c r="C29" s="4">
        <v>513</v>
      </c>
      <c r="V29" s="58">
        <v>1.2449799526929706E-2</v>
      </c>
      <c r="Y29" s="58">
        <v>4.5577590836291355E-3</v>
      </c>
      <c r="AB29" s="58">
        <v>4.6189209405952517E-2</v>
      </c>
      <c r="AE29" s="58">
        <v>4.3576180954415858E-3</v>
      </c>
      <c r="AH29" s="58">
        <v>1.1940699254376463E-2</v>
      </c>
    </row>
    <row r="30" spans="1:34" x14ac:dyDescent="0.35">
      <c r="V30" s="58">
        <v>1.2773335320889867E-2</v>
      </c>
      <c r="Y30" s="58">
        <v>4.8186262296113719E-3</v>
      </c>
      <c r="AB30" s="58">
        <v>4.6923739593280958E-2</v>
      </c>
      <c r="AE30" s="58">
        <v>4.5399999999999998E-3</v>
      </c>
      <c r="AH30" s="58">
        <v>1.2190923266410802E-2</v>
      </c>
    </row>
    <row r="31" spans="1:34" x14ac:dyDescent="0.35">
      <c r="V31" s="58">
        <v>1.3286814777627276E-2</v>
      </c>
      <c r="Y31" s="58">
        <v>5.2837497010265371E-3</v>
      </c>
      <c r="AB31" s="58">
        <v>5.243613224615664E-2</v>
      </c>
      <c r="AE31" s="58">
        <v>4.5577590836291355E-3</v>
      </c>
      <c r="AH31" s="58">
        <v>1.2194609831299053E-2</v>
      </c>
    </row>
    <row r="32" spans="1:34" x14ac:dyDescent="0.35">
      <c r="V32" s="58">
        <v>1.3518927037481143E-2</v>
      </c>
      <c r="Y32" s="58">
        <v>5.5261974590611537E-3</v>
      </c>
      <c r="AB32" s="58">
        <v>5.4000000000000006E-2</v>
      </c>
      <c r="AE32" s="58">
        <v>4.8186262296113719E-3</v>
      </c>
      <c r="AH32" s="58">
        <v>1.2443403559372346E-2</v>
      </c>
    </row>
    <row r="33" spans="22:34" x14ac:dyDescent="0.35">
      <c r="V33" s="58">
        <v>1.3810003622565459E-2</v>
      </c>
      <c r="Y33" s="58">
        <v>5.7480659251790966E-3</v>
      </c>
      <c r="AB33" s="58" t="s">
        <v>768</v>
      </c>
      <c r="AE33" s="58">
        <v>5.2837497010265371E-3</v>
      </c>
      <c r="AH33" s="58">
        <v>1.2449799526929706E-2</v>
      </c>
    </row>
    <row r="34" spans="22:34" x14ac:dyDescent="0.35">
      <c r="V34" s="58">
        <v>1.3981539578857394E-2</v>
      </c>
      <c r="Y34" s="58">
        <v>5.908266142141877E-3</v>
      </c>
      <c r="AE34" s="58">
        <v>5.5261974590611537E-3</v>
      </c>
      <c r="AH34" s="58">
        <v>1.2773335320889867E-2</v>
      </c>
    </row>
    <row r="35" spans="22:34" x14ac:dyDescent="0.35">
      <c r="V35" s="58">
        <v>1.4076687668435506E-2</v>
      </c>
      <c r="Y35" s="58">
        <v>6.2185755510817398E-3</v>
      </c>
      <c r="AE35" s="58">
        <v>5.7480659251790966E-3</v>
      </c>
      <c r="AH35" s="58">
        <v>1.3205942263497262E-2</v>
      </c>
    </row>
    <row r="36" spans="22:34" x14ac:dyDescent="0.35">
      <c r="V36" s="58">
        <v>1.4190824862453599E-2</v>
      </c>
      <c r="Y36" s="58">
        <v>6.433802739494357E-3</v>
      </c>
      <c r="AE36" s="58">
        <v>5.908266142141877E-3</v>
      </c>
      <c r="AH36" s="58">
        <v>1.3286814777627276E-2</v>
      </c>
    </row>
    <row r="37" spans="22:34" x14ac:dyDescent="0.35">
      <c r="V37" s="58">
        <v>1.4423597626045614E-2</v>
      </c>
      <c r="Y37" s="58">
        <v>6.6759137794922272E-3</v>
      </c>
      <c r="AE37" s="58">
        <v>6.2185755510817398E-3</v>
      </c>
      <c r="AH37" s="58">
        <v>1.3518927037481143E-2</v>
      </c>
    </row>
    <row r="38" spans="22:34" x14ac:dyDescent="0.35">
      <c r="V38" s="58">
        <v>1.4865820908918748E-2</v>
      </c>
      <c r="Y38" s="58">
        <v>6.8613025290367169E-3</v>
      </c>
      <c r="AE38" s="58">
        <v>6.433802739494357E-3</v>
      </c>
      <c r="AH38" s="58">
        <v>1.3810003622565459E-2</v>
      </c>
    </row>
    <row r="39" spans="22:34" x14ac:dyDescent="0.35">
      <c r="V39" s="58">
        <v>1.5244251038439627E-2</v>
      </c>
      <c r="Y39" s="58">
        <v>6.8807341954011392E-3</v>
      </c>
      <c r="AE39" s="58">
        <v>6.6759137794922272E-3</v>
      </c>
      <c r="AH39" s="58">
        <v>1.3981539578857394E-2</v>
      </c>
    </row>
    <row r="40" spans="22:34" x14ac:dyDescent="0.35">
      <c r="V40" s="58">
        <v>1.5655636247780658E-2</v>
      </c>
      <c r="Y40" s="58">
        <v>6.8999999999999999E-3</v>
      </c>
      <c r="AE40" s="58">
        <v>6.8613025290367169E-3</v>
      </c>
      <c r="AH40" s="58">
        <v>1.4076687668435506E-2</v>
      </c>
    </row>
    <row r="41" spans="22:34" x14ac:dyDescent="0.35">
      <c r="V41" s="58">
        <v>1.5981106764594299E-2</v>
      </c>
      <c r="Y41" s="58">
        <v>6.9999999999999993E-3</v>
      </c>
      <c r="AE41" s="58">
        <v>6.8807341954011392E-3</v>
      </c>
      <c r="AH41" s="58">
        <v>1.4190824862453599E-2</v>
      </c>
    </row>
    <row r="42" spans="22:34" x14ac:dyDescent="0.35">
      <c r="V42" s="58">
        <v>1.6201249241704074E-2</v>
      </c>
      <c r="Y42" s="58">
        <v>7.2281627997561326E-3</v>
      </c>
      <c r="AE42" s="58">
        <v>6.8999999999999999E-3</v>
      </c>
      <c r="AH42" s="58">
        <v>1.4423597626045614E-2</v>
      </c>
    </row>
    <row r="43" spans="22:34" x14ac:dyDescent="0.35">
      <c r="V43" s="58">
        <v>1.6306716609078009E-2</v>
      </c>
      <c r="Y43" s="58">
        <v>7.4150203878619323E-3</v>
      </c>
      <c r="AE43" s="58">
        <v>6.9999999999999993E-3</v>
      </c>
      <c r="AH43" s="58">
        <v>1.4865820908918748E-2</v>
      </c>
    </row>
    <row r="44" spans="22:34" x14ac:dyDescent="0.35">
      <c r="V44" s="58">
        <v>1.6374834684147466E-2</v>
      </c>
      <c r="Y44" s="58">
        <v>7.4582735496095606E-3</v>
      </c>
      <c r="AE44" s="58">
        <v>7.2281627997561326E-3</v>
      </c>
      <c r="AH44" s="58">
        <v>1.5244251038439627E-2</v>
      </c>
    </row>
    <row r="45" spans="22:34" x14ac:dyDescent="0.35">
      <c r="V45" s="58">
        <v>1.6377653273914383E-2</v>
      </c>
      <c r="Y45" s="58">
        <v>7.4999999999999997E-3</v>
      </c>
      <c r="AE45" s="58">
        <v>7.4150203878619323E-3</v>
      </c>
      <c r="AH45" s="58">
        <v>1.5655636247780658E-2</v>
      </c>
    </row>
    <row r="46" spans="22:34" x14ac:dyDescent="0.35">
      <c r="V46" s="58">
        <v>1.6699915905651563E-2</v>
      </c>
      <c r="Y46" s="58">
        <v>7.5067311753969079E-3</v>
      </c>
      <c r="AE46" s="58">
        <v>7.4582735496095606E-3</v>
      </c>
      <c r="AH46" s="58">
        <v>1.5981106764594299E-2</v>
      </c>
    </row>
    <row r="47" spans="22:34" x14ac:dyDescent="0.35">
      <c r="V47" s="58">
        <v>1.7126975598439342E-2</v>
      </c>
      <c r="Y47" s="58">
        <v>7.5205878770552292E-3</v>
      </c>
      <c r="AE47" s="58">
        <v>7.4999999999999997E-3</v>
      </c>
      <c r="AH47" s="58">
        <v>1.6201249241704074E-2</v>
      </c>
    </row>
    <row r="48" spans="22:34" x14ac:dyDescent="0.35">
      <c r="V48" s="58">
        <v>1.7567539926467424E-2</v>
      </c>
      <c r="Y48" s="58">
        <v>7.5441064164305741E-3</v>
      </c>
      <c r="AE48" s="58">
        <v>7.5067311753969079E-3</v>
      </c>
      <c r="AH48" s="58">
        <v>1.6306716609078009E-2</v>
      </c>
    </row>
    <row r="49" spans="22:34" x14ac:dyDescent="0.35">
      <c r="V49" s="58">
        <v>1.7587056110925259E-2</v>
      </c>
      <c r="Y49" s="58">
        <v>7.6999024418418216E-3</v>
      </c>
      <c r="AE49" s="58">
        <v>7.5205878770552292E-3</v>
      </c>
      <c r="AH49" s="58">
        <v>1.6374834684147466E-2</v>
      </c>
    </row>
    <row r="50" spans="22:34" x14ac:dyDescent="0.35">
      <c r="V50" s="58">
        <v>1.7976200985041269E-2</v>
      </c>
      <c r="Y50" s="58">
        <v>7.9000000000000008E-3</v>
      </c>
      <c r="AE50" s="58">
        <v>7.5441064164305741E-3</v>
      </c>
      <c r="AH50" s="58">
        <v>1.6377653273914383E-2</v>
      </c>
    </row>
    <row r="51" spans="22:34" x14ac:dyDescent="0.35">
      <c r="V51" s="58">
        <v>1.8023954684549093E-2</v>
      </c>
      <c r="Y51" s="58">
        <v>8.0000000000000002E-3</v>
      </c>
      <c r="AE51" s="58">
        <v>7.6999024418418216E-3</v>
      </c>
      <c r="AH51" s="58">
        <v>1.6699915905651563E-2</v>
      </c>
    </row>
    <row r="52" spans="22:34" x14ac:dyDescent="0.35">
      <c r="V52" s="58">
        <v>1.803324538990414E-2</v>
      </c>
      <c r="Y52" s="58">
        <v>8.1521380967564117E-3</v>
      </c>
      <c r="AE52" s="58">
        <v>7.9000000000000008E-3</v>
      </c>
      <c r="AH52" s="58">
        <v>1.7126975598439342E-2</v>
      </c>
    </row>
    <row r="53" spans="22:34" x14ac:dyDescent="0.35">
      <c r="V53" s="58">
        <v>1.8243284135623039E-2</v>
      </c>
      <c r="Y53" s="58">
        <v>8.4341361251929481E-3</v>
      </c>
      <c r="AE53" s="58">
        <v>8.0000000000000002E-3</v>
      </c>
      <c r="AH53" s="58">
        <v>1.7500000000000002E-2</v>
      </c>
    </row>
    <row r="54" spans="22:34" x14ac:dyDescent="0.35">
      <c r="V54" s="58">
        <v>1.8277996246921946E-2</v>
      </c>
      <c r="Y54" s="58">
        <v>8.4788981808620427E-3</v>
      </c>
      <c r="AE54" s="58">
        <v>8.1521380967564117E-3</v>
      </c>
      <c r="AH54" s="58">
        <v>1.7567539926467424E-2</v>
      </c>
    </row>
    <row r="55" spans="22:34" x14ac:dyDescent="0.35">
      <c r="V55" s="58">
        <v>1.8286108583573712E-2</v>
      </c>
      <c r="Y55" s="58">
        <v>8.5000000000000006E-3</v>
      </c>
      <c r="AE55" s="58">
        <v>8.4341361251929481E-3</v>
      </c>
      <c r="AH55" s="58">
        <v>1.7587056110925259E-2</v>
      </c>
    </row>
    <row r="56" spans="22:34" x14ac:dyDescent="0.35">
      <c r="V56" s="58">
        <v>1.8362899748158856E-2</v>
      </c>
      <c r="Y56" s="58">
        <v>8.52775741801645E-3</v>
      </c>
      <c r="AE56" s="58">
        <v>8.4788981808620427E-3</v>
      </c>
      <c r="AH56" s="58">
        <v>1.7976200985041269E-2</v>
      </c>
    </row>
    <row r="57" spans="22:34" x14ac:dyDescent="0.35">
      <c r="V57" s="58">
        <v>1.8719447467970385E-2</v>
      </c>
      <c r="Y57" s="58">
        <v>8.7377622129751632E-3</v>
      </c>
      <c r="AE57" s="58">
        <v>8.5000000000000006E-3</v>
      </c>
      <c r="AH57" s="58">
        <v>1.8023954684549093E-2</v>
      </c>
    </row>
    <row r="58" spans="22:34" x14ac:dyDescent="0.35">
      <c r="V58" s="58">
        <v>1.8972618106170458E-2</v>
      </c>
      <c r="Y58" s="58">
        <v>8.79967786004659E-3</v>
      </c>
      <c r="AE58" s="58">
        <v>8.52775741801645E-3</v>
      </c>
      <c r="AH58" s="58">
        <v>1.803324538990414E-2</v>
      </c>
    </row>
    <row r="59" spans="22:34" x14ac:dyDescent="0.35">
      <c r="V59" s="58">
        <v>1.9129053004034224E-2</v>
      </c>
      <c r="Y59" s="58">
        <v>8.8213961141190914E-3</v>
      </c>
      <c r="AE59" s="58">
        <v>8.7377622129751632E-3</v>
      </c>
      <c r="AH59" s="58">
        <v>1.8243284135623039E-2</v>
      </c>
    </row>
    <row r="60" spans="22:34" x14ac:dyDescent="0.35">
      <c r="V60" s="58">
        <v>1.958697356956085E-2</v>
      </c>
      <c r="Y60" s="58">
        <v>8.8398325053484772E-3</v>
      </c>
      <c r="AE60" s="58">
        <v>8.79967786004659E-3</v>
      </c>
      <c r="AH60" s="58">
        <v>1.8277996246921946E-2</v>
      </c>
    </row>
    <row r="61" spans="22:34" x14ac:dyDescent="0.35">
      <c r="V61" s="58">
        <v>2.0409370729472132E-2</v>
      </c>
      <c r="Y61" s="58">
        <v>8.8999999999999999E-3</v>
      </c>
      <c r="AE61" s="58">
        <v>8.8213961141190914E-3</v>
      </c>
      <c r="AH61" s="58">
        <v>1.8286108583573712E-2</v>
      </c>
    </row>
    <row r="62" spans="22:34" x14ac:dyDescent="0.35">
      <c r="V62" s="58">
        <v>2.0530424709657602E-2</v>
      </c>
      <c r="Y62" s="58">
        <v>9.0000000000000011E-3</v>
      </c>
      <c r="AE62" s="58">
        <v>8.8398325053484772E-3</v>
      </c>
      <c r="AH62" s="58">
        <v>1.8362899748158856E-2</v>
      </c>
    </row>
    <row r="63" spans="22:34" x14ac:dyDescent="0.35">
      <c r="V63" s="58">
        <v>2.0824236100700722E-2</v>
      </c>
      <c r="Y63" s="58">
        <v>9.0285496807668147E-3</v>
      </c>
      <c r="AE63" s="58">
        <v>8.8999999999999999E-3</v>
      </c>
      <c r="AH63" s="58">
        <v>1.8719447467970385E-2</v>
      </c>
    </row>
    <row r="64" spans="22:34" x14ac:dyDescent="0.35">
      <c r="V64" s="58">
        <v>2.1179202871856706E-2</v>
      </c>
      <c r="Y64" s="58">
        <v>9.2460075600163446E-3</v>
      </c>
      <c r="AE64" s="58">
        <v>9.0000000000000011E-3</v>
      </c>
      <c r="AH64" s="58">
        <v>1.8972618106170458E-2</v>
      </c>
    </row>
    <row r="65" spans="22:34" x14ac:dyDescent="0.35">
      <c r="V65" s="58">
        <v>2.143565323755614E-2</v>
      </c>
      <c r="Y65" s="58">
        <v>9.3999999999999986E-3</v>
      </c>
      <c r="AE65" s="58">
        <v>9.0285496807668147E-3</v>
      </c>
      <c r="AH65" s="58">
        <v>1.9E-2</v>
      </c>
    </row>
    <row r="66" spans="22:34" x14ac:dyDescent="0.35">
      <c r="V66" s="58">
        <v>2.1628928786174617E-2</v>
      </c>
      <c r="Y66" s="58">
        <v>9.4818592281103488E-3</v>
      </c>
      <c r="AE66" s="58">
        <v>9.2460075600163446E-3</v>
      </c>
      <c r="AH66" s="58">
        <v>1.9129053004034224E-2</v>
      </c>
    </row>
    <row r="67" spans="22:34" x14ac:dyDescent="0.35">
      <c r="V67" s="58">
        <v>2.1758156496881842E-2</v>
      </c>
      <c r="Y67" s="58">
        <v>9.4999999999999998E-3</v>
      </c>
      <c r="AE67" s="58">
        <v>9.3999999999999986E-3</v>
      </c>
      <c r="AH67" s="58">
        <v>1.958697356956085E-2</v>
      </c>
    </row>
    <row r="68" spans="22:34" x14ac:dyDescent="0.35">
      <c r="V68" s="58">
        <v>2.2161454320951623E-2</v>
      </c>
      <c r="Y68" s="58">
        <v>9.5028440230666006E-3</v>
      </c>
      <c r="AE68" s="58">
        <v>9.4818592281103488E-3</v>
      </c>
      <c r="AH68" s="58">
        <v>1.9763618005311328E-2</v>
      </c>
    </row>
    <row r="69" spans="22:34" x14ac:dyDescent="0.35">
      <c r="V69" s="58">
        <v>2.3432653155916805E-2</v>
      </c>
      <c r="Y69" s="58">
        <v>9.5540485226726091E-3</v>
      </c>
      <c r="AE69" s="58">
        <v>9.4999999999999998E-3</v>
      </c>
      <c r="AH69" s="58">
        <v>0.02</v>
      </c>
    </row>
    <row r="70" spans="22:34" x14ac:dyDescent="0.35">
      <c r="V70" s="58">
        <v>2.3698309243131543E-2</v>
      </c>
      <c r="Y70" s="58">
        <v>9.7810905659582829E-3</v>
      </c>
      <c r="AE70" s="58">
        <v>9.5028440230666006E-3</v>
      </c>
      <c r="AH70" s="58">
        <v>2.0409370729472132E-2</v>
      </c>
    </row>
    <row r="71" spans="22:34" x14ac:dyDescent="0.35">
      <c r="V71" s="58">
        <v>2.3777894020265089E-2</v>
      </c>
      <c r="Y71" s="58">
        <v>9.840006657273942E-3</v>
      </c>
      <c r="AE71" s="58">
        <v>9.5540485226726091E-3</v>
      </c>
      <c r="AH71" s="58">
        <v>2.0530424709657602E-2</v>
      </c>
    </row>
    <row r="72" spans="22:34" x14ac:dyDescent="0.35">
      <c r="V72" s="58">
        <v>2.3966635794522739E-2</v>
      </c>
      <c r="Y72" s="58">
        <v>9.9579739307182093E-3</v>
      </c>
      <c r="AE72" s="58">
        <v>9.7562734682465901E-3</v>
      </c>
      <c r="AH72" s="58">
        <v>2.0824236100700722E-2</v>
      </c>
    </row>
    <row r="73" spans="22:34" x14ac:dyDescent="0.35">
      <c r="V73" s="58">
        <v>2.424881051711214E-2</v>
      </c>
      <c r="Y73" s="58">
        <v>9.9580365641116497E-3</v>
      </c>
      <c r="AE73" s="58">
        <v>9.7810905659582829E-3</v>
      </c>
      <c r="AH73" s="58">
        <v>2.1000000000000001E-2</v>
      </c>
    </row>
    <row r="74" spans="22:34" x14ac:dyDescent="0.35">
      <c r="V74" s="58">
        <v>2.5288359312976905E-2</v>
      </c>
      <c r="Y74" s="58">
        <v>0.01</v>
      </c>
      <c r="AE74" s="58">
        <v>9.840006657273942E-3</v>
      </c>
      <c r="AH74" s="58">
        <v>2.1179202871856706E-2</v>
      </c>
    </row>
    <row r="75" spans="22:34" x14ac:dyDescent="0.35">
      <c r="V75" s="58">
        <v>2.5517885094564541E-2</v>
      </c>
      <c r="Y75" s="58">
        <v>1.0154394942621438E-2</v>
      </c>
      <c r="AE75" s="58">
        <v>9.9579739307182093E-3</v>
      </c>
      <c r="AH75" s="58">
        <v>2.143565323755614E-2</v>
      </c>
    </row>
    <row r="76" spans="22:34" x14ac:dyDescent="0.35">
      <c r="V76" s="58">
        <v>2.6064604795942081E-2</v>
      </c>
      <c r="Y76" s="58">
        <v>1.0185622550690443E-2</v>
      </c>
      <c r="AE76" s="58">
        <v>9.9580365641116497E-3</v>
      </c>
      <c r="AH76" s="58">
        <v>2.1628928786174617E-2</v>
      </c>
    </row>
    <row r="77" spans="22:34" x14ac:dyDescent="0.35">
      <c r="V77" s="58">
        <v>2.6399463532976508E-2</v>
      </c>
      <c r="Y77" s="58">
        <v>1.0200000000000001E-2</v>
      </c>
      <c r="AE77" s="58">
        <v>0.01</v>
      </c>
      <c r="AH77" s="58">
        <v>2.1758156496881842E-2</v>
      </c>
    </row>
    <row r="78" spans="22:34" x14ac:dyDescent="0.35">
      <c r="V78" s="58">
        <v>2.7650555444061808E-2</v>
      </c>
      <c r="Y78" s="58">
        <v>1.03E-2</v>
      </c>
      <c r="AE78" s="58">
        <v>1.0154394942621438E-2</v>
      </c>
      <c r="AH78" s="58">
        <v>2.2000000000000002E-2</v>
      </c>
    </row>
    <row r="79" spans="22:34" x14ac:dyDescent="0.35">
      <c r="V79" s="58">
        <v>2.7905437766002184E-2</v>
      </c>
      <c r="Y79" s="58">
        <v>1.0354764919061399E-2</v>
      </c>
      <c r="AE79" s="58">
        <v>1.0185622550690443E-2</v>
      </c>
      <c r="AH79" s="58">
        <v>2.2161454320951623E-2</v>
      </c>
    </row>
    <row r="80" spans="22:34" x14ac:dyDescent="0.35">
      <c r="V80" s="58">
        <v>2.9568365235058458E-2</v>
      </c>
      <c r="Y80" s="58">
        <v>1.081201627685595E-2</v>
      </c>
      <c r="AE80" s="58">
        <v>1.0200000000000001E-2</v>
      </c>
      <c r="AH80" s="58">
        <v>2.3E-2</v>
      </c>
    </row>
    <row r="81" spans="22:34" x14ac:dyDescent="0.35">
      <c r="V81" s="58">
        <v>3.0164443942955366E-2</v>
      </c>
      <c r="Y81" s="58">
        <v>1.087163456281659E-2</v>
      </c>
      <c r="AE81" s="58">
        <v>1.03E-2</v>
      </c>
      <c r="AH81" s="58">
        <v>2.3432653155916805E-2</v>
      </c>
    </row>
    <row r="82" spans="22:34" x14ac:dyDescent="0.35">
      <c r="V82" s="58">
        <v>3.0171006128791644E-2</v>
      </c>
      <c r="Y82" s="58">
        <v>1.09E-2</v>
      </c>
      <c r="AE82" s="58">
        <v>1.0354764919061399E-2</v>
      </c>
      <c r="AH82" s="58">
        <v>2.3698309243131543E-2</v>
      </c>
    </row>
    <row r="83" spans="22:34" x14ac:dyDescent="0.35">
      <c r="V83" s="58">
        <v>3.0281665583921757E-2</v>
      </c>
      <c r="Y83" s="58">
        <v>1.1077013807165486E-2</v>
      </c>
      <c r="AE83" s="58">
        <v>1.081201627685595E-2</v>
      </c>
      <c r="AH83" s="58">
        <v>2.3777894020265089E-2</v>
      </c>
    </row>
    <row r="84" spans="22:34" x14ac:dyDescent="0.35">
      <c r="V84" s="58">
        <v>3.0551174246535862E-2</v>
      </c>
      <c r="Y84" s="58">
        <v>1.1199780455757058E-2</v>
      </c>
      <c r="AE84" s="58">
        <v>1.087163456281659E-2</v>
      </c>
      <c r="AH84" s="58">
        <v>2.3966635794522739E-2</v>
      </c>
    </row>
    <row r="85" spans="22:34" x14ac:dyDescent="0.35">
      <c r="V85" s="58">
        <v>3.0748646073593067E-2</v>
      </c>
      <c r="Y85" s="58">
        <v>1.142545649491189E-2</v>
      </c>
      <c r="AE85" s="58">
        <v>1.09E-2</v>
      </c>
      <c r="AH85" s="58">
        <v>2.4E-2</v>
      </c>
    </row>
    <row r="86" spans="22:34" x14ac:dyDescent="0.35">
      <c r="V86" s="58">
        <v>3.1304109926429291E-2</v>
      </c>
      <c r="Y86" s="58">
        <v>1.15E-2</v>
      </c>
      <c r="AE86" s="58">
        <v>1.1077013807165486E-2</v>
      </c>
      <c r="AH86" s="58">
        <v>2.424881051711214E-2</v>
      </c>
    </row>
    <row r="87" spans="22:34" x14ac:dyDescent="0.35">
      <c r="V87" s="58">
        <v>3.1322493570187238E-2</v>
      </c>
      <c r="Y87" s="58">
        <v>1.18E-2</v>
      </c>
      <c r="AE87" s="58">
        <v>1.1199780455757058E-2</v>
      </c>
      <c r="AH87" s="58">
        <v>2.5288359312976905E-2</v>
      </c>
    </row>
    <row r="88" spans="22:34" x14ac:dyDescent="0.35">
      <c r="V88" s="58">
        <v>3.1506175639021139E-2</v>
      </c>
      <c r="Y88" s="58">
        <v>1.1812850252158391E-2</v>
      </c>
      <c r="AE88" s="58">
        <v>1.142545649491189E-2</v>
      </c>
      <c r="AH88" s="58">
        <v>2.5517885094564541E-2</v>
      </c>
    </row>
    <row r="89" spans="22:34" x14ac:dyDescent="0.35">
      <c r="V89" s="58">
        <v>3.2106564280990568E-2</v>
      </c>
      <c r="Y89" s="58">
        <v>1.192847043520584E-2</v>
      </c>
      <c r="AE89" s="58">
        <v>1.15E-2</v>
      </c>
      <c r="AH89" s="58">
        <v>2.6064604795942081E-2</v>
      </c>
    </row>
    <row r="90" spans="22:34" x14ac:dyDescent="0.35">
      <c r="V90" s="58">
        <v>3.2445691227251272E-2</v>
      </c>
      <c r="Y90" s="58">
        <v>1.2E-2</v>
      </c>
      <c r="AE90" s="58">
        <v>1.1553595392548743E-2</v>
      </c>
      <c r="AH90" s="58">
        <v>2.6399463532976508E-2</v>
      </c>
    </row>
    <row r="91" spans="22:34" x14ac:dyDescent="0.35">
      <c r="V91" s="58">
        <v>3.2679352680916152E-2</v>
      </c>
      <c r="Y91" s="58">
        <v>1.2010042098670064E-2</v>
      </c>
      <c r="AE91" s="58">
        <v>1.18E-2</v>
      </c>
      <c r="AH91" s="58">
        <v>2.6847053391805136E-2</v>
      </c>
    </row>
    <row r="92" spans="22:34" x14ac:dyDescent="0.35">
      <c r="V92" s="58">
        <v>3.2888592540073924E-2</v>
      </c>
      <c r="Y92" s="58">
        <v>1.2125318250302497E-2</v>
      </c>
      <c r="AE92" s="58">
        <v>1.1812850252158391E-2</v>
      </c>
      <c r="AH92" s="58">
        <v>2.7000000000000003E-2</v>
      </c>
    </row>
    <row r="93" spans="22:34" x14ac:dyDescent="0.35">
      <c r="V93" s="58">
        <v>3.3065159368694585E-2</v>
      </c>
      <c r="Y93" s="58">
        <v>1.2301859665232232E-2</v>
      </c>
      <c r="AE93" s="58">
        <v>1.192847043520584E-2</v>
      </c>
      <c r="AH93" s="58">
        <v>2.7650555444061808E-2</v>
      </c>
    </row>
    <row r="94" spans="22:34" x14ac:dyDescent="0.35">
      <c r="V94" s="58">
        <v>3.3068475659474794E-2</v>
      </c>
      <c r="Y94" s="58">
        <v>1.2374478439314052E-2</v>
      </c>
      <c r="AE94" s="58">
        <v>1.2E-2</v>
      </c>
      <c r="AH94" s="58">
        <v>2.7905437766002184E-2</v>
      </c>
    </row>
    <row r="95" spans="22:34" x14ac:dyDescent="0.35">
      <c r="V95" s="58">
        <v>3.3568350216095499E-2</v>
      </c>
      <c r="Y95" s="58">
        <v>1.2500000000000001E-2</v>
      </c>
      <c r="AE95" s="58">
        <v>1.2010042098670064E-2</v>
      </c>
      <c r="AH95" s="58">
        <v>2.8999999999999998E-2</v>
      </c>
    </row>
    <row r="96" spans="22:34" x14ac:dyDescent="0.35">
      <c r="V96" s="58">
        <v>3.3622968399086073E-2</v>
      </c>
      <c r="Y96" s="58">
        <v>1.2509766887391249E-2</v>
      </c>
      <c r="AE96" s="58">
        <v>1.2125318250302497E-2</v>
      </c>
      <c r="AH96" s="58">
        <v>2.9568365235058458E-2</v>
      </c>
    </row>
    <row r="97" spans="22:34" x14ac:dyDescent="0.35">
      <c r="V97" s="58">
        <v>3.4199026263797672E-2</v>
      </c>
      <c r="Y97" s="58">
        <v>1.2548325769659373E-2</v>
      </c>
      <c r="AE97" s="58">
        <v>1.2301859665232232E-2</v>
      </c>
      <c r="AH97" s="58">
        <v>0.03</v>
      </c>
    </row>
    <row r="98" spans="22:34" x14ac:dyDescent="0.35">
      <c r="V98" s="58">
        <v>3.4371682858379105E-2</v>
      </c>
      <c r="Y98" s="58">
        <v>1.270252601352384E-2</v>
      </c>
      <c r="AE98" s="58">
        <v>1.2374478439314052E-2</v>
      </c>
      <c r="AH98" s="58">
        <v>3.0164443942955366E-2</v>
      </c>
    </row>
    <row r="99" spans="22:34" x14ac:dyDescent="0.35">
      <c r="V99" s="58">
        <v>3.4508060670419782E-2</v>
      </c>
      <c r="Y99" s="58">
        <v>1.29E-2</v>
      </c>
      <c r="AE99" s="58">
        <v>1.2500000000000001E-2</v>
      </c>
      <c r="AH99" s="58">
        <v>3.0171006128791644E-2</v>
      </c>
    </row>
    <row r="100" spans="22:34" x14ac:dyDescent="0.35">
      <c r="V100" s="58">
        <v>3.4534885764128553E-2</v>
      </c>
      <c r="Y100" s="58">
        <v>1.3000000000000001E-2</v>
      </c>
      <c r="AE100" s="58">
        <v>1.2509766887391249E-2</v>
      </c>
      <c r="AH100" s="58">
        <v>3.0281665583921757E-2</v>
      </c>
    </row>
    <row r="101" spans="22:34" x14ac:dyDescent="0.35">
      <c r="V101" s="58">
        <v>3.4909510387220566E-2</v>
      </c>
      <c r="Y101" s="58">
        <v>1.301109180961219E-2</v>
      </c>
      <c r="AE101" s="58">
        <v>1.2548325769659373E-2</v>
      </c>
      <c r="AH101" s="58">
        <v>3.0551174246535862E-2</v>
      </c>
    </row>
    <row r="102" spans="22:34" x14ac:dyDescent="0.35">
      <c r="V102" s="58">
        <v>3.5294796357836722E-2</v>
      </c>
      <c r="Y102" s="58">
        <v>1.3189020710146215E-2</v>
      </c>
      <c r="AE102" s="58">
        <v>1.270252601352384E-2</v>
      </c>
      <c r="AH102" s="58">
        <v>3.0748646073593067E-2</v>
      </c>
    </row>
    <row r="103" spans="22:34" x14ac:dyDescent="0.35">
      <c r="V103" s="58">
        <v>3.5403578924644963E-2</v>
      </c>
      <c r="Y103" s="58">
        <v>1.3197724978515095E-2</v>
      </c>
      <c r="AE103" s="58">
        <v>1.29E-2</v>
      </c>
      <c r="AH103" s="58">
        <v>3.1304109926429291E-2</v>
      </c>
    </row>
    <row r="104" spans="22:34" x14ac:dyDescent="0.35">
      <c r="V104" s="58">
        <v>3.544129370823601E-2</v>
      </c>
      <c r="Y104" s="58">
        <v>1.3258711060067339E-2</v>
      </c>
      <c r="AE104" s="58">
        <v>1.3000000000000001E-2</v>
      </c>
      <c r="AH104" s="58">
        <v>3.1322493570187238E-2</v>
      </c>
    </row>
    <row r="105" spans="22:34" x14ac:dyDescent="0.35">
      <c r="V105" s="58">
        <v>3.5467931354284499E-2</v>
      </c>
      <c r="Y105" s="58">
        <v>1.3334596901974803E-2</v>
      </c>
      <c r="AE105" s="58">
        <v>1.301109180961219E-2</v>
      </c>
      <c r="AH105" s="58">
        <v>3.1506175639021139E-2</v>
      </c>
    </row>
    <row r="106" spans="22:34" x14ac:dyDescent="0.35">
      <c r="V106" s="58">
        <v>3.5770224885680824E-2</v>
      </c>
      <c r="Y106" s="58">
        <v>1.3500000000000002E-2</v>
      </c>
      <c r="AE106" s="58">
        <v>1.3189020710146215E-2</v>
      </c>
      <c r="AH106" s="58">
        <v>3.2000000000000001E-2</v>
      </c>
    </row>
    <row r="107" spans="22:34" x14ac:dyDescent="0.35">
      <c r="V107" s="58">
        <v>3.5874829767077676E-2</v>
      </c>
      <c r="Y107" s="58">
        <v>1.3728575122936541E-2</v>
      </c>
      <c r="AE107" s="58">
        <v>1.3197724978515095E-2</v>
      </c>
      <c r="AH107" s="58">
        <v>3.2106564280990568E-2</v>
      </c>
    </row>
    <row r="108" spans="22:34" x14ac:dyDescent="0.35">
      <c r="V108" s="58">
        <v>3.6085786666145925E-2</v>
      </c>
      <c r="Y108" s="58">
        <v>1.3730194668303969E-2</v>
      </c>
      <c r="AE108" s="58">
        <v>1.3258711060067339E-2</v>
      </c>
      <c r="AH108" s="58">
        <v>3.2445691227251272E-2</v>
      </c>
    </row>
    <row r="109" spans="22:34" x14ac:dyDescent="0.35">
      <c r="V109" s="58">
        <v>3.6100445862176533E-2</v>
      </c>
      <c r="Y109" s="58">
        <v>1.3999999999999999E-2</v>
      </c>
      <c r="AE109" s="58">
        <v>1.3334596901974803E-2</v>
      </c>
      <c r="AH109" s="58">
        <v>3.2679352680916152E-2</v>
      </c>
    </row>
    <row r="110" spans="22:34" x14ac:dyDescent="0.35">
      <c r="V110" s="58">
        <v>3.6943968404894223E-2</v>
      </c>
      <c r="Y110" s="58">
        <v>1.4098648233335002E-2</v>
      </c>
      <c r="AE110" s="58">
        <v>1.3480780535695791E-2</v>
      </c>
      <c r="AH110" s="58">
        <v>3.2888592540073924E-2</v>
      </c>
    </row>
    <row r="111" spans="22:34" x14ac:dyDescent="0.35">
      <c r="V111" s="58">
        <v>3.7083175447063077E-2</v>
      </c>
      <c r="Y111" s="58">
        <v>1.41124262469337E-2</v>
      </c>
      <c r="AE111" s="58">
        <v>1.3500000000000002E-2</v>
      </c>
      <c r="AH111" s="58">
        <v>3.3065159368694585E-2</v>
      </c>
    </row>
    <row r="112" spans="22:34" x14ac:dyDescent="0.35">
      <c r="V112" s="58">
        <v>3.7178928481767404E-2</v>
      </c>
      <c r="Y112" s="58">
        <v>1.4115161866876289E-2</v>
      </c>
      <c r="AE112" s="58">
        <v>1.3728575122936541E-2</v>
      </c>
      <c r="AH112" s="58">
        <v>3.3068475659474794E-2</v>
      </c>
    </row>
    <row r="113" spans="22:34" x14ac:dyDescent="0.35">
      <c r="V113" s="58">
        <v>3.7635157834776889E-2</v>
      </c>
      <c r="Y113" s="58">
        <v>1.4164291090012484E-2</v>
      </c>
      <c r="AE113" s="58">
        <v>1.3730194668303969E-2</v>
      </c>
      <c r="AH113" s="58">
        <v>3.3301888425993686E-2</v>
      </c>
    </row>
    <row r="114" spans="22:34" x14ac:dyDescent="0.35">
      <c r="V114" s="58">
        <v>3.7734363683545658E-2</v>
      </c>
      <c r="Y114" s="58">
        <v>1.4475248313748024E-2</v>
      </c>
      <c r="AE114" s="58">
        <v>1.3999999999999999E-2</v>
      </c>
      <c r="AH114" s="58">
        <v>3.3341303280623673E-2</v>
      </c>
    </row>
    <row r="115" spans="22:34" x14ac:dyDescent="0.35">
      <c r="V115" s="58">
        <v>3.8252856066533836E-2</v>
      </c>
      <c r="Y115" s="58">
        <v>1.4499999999999999E-2</v>
      </c>
      <c r="AE115" s="58">
        <v>1.4076687668435506E-2</v>
      </c>
      <c r="AH115" s="58">
        <v>3.3568350216095499E-2</v>
      </c>
    </row>
    <row r="116" spans="22:34" x14ac:dyDescent="0.35">
      <c r="V116" s="58">
        <v>3.8369561739408864E-2</v>
      </c>
      <c r="Y116" s="58">
        <v>1.4667591244999861E-2</v>
      </c>
      <c r="AE116" s="58">
        <v>1.4098648233335002E-2</v>
      </c>
      <c r="AH116" s="58">
        <v>3.3622968399086073E-2</v>
      </c>
    </row>
    <row r="117" spans="22:34" x14ac:dyDescent="0.35">
      <c r="V117" s="58">
        <v>3.9182267411901339E-2</v>
      </c>
      <c r="Y117" s="58">
        <v>1.4775311220029147E-2</v>
      </c>
      <c r="AE117" s="58">
        <v>1.41124262469337E-2</v>
      </c>
      <c r="AH117" s="58">
        <v>3.4199026263797672E-2</v>
      </c>
    </row>
    <row r="118" spans="22:34" x14ac:dyDescent="0.35">
      <c r="V118" s="58">
        <v>3.9238069640534556E-2</v>
      </c>
      <c r="Y118" s="58">
        <v>1.4999999999999999E-2</v>
      </c>
      <c r="AE118" s="58">
        <v>1.4115161866876289E-2</v>
      </c>
      <c r="AH118" s="58">
        <v>3.4371682858379105E-2</v>
      </c>
    </row>
    <row r="119" spans="22:34" x14ac:dyDescent="0.35">
      <c r="V119" s="58">
        <v>3.9936663477124101E-2</v>
      </c>
      <c r="Y119" s="58">
        <v>1.5132821505853046E-2</v>
      </c>
      <c r="AE119" s="58">
        <v>1.4164291090012484E-2</v>
      </c>
      <c r="AH119" s="58">
        <v>3.4508060670419782E-2</v>
      </c>
    </row>
    <row r="120" spans="22:34" x14ac:dyDescent="0.35">
      <c r="V120" s="58">
        <v>4.015736044542062E-2</v>
      </c>
      <c r="Y120" s="58">
        <v>1.5236903832019529E-2</v>
      </c>
      <c r="AE120" s="58">
        <v>1.4475248313748024E-2</v>
      </c>
      <c r="AH120" s="58">
        <v>3.4534885764128553E-2</v>
      </c>
    </row>
    <row r="121" spans="22:34" x14ac:dyDescent="0.35">
      <c r="V121" s="58">
        <v>4.0312141728838569E-2</v>
      </c>
      <c r="Y121" s="58">
        <v>1.5342850392917606E-2</v>
      </c>
      <c r="AE121" s="58">
        <v>1.4499999999999999E-2</v>
      </c>
      <c r="AH121" s="58">
        <v>3.4909510387220566E-2</v>
      </c>
    </row>
    <row r="122" spans="22:34" x14ac:dyDescent="0.35">
      <c r="V122" s="58">
        <v>4.1031330001819244E-2</v>
      </c>
      <c r="Y122" s="58">
        <v>1.5428548827166107E-2</v>
      </c>
      <c r="AE122" s="58">
        <v>1.4667591244999861E-2</v>
      </c>
      <c r="AH122" s="58">
        <v>3.5000000000000003E-2</v>
      </c>
    </row>
    <row r="123" spans="22:34" x14ac:dyDescent="0.35">
      <c r="V123" s="58">
        <v>4.1470649175676666E-2</v>
      </c>
      <c r="Y123" s="58">
        <v>1.55E-2</v>
      </c>
      <c r="AE123" s="58">
        <v>1.4775311220029147E-2</v>
      </c>
      <c r="AH123" s="58">
        <v>3.5294796357836722E-2</v>
      </c>
    </row>
    <row r="124" spans="22:34" x14ac:dyDescent="0.35">
      <c r="V124" s="58">
        <v>4.1526636118506266E-2</v>
      </c>
      <c r="Y124" s="58">
        <v>1.5707999980897322E-2</v>
      </c>
      <c r="AE124" s="58">
        <v>1.4999999999999999E-2</v>
      </c>
      <c r="AH124" s="58">
        <v>3.5403578924644963E-2</v>
      </c>
    </row>
    <row r="125" spans="22:34" x14ac:dyDescent="0.35">
      <c r="V125" s="58">
        <v>4.1836218274165615E-2</v>
      </c>
      <c r="Y125" s="58">
        <v>1.5727705203647968E-2</v>
      </c>
      <c r="AE125" s="58">
        <v>1.5132821505853046E-2</v>
      </c>
      <c r="AH125" s="58">
        <v>3.544129370823601E-2</v>
      </c>
    </row>
    <row r="126" spans="22:34" x14ac:dyDescent="0.35">
      <c r="V126" s="58">
        <v>4.2369839199843939E-2</v>
      </c>
      <c r="Y126" s="58">
        <v>1.6E-2</v>
      </c>
      <c r="AE126" s="58">
        <v>1.5236903832019529E-2</v>
      </c>
      <c r="AH126" s="58">
        <v>3.5467931354284499E-2</v>
      </c>
    </row>
    <row r="127" spans="22:34" x14ac:dyDescent="0.35">
      <c r="V127" s="58">
        <v>4.2921095395236586E-2</v>
      </c>
      <c r="Y127" s="58">
        <v>1.609587357932396E-2</v>
      </c>
      <c r="AE127" s="58">
        <v>1.5342850392917606E-2</v>
      </c>
      <c r="AH127" s="58">
        <v>3.5770224885680824E-2</v>
      </c>
    </row>
    <row r="128" spans="22:34" x14ac:dyDescent="0.35">
      <c r="V128" s="58">
        <v>4.5432526897638104E-2</v>
      </c>
      <c r="Y128" s="58">
        <v>1.6247324630025539E-2</v>
      </c>
      <c r="AE128" s="58">
        <v>1.5428548827166107E-2</v>
      </c>
      <c r="AH128" s="58">
        <v>3.5820001863068891E-2</v>
      </c>
    </row>
    <row r="129" spans="22:34" x14ac:dyDescent="0.35">
      <c r="V129" s="58">
        <v>4.6014971236980839E-2</v>
      </c>
      <c r="Y129" s="58">
        <v>1.6500000000000001E-2</v>
      </c>
      <c r="AE129" s="58">
        <v>1.55E-2</v>
      </c>
      <c r="AH129" s="58">
        <v>3.5874829767077676E-2</v>
      </c>
    </row>
    <row r="130" spans="22:34" x14ac:dyDescent="0.35">
      <c r="V130" s="58">
        <v>4.6185498059376995E-2</v>
      </c>
      <c r="Y130" s="58">
        <v>1.7000000000000001E-2</v>
      </c>
      <c r="AE130" s="58">
        <v>1.5707999980897322E-2</v>
      </c>
      <c r="AH130" s="58">
        <v>3.6085786666145925E-2</v>
      </c>
    </row>
    <row r="131" spans="22:34" x14ac:dyDescent="0.35">
      <c r="V131" s="58">
        <v>4.7873274823730716E-2</v>
      </c>
      <c r="Y131" s="58">
        <v>1.7105466406881067E-2</v>
      </c>
      <c r="AE131" s="58">
        <v>1.5727705203647968E-2</v>
      </c>
      <c r="AH131" s="58">
        <v>3.6100445862176533E-2</v>
      </c>
    </row>
    <row r="132" spans="22:34" x14ac:dyDescent="0.35">
      <c r="V132" s="58">
        <v>4.9276563587330902E-2</v>
      </c>
      <c r="Y132" s="58">
        <v>1.7299889270069091E-2</v>
      </c>
      <c r="AE132" s="58">
        <v>1.6E-2</v>
      </c>
      <c r="AH132" s="58">
        <v>3.6943968404894223E-2</v>
      </c>
    </row>
    <row r="133" spans="22:34" x14ac:dyDescent="0.35">
      <c r="V133" s="58">
        <v>4.9964836445694827E-2</v>
      </c>
      <c r="Y133" s="58">
        <v>1.7500000000000002E-2</v>
      </c>
      <c r="AE133" s="58">
        <v>1.609587357932396E-2</v>
      </c>
      <c r="AH133" s="58">
        <v>3.7083175447063077E-2</v>
      </c>
    </row>
    <row r="134" spans="22:34" x14ac:dyDescent="0.35">
      <c r="V134" s="58">
        <v>5.0095109176576447E-2</v>
      </c>
      <c r="Y134" s="58">
        <v>1.7597398896003959E-2</v>
      </c>
      <c r="AE134" s="58">
        <v>1.6247324630025539E-2</v>
      </c>
      <c r="AH134" s="58">
        <v>3.7178928481767404E-2</v>
      </c>
    </row>
    <row r="135" spans="22:34" x14ac:dyDescent="0.35">
      <c r="V135" s="58">
        <v>5.3772411338334658E-2</v>
      </c>
      <c r="Y135" s="58">
        <v>1.7820376526369006E-2</v>
      </c>
      <c r="AE135" s="58">
        <v>1.6500000000000001E-2</v>
      </c>
      <c r="AH135" s="58">
        <v>3.752599291835601E-2</v>
      </c>
    </row>
    <row r="136" spans="22:34" x14ac:dyDescent="0.35">
      <c r="V136" s="58">
        <v>5.5905388633823883E-2</v>
      </c>
      <c r="Y136" s="58">
        <v>1.8000000000000002E-2</v>
      </c>
      <c r="AE136" s="58">
        <v>1.7000000000000001E-2</v>
      </c>
      <c r="AH136" s="58">
        <v>3.7635157834776889E-2</v>
      </c>
    </row>
    <row r="137" spans="22:34" x14ac:dyDescent="0.35">
      <c r="V137" s="58">
        <v>5.7849645880048151E-2</v>
      </c>
      <c r="Y137" s="58">
        <v>1.8500000000000003E-2</v>
      </c>
      <c r="AE137" s="58">
        <v>1.7105466406881067E-2</v>
      </c>
      <c r="AH137" s="58">
        <v>3.7734363683545658E-2</v>
      </c>
    </row>
    <row r="138" spans="22:34" x14ac:dyDescent="0.35">
      <c r="V138" s="58">
        <v>6.2383573989025498E-2</v>
      </c>
      <c r="Y138" s="58">
        <v>1.8529427683058642E-2</v>
      </c>
      <c r="AE138" s="58">
        <v>1.7299889270069091E-2</v>
      </c>
      <c r="AH138" s="58">
        <v>3.8252856066533836E-2</v>
      </c>
    </row>
    <row r="139" spans="22:34" x14ac:dyDescent="0.35">
      <c r="V139" s="58">
        <v>6.287704603173716E-2</v>
      </c>
      <c r="Y139" s="58">
        <v>1.8582648043217409E-2</v>
      </c>
      <c r="AE139" s="58">
        <v>1.7500000000000002E-2</v>
      </c>
      <c r="AH139" s="58">
        <v>3.8369561739408864E-2</v>
      </c>
    </row>
    <row r="140" spans="22:34" x14ac:dyDescent="0.35">
      <c r="V140" s="58">
        <v>6.765181369987272E-2</v>
      </c>
      <c r="Y140" s="58">
        <v>1.8651845037651275E-2</v>
      </c>
      <c r="AE140" s="58">
        <v>1.7597398896003959E-2</v>
      </c>
      <c r="AH140" s="58">
        <v>3.9182267411901339E-2</v>
      </c>
    </row>
    <row r="141" spans="22:34" x14ac:dyDescent="0.35">
      <c r="V141" s="58">
        <v>6.8343820082715778E-2</v>
      </c>
      <c r="Y141" s="58">
        <v>1.8736446205041373E-2</v>
      </c>
      <c r="AE141" s="58">
        <v>1.7820376526369006E-2</v>
      </c>
      <c r="AH141" s="58">
        <v>3.9238069640534556E-2</v>
      </c>
    </row>
    <row r="142" spans="22:34" x14ac:dyDescent="0.35">
      <c r="V142" s="58">
        <v>6.9273082454898605E-2</v>
      </c>
      <c r="Y142" s="58">
        <v>1.8882530055031443E-2</v>
      </c>
      <c r="AE142" s="58">
        <v>1.8000000000000002E-2</v>
      </c>
      <c r="AH142" s="58">
        <v>3.9936663477124101E-2</v>
      </c>
    </row>
    <row r="143" spans="22:34" x14ac:dyDescent="0.35">
      <c r="V143" s="58">
        <v>6.965528671008081E-2</v>
      </c>
      <c r="Y143" s="58">
        <v>1.9E-2</v>
      </c>
      <c r="AE143" s="58">
        <v>1.805013833392799E-2</v>
      </c>
      <c r="AH143" s="58">
        <v>4.015736044542062E-2</v>
      </c>
    </row>
    <row r="144" spans="22:34" x14ac:dyDescent="0.35">
      <c r="V144" s="58">
        <v>7.0491951816031628E-2</v>
      </c>
      <c r="Y144" s="58">
        <v>1.9018154910432673E-2</v>
      </c>
      <c r="AE144" s="58">
        <v>1.8500000000000003E-2</v>
      </c>
      <c r="AH144" s="58">
        <v>4.0312141728838569E-2</v>
      </c>
    </row>
    <row r="145" spans="22:34" x14ac:dyDescent="0.35">
      <c r="V145" s="58">
        <v>7.405760536218442E-2</v>
      </c>
      <c r="Y145" s="58">
        <v>1.9193198348066431E-2</v>
      </c>
      <c r="AE145" s="58">
        <v>1.8529427683058642E-2</v>
      </c>
      <c r="AH145" s="58">
        <v>4.1031330001819244E-2</v>
      </c>
    </row>
    <row r="146" spans="22:34" x14ac:dyDescent="0.35">
      <c r="V146" s="58">
        <v>7.8918372935750769E-2</v>
      </c>
      <c r="Y146" s="58">
        <v>1.9299999999999998E-2</v>
      </c>
      <c r="AE146" s="58">
        <v>1.8582648043217409E-2</v>
      </c>
      <c r="AH146" s="58">
        <v>4.1470649175676666E-2</v>
      </c>
    </row>
    <row r="147" spans="22:34" x14ac:dyDescent="0.35">
      <c r="V147" s="58">
        <v>8.0867187505597959E-2</v>
      </c>
      <c r="Y147" s="58">
        <v>1.95E-2</v>
      </c>
      <c r="AE147" s="58">
        <v>1.8651845037651275E-2</v>
      </c>
      <c r="AH147" s="58">
        <v>4.1526636118506266E-2</v>
      </c>
    </row>
    <row r="148" spans="22:34" x14ac:dyDescent="0.35">
      <c r="V148" s="58" t="s">
        <v>768</v>
      </c>
      <c r="Y148" s="58">
        <v>1.9581088218107286E-2</v>
      </c>
      <c r="AE148" s="58">
        <v>1.8736446205041373E-2</v>
      </c>
      <c r="AH148" s="58">
        <v>4.1836218274165615E-2</v>
      </c>
    </row>
    <row r="149" spans="22:34" x14ac:dyDescent="0.35">
      <c r="Y149" s="58">
        <v>1.9798020773846181E-2</v>
      </c>
      <c r="AE149" s="58">
        <v>1.8882530055031443E-2</v>
      </c>
      <c r="AH149" s="58">
        <v>4.2369839199843939E-2</v>
      </c>
    </row>
    <row r="150" spans="22:34" x14ac:dyDescent="0.35">
      <c r="Y150" s="58">
        <v>0.02</v>
      </c>
      <c r="AE150" s="58">
        <v>1.9E-2</v>
      </c>
      <c r="AH150" s="58">
        <v>4.2921095395236586E-2</v>
      </c>
    </row>
    <row r="151" spans="22:34" x14ac:dyDescent="0.35">
      <c r="Y151" s="58">
        <v>2.0154403245554658E-2</v>
      </c>
      <c r="AE151" s="58">
        <v>1.9018154910432673E-2</v>
      </c>
      <c r="AH151" s="58">
        <v>4.5432526897638104E-2</v>
      </c>
    </row>
    <row r="152" spans="22:34" x14ac:dyDescent="0.35">
      <c r="Y152" s="58">
        <v>2.0465598430974351E-2</v>
      </c>
      <c r="AE152" s="58">
        <v>1.9193198348066431E-2</v>
      </c>
      <c r="AH152" s="58">
        <v>4.6014971236980839E-2</v>
      </c>
    </row>
    <row r="153" spans="22:34" x14ac:dyDescent="0.35">
      <c r="Y153" s="58">
        <v>2.0499999999999997E-2</v>
      </c>
      <c r="AE153" s="58">
        <v>1.9299999999999998E-2</v>
      </c>
      <c r="AH153" s="58">
        <v>4.6185498059376995E-2</v>
      </c>
    </row>
    <row r="154" spans="22:34" x14ac:dyDescent="0.35">
      <c r="Y154" s="58">
        <v>2.1000000000000001E-2</v>
      </c>
      <c r="AE154" s="58">
        <v>1.9452624262604967E-2</v>
      </c>
      <c r="AH154" s="58">
        <v>4.6189209405952517E-2</v>
      </c>
    </row>
    <row r="155" spans="22:34" x14ac:dyDescent="0.35">
      <c r="Y155" s="58">
        <v>2.1109162423284023E-2</v>
      </c>
      <c r="AE155" s="58">
        <v>1.95E-2</v>
      </c>
      <c r="AH155" s="58">
        <v>4.6923739593280958E-2</v>
      </c>
    </row>
    <row r="156" spans="22:34" x14ac:dyDescent="0.35">
      <c r="Y156" s="58">
        <v>2.1297387243117472E-2</v>
      </c>
      <c r="AE156" s="58">
        <v>1.9581088218107286E-2</v>
      </c>
      <c r="AH156" s="58">
        <v>4.7873274823730716E-2</v>
      </c>
    </row>
    <row r="157" spans="22:34" x14ac:dyDescent="0.35">
      <c r="Y157" s="58">
        <v>2.1499999999999998E-2</v>
      </c>
      <c r="AE157" s="58">
        <v>1.9798020773846181E-2</v>
      </c>
      <c r="AH157" s="58">
        <v>4.9276563587330902E-2</v>
      </c>
    </row>
    <row r="158" spans="22:34" x14ac:dyDescent="0.35">
      <c r="Y158" s="58">
        <v>2.1536877034549897E-2</v>
      </c>
      <c r="AE158" s="58">
        <v>0.02</v>
      </c>
      <c r="AH158" s="58">
        <v>4.9964836445694827E-2</v>
      </c>
    </row>
    <row r="159" spans="22:34" x14ac:dyDescent="0.35">
      <c r="Y159" s="58">
        <v>2.1962358542059985E-2</v>
      </c>
      <c r="AE159" s="58">
        <v>2.0154403245554658E-2</v>
      </c>
      <c r="AH159" s="58">
        <v>5.0095109176576447E-2</v>
      </c>
    </row>
    <row r="160" spans="22:34" x14ac:dyDescent="0.35">
      <c r="Y160" s="58">
        <v>2.2000000000000002E-2</v>
      </c>
      <c r="AE160" s="58">
        <v>2.033447348682027E-2</v>
      </c>
      <c r="AH160" s="58">
        <v>5.243613224615664E-2</v>
      </c>
    </row>
    <row r="161" spans="25:34" x14ac:dyDescent="0.35">
      <c r="Y161" s="58">
        <v>2.2092331408492878E-2</v>
      </c>
      <c r="AE161" s="58">
        <v>2.0465598430974351E-2</v>
      </c>
      <c r="AH161" s="58">
        <v>5.3772411338334658E-2</v>
      </c>
    </row>
    <row r="162" spans="25:34" x14ac:dyDescent="0.35">
      <c r="Y162" s="58">
        <v>2.2142673285790431E-2</v>
      </c>
      <c r="AE162" s="58">
        <v>2.0499999999999997E-2</v>
      </c>
      <c r="AH162" s="58">
        <v>5.4000000000000006E-2</v>
      </c>
    </row>
    <row r="163" spans="25:34" x14ac:dyDescent="0.35">
      <c r="Y163" s="58">
        <v>2.2258713158324065E-2</v>
      </c>
      <c r="AE163" s="58">
        <v>2.1000000000000001E-2</v>
      </c>
      <c r="AH163" s="58">
        <v>5.5905388633823883E-2</v>
      </c>
    </row>
    <row r="164" spans="25:34" x14ac:dyDescent="0.35">
      <c r="Y164" s="58">
        <v>2.233316455374515E-2</v>
      </c>
      <c r="AE164" s="58">
        <v>2.11059573457959E-2</v>
      </c>
      <c r="AH164" s="58">
        <v>5.7849645880048151E-2</v>
      </c>
    </row>
    <row r="165" spans="25:34" x14ac:dyDescent="0.35">
      <c r="Y165" s="58">
        <v>2.2765255468301326E-2</v>
      </c>
      <c r="AE165" s="58">
        <v>2.1109162423284023E-2</v>
      </c>
      <c r="AH165" s="58">
        <v>6.2383573989025498E-2</v>
      </c>
    </row>
    <row r="166" spans="25:34" x14ac:dyDescent="0.35">
      <c r="Y166" s="58">
        <v>2.3068193821138241E-2</v>
      </c>
      <c r="AE166" s="58">
        <v>2.1297387243117472E-2</v>
      </c>
      <c r="AH166" s="58">
        <v>6.287704603173716E-2</v>
      </c>
    </row>
    <row r="167" spans="25:34" x14ac:dyDescent="0.35">
      <c r="Y167" s="58">
        <v>2.343930710942525E-2</v>
      </c>
      <c r="AE167" s="58">
        <v>2.1499999999999998E-2</v>
      </c>
      <c r="AH167" s="58">
        <v>6.765181369987272E-2</v>
      </c>
    </row>
    <row r="168" spans="25:34" x14ac:dyDescent="0.35">
      <c r="Y168" s="58">
        <v>2.349734366634082E-2</v>
      </c>
      <c r="AE168" s="58">
        <v>2.1536877034549897E-2</v>
      </c>
      <c r="AH168" s="58">
        <v>6.8343820082715778E-2</v>
      </c>
    </row>
    <row r="169" spans="25:34" x14ac:dyDescent="0.35">
      <c r="Y169" s="58">
        <v>2.4094206287527543E-2</v>
      </c>
      <c r="AE169" s="58">
        <v>2.1962358542059985E-2</v>
      </c>
      <c r="AH169" s="58">
        <v>6.9273082454898605E-2</v>
      </c>
    </row>
    <row r="170" spans="25:34" x14ac:dyDescent="0.35">
      <c r="Y170" s="58">
        <v>2.4482383374950623E-2</v>
      </c>
      <c r="AE170" s="58">
        <v>2.2000000000000002E-2</v>
      </c>
      <c r="AH170" s="58">
        <v>6.965528671008081E-2</v>
      </c>
    </row>
    <row r="171" spans="25:34" x14ac:dyDescent="0.35">
      <c r="Y171" s="58">
        <v>2.5000000000000001E-2</v>
      </c>
      <c r="AE171" s="58">
        <v>2.2092331408492878E-2</v>
      </c>
      <c r="AH171" s="58">
        <v>7.0491951816031628E-2</v>
      </c>
    </row>
    <row r="172" spans="25:34" x14ac:dyDescent="0.35">
      <c r="Y172" s="58">
        <v>2.5099999999999997E-2</v>
      </c>
      <c r="AE172" s="58">
        <v>2.2142673285790431E-2</v>
      </c>
      <c r="AH172" s="58">
        <v>7.405760536218442E-2</v>
      </c>
    </row>
    <row r="173" spans="25:34" x14ac:dyDescent="0.35">
      <c r="Y173" s="58">
        <v>2.5499999999999998E-2</v>
      </c>
      <c r="AE173" s="58">
        <v>2.2258713158324065E-2</v>
      </c>
      <c r="AH173" s="58">
        <v>7.8918372935750769E-2</v>
      </c>
    </row>
    <row r="174" spans="25:34" x14ac:dyDescent="0.35">
      <c r="Y174" s="58">
        <v>2.5918275031720832E-2</v>
      </c>
      <c r="AE174" s="58">
        <v>2.233316455374515E-2</v>
      </c>
      <c r="AH174" s="58">
        <v>8.0867187505597959E-2</v>
      </c>
    </row>
    <row r="175" spans="25:34" x14ac:dyDescent="0.35">
      <c r="Y175" s="58">
        <v>2.6000000000000002E-2</v>
      </c>
      <c r="AE175" s="58">
        <v>2.2628024356858401E-2</v>
      </c>
      <c r="AH175" s="58" t="s">
        <v>768</v>
      </c>
    </row>
    <row r="176" spans="25:34" x14ac:dyDescent="0.35">
      <c r="Y176" s="58">
        <v>2.6438609515595513E-2</v>
      </c>
      <c r="AE176" s="58">
        <v>2.2765255468301326E-2</v>
      </c>
    </row>
    <row r="177" spans="25:31" x14ac:dyDescent="0.35">
      <c r="Y177" s="58">
        <v>2.6499999999999999E-2</v>
      </c>
      <c r="AE177" s="58">
        <v>2.3068193821138241E-2</v>
      </c>
    </row>
    <row r="178" spans="25:31" x14ac:dyDescent="0.35">
      <c r="Y178" s="58">
        <v>2.7000000000000003E-2</v>
      </c>
      <c r="AE178" s="58">
        <v>2.343930710942525E-2</v>
      </c>
    </row>
    <row r="179" spans="25:31" x14ac:dyDescent="0.35">
      <c r="Y179" s="58">
        <v>2.75E-2</v>
      </c>
      <c r="AE179" s="58">
        <v>2.349734366634082E-2</v>
      </c>
    </row>
    <row r="180" spans="25:31" x14ac:dyDescent="0.35">
      <c r="Y180" s="58">
        <v>2.8072431015108812E-2</v>
      </c>
      <c r="AE180" s="58">
        <v>2.4094206287527543E-2</v>
      </c>
    </row>
    <row r="181" spans="25:31" x14ac:dyDescent="0.35">
      <c r="Y181" s="58">
        <v>2.8500000000000001E-2</v>
      </c>
      <c r="AE181" s="58">
        <v>2.4482383374950623E-2</v>
      </c>
    </row>
    <row r="182" spans="25:31" x14ac:dyDescent="0.35">
      <c r="Y182" s="58">
        <v>2.8576984540753747E-2</v>
      </c>
      <c r="AE182" s="58">
        <v>2.5000000000000001E-2</v>
      </c>
    </row>
    <row r="183" spans="25:31" x14ac:dyDescent="0.35">
      <c r="Y183" s="58">
        <v>2.8884797597171996E-2</v>
      </c>
      <c r="AE183" s="58">
        <v>2.5099999999999997E-2</v>
      </c>
    </row>
    <row r="184" spans="25:31" x14ac:dyDescent="0.35">
      <c r="Y184" s="58">
        <v>2.8999999999999998E-2</v>
      </c>
      <c r="AE184" s="58">
        <v>2.5499999999999998E-2</v>
      </c>
    </row>
    <row r="185" spans="25:31" x14ac:dyDescent="0.35">
      <c r="Y185" s="58">
        <v>2.9500000000000002E-2</v>
      </c>
      <c r="AE185" s="58">
        <v>2.5918275031720832E-2</v>
      </c>
    </row>
    <row r="186" spans="25:31" x14ac:dyDescent="0.35">
      <c r="Y186" s="58">
        <v>2.959836153967476E-2</v>
      </c>
      <c r="AE186" s="58">
        <v>2.5937831332745409E-2</v>
      </c>
    </row>
    <row r="187" spans="25:31" x14ac:dyDescent="0.35">
      <c r="Y187" s="58">
        <v>2.9883486935029069E-2</v>
      </c>
      <c r="AE187" s="58">
        <v>2.6000000000000002E-2</v>
      </c>
    </row>
    <row r="188" spans="25:31" x14ac:dyDescent="0.35">
      <c r="Y188" s="58">
        <v>0.03</v>
      </c>
      <c r="AE188" s="58">
        <v>2.6438609515595513E-2</v>
      </c>
    </row>
    <row r="189" spans="25:31" x14ac:dyDescent="0.35">
      <c r="Y189" s="58">
        <v>3.0202927202235993E-2</v>
      </c>
      <c r="AE189" s="58">
        <v>2.6499999999999999E-2</v>
      </c>
    </row>
    <row r="190" spans="25:31" x14ac:dyDescent="0.35">
      <c r="Y190" s="58">
        <v>3.0695966659125551E-2</v>
      </c>
      <c r="AE190" s="58">
        <v>2.7000000000000003E-2</v>
      </c>
    </row>
    <row r="191" spans="25:31" x14ac:dyDescent="0.35">
      <c r="Y191" s="58">
        <v>3.1475868118271078E-2</v>
      </c>
      <c r="AE191" s="58">
        <v>2.75E-2</v>
      </c>
    </row>
    <row r="192" spans="25:31" x14ac:dyDescent="0.35">
      <c r="Y192" s="58">
        <v>3.3896976234699429E-2</v>
      </c>
      <c r="AE192" s="58">
        <v>2.7610563309885761E-2</v>
      </c>
    </row>
    <row r="193" spans="25:31" x14ac:dyDescent="0.35">
      <c r="Y193" s="58">
        <v>3.4315254502407466E-2</v>
      </c>
      <c r="AE193" s="58">
        <v>2.8072431015108812E-2</v>
      </c>
    </row>
    <row r="194" spans="25:31" x14ac:dyDescent="0.35">
      <c r="Y194" s="58">
        <v>3.465399115130971E-2</v>
      </c>
      <c r="AE194" s="58">
        <v>2.8500000000000001E-2</v>
      </c>
    </row>
    <row r="195" spans="25:31" x14ac:dyDescent="0.35">
      <c r="Y195" s="58">
        <v>3.5000000000000003E-2</v>
      </c>
      <c r="AE195" s="58">
        <v>2.8576984540753747E-2</v>
      </c>
    </row>
    <row r="196" spans="25:31" x14ac:dyDescent="0.35">
      <c r="Y196" s="58">
        <v>3.5658030132180718E-2</v>
      </c>
      <c r="AE196" s="58">
        <v>2.8884797597171996E-2</v>
      </c>
    </row>
    <row r="197" spans="25:31" x14ac:dyDescent="0.35">
      <c r="Y197" s="58">
        <v>3.6142913974750446E-2</v>
      </c>
      <c r="AE197" s="58">
        <v>2.8999999999999998E-2</v>
      </c>
    </row>
    <row r="198" spans="25:31" x14ac:dyDescent="0.35">
      <c r="Y198" s="58">
        <v>3.7000000000000005E-2</v>
      </c>
      <c r="AE198" s="58">
        <v>2.9500000000000002E-2</v>
      </c>
    </row>
    <row r="199" spans="25:31" x14ac:dyDescent="0.35">
      <c r="Y199" s="58">
        <v>3.7302364716141012E-2</v>
      </c>
      <c r="AE199" s="58">
        <v>2.959836153967476E-2</v>
      </c>
    </row>
    <row r="200" spans="25:31" x14ac:dyDescent="0.35">
      <c r="Y200" s="58">
        <v>3.7499999999999999E-2</v>
      </c>
      <c r="AE200" s="58">
        <v>2.9883486935029069E-2</v>
      </c>
    </row>
    <row r="201" spans="25:31" x14ac:dyDescent="0.35">
      <c r="Y201" s="58">
        <v>3.7999999999999999E-2</v>
      </c>
      <c r="AE201" s="58">
        <v>0.03</v>
      </c>
    </row>
    <row r="202" spans="25:31" x14ac:dyDescent="0.35">
      <c r="Y202" s="58">
        <v>3.9040698438589816E-2</v>
      </c>
      <c r="AE202" s="58">
        <v>3.0202927202235993E-2</v>
      </c>
    </row>
    <row r="203" spans="25:31" x14ac:dyDescent="0.35">
      <c r="Y203" s="58">
        <v>0.04</v>
      </c>
      <c r="AE203" s="58">
        <v>3.0695966659125551E-2</v>
      </c>
    </row>
    <row r="204" spans="25:31" x14ac:dyDescent="0.35">
      <c r="Y204" s="58">
        <v>4.0417528558939264E-2</v>
      </c>
      <c r="AE204" s="58">
        <v>3.1475868118271078E-2</v>
      </c>
    </row>
    <row r="205" spans="25:31" x14ac:dyDescent="0.35">
      <c r="Y205" s="58">
        <v>4.0500000000000001E-2</v>
      </c>
      <c r="AE205" s="58">
        <v>3.1559344107938925E-2</v>
      </c>
    </row>
    <row r="206" spans="25:31" x14ac:dyDescent="0.35">
      <c r="Y206" s="58">
        <v>4.0999999999999995E-2</v>
      </c>
      <c r="AE206" s="58">
        <v>3.3896976234699429E-2</v>
      </c>
    </row>
    <row r="207" spans="25:31" x14ac:dyDescent="0.35">
      <c r="Y207" s="58">
        <v>4.2000000000000003E-2</v>
      </c>
      <c r="AE207" s="58">
        <v>3.4315254502407466E-2</v>
      </c>
    </row>
    <row r="208" spans="25:31" x14ac:dyDescent="0.35">
      <c r="Y208" s="58">
        <v>4.4999999999999998E-2</v>
      </c>
      <c r="AE208" s="58">
        <v>3.465399115130971E-2</v>
      </c>
    </row>
    <row r="209" spans="25:31" x14ac:dyDescent="0.35">
      <c r="Y209" s="58">
        <v>4.9623241768894877E-2</v>
      </c>
      <c r="AE209" s="58">
        <v>3.5000000000000003E-2</v>
      </c>
    </row>
    <row r="210" spans="25:31" x14ac:dyDescent="0.35">
      <c r="Y210" s="58">
        <v>0.05</v>
      </c>
      <c r="AE210" s="58">
        <v>3.5658030132180718E-2</v>
      </c>
    </row>
    <row r="211" spans="25:31" x14ac:dyDescent="0.35">
      <c r="Y211" s="58">
        <v>5.1819030804687721E-2</v>
      </c>
      <c r="AE211" s="58">
        <v>3.6142913974750446E-2</v>
      </c>
    </row>
    <row r="212" spans="25:31" x14ac:dyDescent="0.35">
      <c r="Y212" s="58" t="s">
        <v>768</v>
      </c>
      <c r="AE212" s="58">
        <v>3.7000000000000005E-2</v>
      </c>
    </row>
    <row r="213" spans="25:31" x14ac:dyDescent="0.35">
      <c r="AE213" s="58">
        <v>3.7302364716141012E-2</v>
      </c>
    </row>
    <row r="214" spans="25:31" x14ac:dyDescent="0.35">
      <c r="AE214" s="58">
        <v>3.7499999999999999E-2</v>
      </c>
    </row>
    <row r="215" spans="25:31" x14ac:dyDescent="0.35">
      <c r="AE215" s="58">
        <v>3.7999999999999999E-2</v>
      </c>
    </row>
    <row r="216" spans="25:31" x14ac:dyDescent="0.35">
      <c r="AE216" s="58">
        <v>3.9040698438589816E-2</v>
      </c>
    </row>
    <row r="217" spans="25:31" x14ac:dyDescent="0.35">
      <c r="AE217" s="58">
        <v>3.9972371689434905E-2</v>
      </c>
    </row>
    <row r="218" spans="25:31" x14ac:dyDescent="0.35">
      <c r="AE218" s="58">
        <v>0.04</v>
      </c>
    </row>
    <row r="219" spans="25:31" x14ac:dyDescent="0.35">
      <c r="AE219" s="58">
        <v>4.023753387741702E-2</v>
      </c>
    </row>
    <row r="220" spans="25:31" x14ac:dyDescent="0.35">
      <c r="AE220" s="58">
        <v>4.0417528558939264E-2</v>
      </c>
    </row>
    <row r="221" spans="25:31" x14ac:dyDescent="0.35">
      <c r="AE221" s="58">
        <v>4.0500000000000001E-2</v>
      </c>
    </row>
    <row r="222" spans="25:31" x14ac:dyDescent="0.35">
      <c r="AE222" s="58">
        <v>4.0999999999999995E-2</v>
      </c>
    </row>
    <row r="223" spans="25:31" x14ac:dyDescent="0.35">
      <c r="AE223" s="58">
        <v>4.2000000000000003E-2</v>
      </c>
    </row>
    <row r="224" spans="25:31" x14ac:dyDescent="0.35">
      <c r="AE224" s="58">
        <v>4.4999999999999998E-2</v>
      </c>
    </row>
    <row r="225" spans="31:31" x14ac:dyDescent="0.35">
      <c r="AE225" s="58">
        <v>4.9623241768894877E-2</v>
      </c>
    </row>
    <row r="226" spans="31:31" x14ac:dyDescent="0.35">
      <c r="AE226" s="58">
        <v>0.05</v>
      </c>
    </row>
    <row r="227" spans="31:31" x14ac:dyDescent="0.35">
      <c r="AE227" s="58">
        <v>5.1819030804687721E-2</v>
      </c>
    </row>
    <row r="228" spans="31:31" x14ac:dyDescent="0.35">
      <c r="AE228" s="58">
        <v>6.3056578334491187E-2</v>
      </c>
    </row>
    <row r="229" spans="31:31" x14ac:dyDescent="0.35">
      <c r="AE229" s="58" t="s">
        <v>768</v>
      </c>
    </row>
  </sheetData>
  <mergeCells count="6">
    <mergeCell ref="K5:L5"/>
    <mergeCell ref="M5:N5"/>
    <mergeCell ref="O5:P5"/>
    <mergeCell ref="K18:L18"/>
    <mergeCell ref="M18:N18"/>
    <mergeCell ref="O18:P18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88F3E-A8EA-423A-B5D5-A5917DAF049F}">
  <dimension ref="B2:X173"/>
  <sheetViews>
    <sheetView showGridLines="0" zoomScale="70" zoomScaleNormal="70" workbookViewId="0">
      <selection activeCell="J25" sqref="J25:L25"/>
      <pivotSelection pane="bottomRight" showHeader="1" extendable="1" axis="axisRow" start="19" max="72" activeRow="24" activeCol="9" previousRow="24" previousCol="9" click="1" r:id="rId4">
        <pivotArea dataOnly="0" fieldPosition="0">
          <references count="3">
            <reference field="5" count="1" selected="0">
              <x v="1"/>
            </reference>
            <reference field="23" count="1">
              <x v="58"/>
            </reference>
            <reference field="29" count="1" selected="0">
              <x v="0"/>
            </reference>
          </references>
        </pivotArea>
      </pivotSelection>
    </sheetView>
  </sheetViews>
  <sheetFormatPr defaultRowHeight="14.5" x14ac:dyDescent="0.35"/>
  <cols>
    <col min="2" max="2" width="21.7265625" bestFit="1" customWidth="1"/>
    <col min="3" max="8" width="11.08984375" customWidth="1"/>
    <col min="9" max="9" width="16.90625" customWidth="1"/>
    <col min="10" max="10" width="17" bestFit="1" customWidth="1"/>
    <col min="11" max="11" width="21.7265625" bestFit="1" customWidth="1"/>
    <col min="12" max="12" width="26.453125" bestFit="1" customWidth="1"/>
    <col min="13" max="13" width="8.08984375" customWidth="1"/>
    <col min="14" max="14" width="17" bestFit="1" customWidth="1"/>
    <col min="15" max="15" width="21.7265625" bestFit="1" customWidth="1"/>
    <col min="16" max="16" width="26.453125" bestFit="1" customWidth="1"/>
    <col min="17" max="17" width="4.54296875" customWidth="1"/>
    <col min="18" max="18" width="17" bestFit="1" customWidth="1"/>
    <col min="19" max="19" width="21.7265625" bestFit="1" customWidth="1"/>
    <col min="20" max="20" width="26.453125" bestFit="1" customWidth="1"/>
    <col min="21" max="21" width="4.54296875" customWidth="1"/>
    <col min="22" max="22" width="17" bestFit="1" customWidth="1"/>
    <col min="23" max="23" width="21.7265625" bestFit="1" customWidth="1"/>
    <col min="24" max="24" width="26.453125" bestFit="1" customWidth="1"/>
    <col min="25" max="33" width="11.81640625" bestFit="1" customWidth="1"/>
    <col min="34" max="34" width="19.36328125" bestFit="1" customWidth="1"/>
    <col min="35" max="35" width="11.81640625" bestFit="1" customWidth="1"/>
    <col min="36" max="40" width="5.81640625" bestFit="1" customWidth="1"/>
    <col min="41" max="41" width="21.6328125" bestFit="1" customWidth="1"/>
    <col min="42" max="42" width="18.54296875" bestFit="1" customWidth="1"/>
    <col min="43" max="52" width="5.81640625" bestFit="1" customWidth="1"/>
    <col min="53" max="53" width="21.6328125" bestFit="1" customWidth="1"/>
    <col min="54" max="54" width="9.90625" bestFit="1" customWidth="1"/>
    <col min="55" max="73" width="5.81640625" bestFit="1" customWidth="1"/>
    <col min="74" max="74" width="12.90625" bestFit="1" customWidth="1"/>
    <col min="75" max="75" width="6.54296875" bestFit="1" customWidth="1"/>
    <col min="76" max="85" width="5.81640625" bestFit="1" customWidth="1"/>
    <col min="86" max="86" width="8.7265625" bestFit="1" customWidth="1"/>
    <col min="87" max="87" width="7.90625" bestFit="1" customWidth="1"/>
    <col min="88" max="106" width="5.81640625" bestFit="1" customWidth="1"/>
    <col min="107" max="107" width="10.90625" bestFit="1" customWidth="1"/>
    <col min="108" max="108" width="24.6328125" bestFit="1" customWidth="1"/>
    <col min="109" max="109" width="5.81640625" bestFit="1" customWidth="1"/>
    <col min="110" max="110" width="27.81640625" bestFit="1" customWidth="1"/>
    <col min="111" max="111" width="6.90625" bestFit="1" customWidth="1"/>
    <col min="112" max="113" width="5.81640625" bestFit="1" customWidth="1"/>
    <col min="114" max="114" width="9.90625" bestFit="1" customWidth="1"/>
    <col min="115" max="115" width="7.7265625" bestFit="1" customWidth="1"/>
    <col min="116" max="126" width="5.81640625" bestFit="1" customWidth="1"/>
    <col min="127" max="127" width="10.6328125" bestFit="1" customWidth="1"/>
    <col min="128" max="128" width="6" bestFit="1" customWidth="1"/>
    <col min="129" max="137" width="5.81640625" bestFit="1" customWidth="1"/>
    <col min="138" max="138" width="9" bestFit="1" customWidth="1"/>
    <col min="139" max="139" width="10.1796875" bestFit="1" customWidth="1"/>
    <col min="140" max="141" width="5.81640625" bestFit="1" customWidth="1"/>
    <col min="142" max="142" width="13.1796875" bestFit="1" customWidth="1"/>
    <col min="143" max="143" width="11.26953125" bestFit="1" customWidth="1"/>
    <col min="144" max="151" width="5.81640625" bestFit="1" customWidth="1"/>
    <col min="152" max="152" width="14.26953125" bestFit="1" customWidth="1"/>
    <col min="153" max="153" width="11.26953125" bestFit="1" customWidth="1"/>
    <col min="154" max="156" width="5.81640625" bestFit="1" customWidth="1"/>
    <col min="157" max="157" width="14.26953125" bestFit="1" customWidth="1"/>
    <col min="158" max="158" width="8.81640625" bestFit="1" customWidth="1"/>
    <col min="159" max="166" width="5.81640625" bestFit="1" customWidth="1"/>
    <col min="167" max="167" width="11.81640625" bestFit="1" customWidth="1"/>
    <col min="168" max="168" width="17.7265625" bestFit="1" customWidth="1"/>
    <col min="169" max="177" width="5.81640625" bestFit="1" customWidth="1"/>
    <col min="178" max="178" width="21" bestFit="1" customWidth="1"/>
    <col min="179" max="179" width="18.36328125" bestFit="1" customWidth="1"/>
    <col min="180" max="182" width="5.81640625" bestFit="1" customWidth="1"/>
    <col min="183" max="183" width="21.54296875" bestFit="1" customWidth="1"/>
    <col min="184" max="184" width="8.6328125" bestFit="1" customWidth="1"/>
    <col min="185" max="193" width="5.81640625" bestFit="1" customWidth="1"/>
    <col min="194" max="194" width="11.54296875" bestFit="1" customWidth="1"/>
    <col min="195" max="195" width="13.36328125" bestFit="1" customWidth="1"/>
    <col min="196" max="198" width="5.81640625" bestFit="1" customWidth="1"/>
    <col min="199" max="199" width="16.6328125" bestFit="1" customWidth="1"/>
    <col min="200" max="200" width="15.54296875" bestFit="1" customWidth="1"/>
    <col min="201" max="206" width="5.81640625" bestFit="1" customWidth="1"/>
    <col min="207" max="207" width="18.6328125" bestFit="1" customWidth="1"/>
    <col min="208" max="208" width="7.90625" bestFit="1" customWidth="1"/>
    <col min="209" max="215" width="5.81640625" bestFit="1" customWidth="1"/>
    <col min="216" max="216" width="10.90625" bestFit="1" customWidth="1"/>
    <col min="217" max="217" width="13.36328125" bestFit="1" customWidth="1"/>
    <col min="218" max="246" width="5.81640625" bestFit="1" customWidth="1"/>
    <col min="247" max="247" width="16.6328125" bestFit="1" customWidth="1"/>
    <col min="248" max="248" width="8.81640625" bestFit="1" customWidth="1"/>
    <col min="249" max="259" width="5.81640625" bestFit="1" customWidth="1"/>
    <col min="260" max="260" width="11.81640625" bestFit="1" customWidth="1"/>
    <col min="261" max="261" width="9.6328125" bestFit="1" customWidth="1"/>
    <col min="262" max="272" width="5.81640625" bestFit="1" customWidth="1"/>
    <col min="273" max="273" width="12.81640625" bestFit="1" customWidth="1"/>
    <col min="274" max="274" width="9" bestFit="1" customWidth="1"/>
    <col min="275" max="296" width="5.81640625" bestFit="1" customWidth="1"/>
    <col min="297" max="297" width="12" bestFit="1" customWidth="1"/>
    <col min="298" max="298" width="18.6328125" bestFit="1" customWidth="1"/>
    <col min="299" max="313" width="5.81640625" bestFit="1" customWidth="1"/>
    <col min="314" max="314" width="21.81640625" bestFit="1" customWidth="1"/>
    <col min="315" max="315" width="6.54296875" bestFit="1" customWidth="1"/>
    <col min="316" max="322" width="5.81640625" bestFit="1" customWidth="1"/>
    <col min="323" max="323" width="7.453125" bestFit="1" customWidth="1"/>
    <col min="324" max="324" width="10.90625" bestFit="1" customWidth="1"/>
    <col min="325" max="328" width="6.54296875" bestFit="1" customWidth="1"/>
    <col min="329" max="355" width="5.81640625" bestFit="1" customWidth="1"/>
    <col min="356" max="356" width="13.90625" bestFit="1" customWidth="1"/>
    <col min="357" max="357" width="15.6328125" bestFit="1" customWidth="1"/>
    <col min="358" max="365" width="5.81640625" bestFit="1" customWidth="1"/>
    <col min="366" max="366" width="18.81640625" bestFit="1" customWidth="1"/>
    <col min="367" max="367" width="8.1796875" bestFit="1" customWidth="1"/>
    <col min="368" max="373" width="5.81640625" bestFit="1" customWidth="1"/>
    <col min="374" max="374" width="11.1796875" bestFit="1" customWidth="1"/>
    <col min="375" max="375" width="10.90625" bestFit="1" customWidth="1"/>
    <col min="376" max="390" width="5.81640625" bestFit="1" customWidth="1"/>
    <col min="391" max="391" width="14" bestFit="1" customWidth="1"/>
    <col min="392" max="392" width="7.54296875" bestFit="1" customWidth="1"/>
    <col min="393" max="404" width="5.81640625" bestFit="1" customWidth="1"/>
    <col min="405" max="405" width="10.453125" bestFit="1" customWidth="1"/>
    <col min="406" max="406" width="8.453125" bestFit="1" customWidth="1"/>
    <col min="407" max="424" width="5.81640625" bestFit="1" customWidth="1"/>
    <col min="425" max="425" width="11.453125" bestFit="1" customWidth="1"/>
    <col min="426" max="426" width="8.6328125" bestFit="1" customWidth="1"/>
    <col min="427" max="441" width="5.81640625" bestFit="1" customWidth="1"/>
    <col min="442" max="442" width="11.54296875" bestFit="1" customWidth="1"/>
    <col min="443" max="443" width="9.6328125" bestFit="1" customWidth="1"/>
    <col min="444" max="448" width="5.81640625" bestFit="1" customWidth="1"/>
    <col min="449" max="449" width="12.6328125" bestFit="1" customWidth="1"/>
    <col min="450" max="450" width="10.36328125" bestFit="1" customWidth="1"/>
    <col min="451" max="453" width="5.81640625" bestFit="1" customWidth="1"/>
    <col min="454" max="454" width="13.453125" bestFit="1" customWidth="1"/>
    <col min="455" max="455" width="6.54296875" bestFit="1" customWidth="1"/>
    <col min="456" max="465" width="5.81640625" bestFit="1" customWidth="1"/>
    <col min="466" max="466" width="9.36328125" bestFit="1" customWidth="1"/>
    <col min="467" max="467" width="21" bestFit="1" customWidth="1"/>
    <col min="468" max="480" width="5.81640625" bestFit="1" customWidth="1"/>
    <col min="481" max="481" width="24.08984375" bestFit="1" customWidth="1"/>
    <col min="482" max="482" width="10.1796875" bestFit="1" customWidth="1"/>
  </cols>
  <sheetData>
    <row r="2" spans="2:24" x14ac:dyDescent="0.35">
      <c r="J2" s="57" t="s">
        <v>3</v>
      </c>
      <c r="K2" t="s">
        <v>25</v>
      </c>
      <c r="N2" s="57" t="s">
        <v>3</v>
      </c>
      <c r="O2" t="s">
        <v>25</v>
      </c>
      <c r="R2" s="57" t="s">
        <v>3</v>
      </c>
      <c r="S2" t="s">
        <v>34</v>
      </c>
      <c r="V2" s="57" t="s">
        <v>3</v>
      </c>
      <c r="W2" t="s">
        <v>34</v>
      </c>
    </row>
    <row r="3" spans="2:24" x14ac:dyDescent="0.35">
      <c r="J3" s="57" t="s">
        <v>783</v>
      </c>
      <c r="K3" s="59">
        <v>0</v>
      </c>
      <c r="N3" s="57" t="s">
        <v>783</v>
      </c>
      <c r="O3" s="59">
        <v>1</v>
      </c>
      <c r="R3" s="57" t="s">
        <v>783</v>
      </c>
      <c r="S3" s="59">
        <v>0</v>
      </c>
      <c r="U3" s="59"/>
      <c r="V3" s="57" t="s">
        <v>783</v>
      </c>
      <c r="W3" s="59">
        <v>1</v>
      </c>
    </row>
    <row r="5" spans="2:24" x14ac:dyDescent="0.35">
      <c r="B5" s="62"/>
      <c r="C5" s="123" t="s">
        <v>25</v>
      </c>
      <c r="D5" s="124"/>
      <c r="E5" s="123" t="s">
        <v>34</v>
      </c>
      <c r="F5" s="124"/>
      <c r="G5" s="123" t="s">
        <v>775</v>
      </c>
      <c r="H5" s="124"/>
      <c r="J5" s="57" t="s">
        <v>769</v>
      </c>
      <c r="K5" t="s">
        <v>789</v>
      </c>
      <c r="L5" t="s">
        <v>800</v>
      </c>
      <c r="N5" s="57" t="s">
        <v>769</v>
      </c>
      <c r="O5" t="s">
        <v>789</v>
      </c>
      <c r="P5" t="s">
        <v>800</v>
      </c>
      <c r="R5" s="57" t="s">
        <v>769</v>
      </c>
      <c r="S5" t="s">
        <v>789</v>
      </c>
      <c r="T5" t="s">
        <v>800</v>
      </c>
      <c r="V5" s="57" t="s">
        <v>769</v>
      </c>
      <c r="W5" t="s">
        <v>789</v>
      </c>
      <c r="X5" t="s">
        <v>800</v>
      </c>
    </row>
    <row r="6" spans="2:24" x14ac:dyDescent="0.35">
      <c r="B6" s="107"/>
      <c r="C6" s="111" t="s">
        <v>784</v>
      </c>
      <c r="D6" s="109" t="s">
        <v>785</v>
      </c>
      <c r="E6" s="111" t="s">
        <v>784</v>
      </c>
      <c r="F6" s="109" t="s">
        <v>785</v>
      </c>
      <c r="G6" s="111" t="s">
        <v>784</v>
      </c>
      <c r="H6" s="109" t="s">
        <v>785</v>
      </c>
      <c r="J6" s="58">
        <v>-4.1516193542532331E-3</v>
      </c>
      <c r="K6" s="8">
        <v>1</v>
      </c>
      <c r="L6" s="8">
        <v>16.94089</v>
      </c>
      <c r="M6" s="8"/>
      <c r="N6" s="58">
        <v>-2.0816001846274228E-2</v>
      </c>
      <c r="O6" s="8">
        <v>1</v>
      </c>
      <c r="P6" s="8">
        <v>41.686019999999999</v>
      </c>
      <c r="R6" s="58">
        <v>-2.8946580467299476E-3</v>
      </c>
      <c r="S6" s="8">
        <v>1</v>
      </c>
      <c r="T6" s="8">
        <v>21.553750000000001</v>
      </c>
      <c r="V6" s="58">
        <v>1.0791639435281386E-3</v>
      </c>
      <c r="W6" s="8">
        <v>1</v>
      </c>
      <c r="X6" s="8">
        <v>15.840999999999999</v>
      </c>
    </row>
    <row r="7" spans="2:24" x14ac:dyDescent="0.35">
      <c r="B7" t="s">
        <v>786</v>
      </c>
      <c r="C7" s="84">
        <f>GETPIVOTDATA("Contagem de Spread DI+",$N$5)</f>
        <v>278</v>
      </c>
      <c r="D7" s="14">
        <f>GETPIVOTDATA("Contagem de Spread DI+",$J$5)</f>
        <v>75</v>
      </c>
      <c r="E7" s="84">
        <f>GETPIVOTDATA("Contagem de Spread DI+",$V$5)</f>
        <v>109</v>
      </c>
      <c r="F7" s="14">
        <f>GETPIVOTDATA("Contagem de Spread DI+",$R$5)</f>
        <v>51</v>
      </c>
      <c r="G7" s="84">
        <f>+GETPIVOTDATA("Contagem de Spread DI+",$B$20)</f>
        <v>387</v>
      </c>
      <c r="H7" s="14">
        <f>+GETPIVOTDATA("Contagem de Spread DI+",$B$15)</f>
        <v>126</v>
      </c>
      <c r="J7" s="58">
        <v>-3.5346357219493418E-3</v>
      </c>
      <c r="K7" s="8">
        <v>1</v>
      </c>
      <c r="L7" s="8">
        <v>8.9839699999999993</v>
      </c>
      <c r="M7" s="8"/>
      <c r="N7" s="58">
        <v>-1.2812260942345834E-3</v>
      </c>
      <c r="O7" s="8">
        <v>1</v>
      </c>
      <c r="P7" s="8">
        <v>2.5</v>
      </c>
      <c r="R7" s="58">
        <v>-4.1753560869517425E-4</v>
      </c>
      <c r="S7" s="8">
        <v>1</v>
      </c>
      <c r="T7" s="8">
        <v>30.175249999999998</v>
      </c>
      <c r="V7" s="58">
        <v>4.7333622949210508E-3</v>
      </c>
      <c r="W7" s="8">
        <v>1</v>
      </c>
      <c r="X7" s="8">
        <v>39.602499999999999</v>
      </c>
    </row>
    <row r="8" spans="2:24" x14ac:dyDescent="0.35">
      <c r="B8" t="s">
        <v>787</v>
      </c>
      <c r="C8" s="64">
        <f>(GETPIVOTDATA("Soma de Volume R$ (100 MM)",$N$5))/10</f>
        <v>163.0426089273071</v>
      </c>
      <c r="D8" s="68">
        <f>(GETPIVOTDATA("Soma de Volume R$ (100 MM)",$J$5))/10</f>
        <v>43.929806000000006</v>
      </c>
      <c r="E8" s="64">
        <f>(GETPIVOTDATA("Soma de Volume R$ (100 MM)",$V$5))/10</f>
        <v>279.14617009</v>
      </c>
      <c r="F8" s="68">
        <f>(GETPIVOTDATA("Soma de Volume R$ (100 MM)",$R$5))/10</f>
        <v>176.29966322460007</v>
      </c>
      <c r="G8" s="64">
        <f>(+GETPIVOTDATA("Soma de Volume R$ (100 MM)",$B$20))/10</f>
        <v>442.18877901730696</v>
      </c>
      <c r="H8" s="68">
        <f>(+GETPIVOTDATA("Soma de Volume R$ (100 MM)",$B$15))/10</f>
        <v>220.2294692246</v>
      </c>
      <c r="J8" s="58">
        <v>-1.1284162663882658E-4</v>
      </c>
      <c r="K8" s="8">
        <v>1</v>
      </c>
      <c r="L8" s="8">
        <v>6</v>
      </c>
      <c r="M8" s="8"/>
      <c r="N8" s="58">
        <v>-1.1025469042358349E-3</v>
      </c>
      <c r="O8" s="8">
        <v>1</v>
      </c>
      <c r="P8" s="8">
        <v>3.01</v>
      </c>
      <c r="R8" s="58">
        <v>-3.8286906505957674E-4</v>
      </c>
      <c r="S8" s="8">
        <v>1</v>
      </c>
      <c r="T8" s="8">
        <v>16.1145</v>
      </c>
      <c r="V8" s="58">
        <v>6.35581542044239E-3</v>
      </c>
      <c r="W8" s="8">
        <v>1</v>
      </c>
      <c r="X8" s="8">
        <v>71.147999999999996</v>
      </c>
    </row>
    <row r="9" spans="2:24" x14ac:dyDescent="0.35">
      <c r="B9" s="62" t="s">
        <v>788</v>
      </c>
      <c r="C9" s="112">
        <f>AVERAGE(N6:N172)</f>
        <v>1.8751896345653562E-2</v>
      </c>
      <c r="D9" s="110">
        <f>AVERAGE(J6:J76)</f>
        <v>1.4104141975433648E-2</v>
      </c>
      <c r="E9" s="112">
        <f>AVERAGE(V6:V113)</f>
        <v>3.2484803589452042E-2</v>
      </c>
      <c r="F9" s="110">
        <f>AVERAGE(R6:R55)</f>
        <v>1.7747671123413543E-2</v>
      </c>
      <c r="G9" s="112">
        <f>+GETPIVOTDATA("Média de Spread DI+",$B$20)</f>
        <v>2.4191355726774763E-2</v>
      </c>
      <c r="H9" s="110">
        <f>+GETPIVOTDATA("Média de Spread DI+",$B$15)</f>
        <v>1.5628103834276586E-2</v>
      </c>
      <c r="J9" s="58">
        <v>2.4544996723085966E-4</v>
      </c>
      <c r="K9" s="8">
        <v>1</v>
      </c>
      <c r="L9" s="8">
        <v>1.5</v>
      </c>
      <c r="M9" s="8"/>
      <c r="N9" s="58">
        <v>1.8373437826946226E-3</v>
      </c>
      <c r="O9" s="8">
        <v>2</v>
      </c>
      <c r="P9" s="8">
        <v>13.41582</v>
      </c>
      <c r="R9" s="58">
        <v>4.1188055372809451E-4</v>
      </c>
      <c r="S9" s="8">
        <v>1</v>
      </c>
      <c r="T9" s="8">
        <v>10.1905</v>
      </c>
      <c r="V9" s="58">
        <v>7.7868652583821252E-3</v>
      </c>
      <c r="W9" s="8">
        <v>1</v>
      </c>
      <c r="X9" s="8">
        <v>26.091999999999999</v>
      </c>
    </row>
    <row r="10" spans="2:24" x14ac:dyDescent="0.35">
      <c r="C10" s="9"/>
      <c r="D10" s="9"/>
      <c r="E10" s="9"/>
      <c r="F10" s="9"/>
      <c r="G10" s="9"/>
      <c r="H10" s="9"/>
      <c r="J10" s="58">
        <v>8.6028476264177201E-4</v>
      </c>
      <c r="K10" s="8">
        <v>1</v>
      </c>
      <c r="L10" s="8">
        <v>15.29339</v>
      </c>
      <c r="M10" s="8"/>
      <c r="N10" s="58">
        <v>1.9761106845022744E-3</v>
      </c>
      <c r="O10" s="8">
        <v>1</v>
      </c>
      <c r="P10" s="8">
        <v>40</v>
      </c>
      <c r="R10" s="58">
        <v>1.4181478949022441E-3</v>
      </c>
      <c r="S10" s="8">
        <v>1</v>
      </c>
      <c r="T10" s="8">
        <v>40.59225</v>
      </c>
      <c r="V10" s="58">
        <v>8.5579889134503873E-3</v>
      </c>
      <c r="W10" s="8">
        <v>1</v>
      </c>
      <c r="X10" s="8">
        <v>41.78</v>
      </c>
    </row>
    <row r="11" spans="2:24" x14ac:dyDescent="0.35">
      <c r="J11" s="58">
        <v>9.6104995909662705E-4</v>
      </c>
      <c r="K11" s="8">
        <v>1</v>
      </c>
      <c r="L11" s="8">
        <v>14.7867</v>
      </c>
      <c r="M11" s="8"/>
      <c r="N11" s="58">
        <v>2.4006291517652606E-3</v>
      </c>
      <c r="O11" s="8">
        <v>1</v>
      </c>
      <c r="P11" s="8">
        <v>30</v>
      </c>
      <c r="R11" s="58">
        <v>2.8543755705650042E-3</v>
      </c>
      <c r="S11" s="8">
        <v>1</v>
      </c>
      <c r="T11" s="8">
        <v>15.956</v>
      </c>
      <c r="V11" s="58">
        <v>9.0513681464847728E-3</v>
      </c>
      <c r="W11" s="8">
        <v>1</v>
      </c>
      <c r="X11" s="8">
        <v>10.941700000000001</v>
      </c>
    </row>
    <row r="12" spans="2:24" x14ac:dyDescent="0.35">
      <c r="J12" s="58">
        <v>1.2331886793079949E-3</v>
      </c>
      <c r="K12" s="8">
        <v>1</v>
      </c>
      <c r="L12" s="8">
        <v>6</v>
      </c>
      <c r="M12" s="8"/>
      <c r="N12" s="58">
        <v>3.2883220489348108E-3</v>
      </c>
      <c r="O12" s="8">
        <v>1</v>
      </c>
      <c r="P12" s="8">
        <v>6</v>
      </c>
      <c r="R12" s="58">
        <v>2.9739089651910078E-3</v>
      </c>
      <c r="S12" s="8">
        <v>1</v>
      </c>
      <c r="T12" s="8">
        <v>8.9920000000000009</v>
      </c>
      <c r="V12" s="58">
        <v>1.1553595392548743E-2</v>
      </c>
      <c r="W12" s="8">
        <v>1</v>
      </c>
      <c r="X12" s="8">
        <v>11.785500000000001</v>
      </c>
    </row>
    <row r="13" spans="2:24" x14ac:dyDescent="0.35">
      <c r="B13" s="57" t="s">
        <v>783</v>
      </c>
      <c r="C13" s="59">
        <v>0</v>
      </c>
      <c r="J13" s="58">
        <v>1.5348639145729148E-3</v>
      </c>
      <c r="K13" s="8">
        <v>1</v>
      </c>
      <c r="L13" s="8">
        <v>1</v>
      </c>
      <c r="M13" s="8"/>
      <c r="N13" s="58">
        <v>4.0206608393469345E-3</v>
      </c>
      <c r="O13" s="8">
        <v>1</v>
      </c>
      <c r="P13" s="8">
        <v>1.9906900000000001</v>
      </c>
      <c r="R13" s="58">
        <v>3.0723252824105263E-3</v>
      </c>
      <c r="S13" s="8">
        <v>1</v>
      </c>
      <c r="T13" s="8">
        <v>11.0625</v>
      </c>
      <c r="V13" s="58">
        <v>1.2190923266410802E-2</v>
      </c>
      <c r="W13" s="8">
        <v>1</v>
      </c>
      <c r="X13" s="8">
        <v>21.002999999999997</v>
      </c>
    </row>
    <row r="14" spans="2:24" x14ac:dyDescent="0.35">
      <c r="J14" s="58">
        <v>2.1918542666863328E-3</v>
      </c>
      <c r="K14" s="8">
        <v>1</v>
      </c>
      <c r="L14" s="8">
        <v>1.5</v>
      </c>
      <c r="M14" s="8"/>
      <c r="N14" s="58">
        <v>4.3576180954415858E-3</v>
      </c>
      <c r="O14" s="8">
        <v>1</v>
      </c>
      <c r="P14" s="8">
        <v>17</v>
      </c>
      <c r="R14" s="58">
        <v>3.165859118178016E-3</v>
      </c>
      <c r="S14" s="8">
        <v>1</v>
      </c>
      <c r="T14" s="8">
        <v>41.78</v>
      </c>
      <c r="V14" s="58">
        <v>1.2443403559372346E-2</v>
      </c>
      <c r="W14" s="8">
        <v>1</v>
      </c>
      <c r="X14" s="8">
        <v>13.315799999999999</v>
      </c>
    </row>
    <row r="15" spans="2:24" x14ac:dyDescent="0.35">
      <c r="B15" t="s">
        <v>789</v>
      </c>
      <c r="C15" t="s">
        <v>800</v>
      </c>
      <c r="D15" t="s">
        <v>770</v>
      </c>
      <c r="J15" s="58">
        <v>3.0341799518824875E-3</v>
      </c>
      <c r="K15" s="8">
        <v>1</v>
      </c>
      <c r="L15" s="8">
        <v>8.2347699999999993</v>
      </c>
      <c r="M15" s="8"/>
      <c r="N15" s="58">
        <v>4.5399999999999998E-3</v>
      </c>
      <c r="O15" s="8">
        <v>1</v>
      </c>
      <c r="P15" s="8">
        <v>21.6</v>
      </c>
      <c r="R15" s="58">
        <v>6.4483573642899472E-3</v>
      </c>
      <c r="S15" s="8">
        <v>1</v>
      </c>
      <c r="T15" s="8">
        <v>11.826000000000001</v>
      </c>
      <c r="V15" s="58">
        <v>1.2449799526929706E-2</v>
      </c>
      <c r="W15" s="8">
        <v>1</v>
      </c>
      <c r="X15" s="8">
        <v>50.048999999999999</v>
      </c>
    </row>
    <row r="16" spans="2:24" x14ac:dyDescent="0.35">
      <c r="B16" s="8">
        <v>126</v>
      </c>
      <c r="C16" s="8">
        <v>2202.2946922460001</v>
      </c>
      <c r="D16" s="8">
        <v>1.5628103834276586E-2</v>
      </c>
      <c r="J16" s="58">
        <v>3.5893393102754967E-3</v>
      </c>
      <c r="K16" s="8">
        <v>1</v>
      </c>
      <c r="L16" s="8">
        <v>9</v>
      </c>
      <c r="M16" s="8"/>
      <c r="N16" s="58">
        <v>4.5577590836291355E-3</v>
      </c>
      <c r="O16" s="8">
        <v>1</v>
      </c>
      <c r="P16" s="8">
        <v>6</v>
      </c>
      <c r="R16" s="58">
        <v>6.5381578677621288E-3</v>
      </c>
      <c r="S16" s="8">
        <v>1</v>
      </c>
      <c r="T16" s="8">
        <v>16.1525</v>
      </c>
      <c r="V16" s="58">
        <v>1.3286814777627276E-2</v>
      </c>
      <c r="W16" s="8">
        <v>2</v>
      </c>
      <c r="X16" s="8">
        <v>81.981999999999999</v>
      </c>
    </row>
    <row r="17" spans="2:24" x14ac:dyDescent="0.35">
      <c r="J17" s="58">
        <v>4.1325287443632064E-3</v>
      </c>
      <c r="K17" s="8">
        <v>1</v>
      </c>
      <c r="L17" s="8">
        <v>15</v>
      </c>
      <c r="M17" s="8"/>
      <c r="N17" s="58">
        <v>4.8186262296113719E-3</v>
      </c>
      <c r="O17" s="8">
        <v>1</v>
      </c>
      <c r="P17" s="8">
        <v>17.25</v>
      </c>
      <c r="R17" s="58">
        <v>7.9904938668893255E-3</v>
      </c>
      <c r="S17" s="8">
        <v>1</v>
      </c>
      <c r="T17" s="8">
        <v>15.6585</v>
      </c>
      <c r="V17" s="58">
        <v>1.3518927037481143E-2</v>
      </c>
      <c r="W17" s="8">
        <v>1</v>
      </c>
      <c r="X17" s="8">
        <v>9.8354999999999997</v>
      </c>
    </row>
    <row r="18" spans="2:24" x14ac:dyDescent="0.35">
      <c r="B18" s="57" t="s">
        <v>783</v>
      </c>
      <c r="C18" s="59">
        <v>1</v>
      </c>
      <c r="J18" s="58">
        <v>4.1822530079089759E-3</v>
      </c>
      <c r="K18" s="8">
        <v>1</v>
      </c>
      <c r="L18" s="8">
        <v>3.7652299999999999</v>
      </c>
      <c r="M18" s="8"/>
      <c r="N18" s="58">
        <v>5.2837497010265371E-3</v>
      </c>
      <c r="O18" s="8">
        <v>1</v>
      </c>
      <c r="P18" s="8">
        <v>4</v>
      </c>
      <c r="R18" s="58">
        <v>8.3817677559336889E-3</v>
      </c>
      <c r="S18" s="8">
        <v>1</v>
      </c>
      <c r="T18" s="8">
        <v>24.228000000000002</v>
      </c>
      <c r="V18" s="58">
        <v>1.3810003622565459E-2</v>
      </c>
      <c r="W18" s="8">
        <v>1</v>
      </c>
      <c r="X18" s="8">
        <v>16.158999999999999</v>
      </c>
    </row>
    <row r="19" spans="2:24" x14ac:dyDescent="0.35">
      <c r="J19" s="58">
        <v>6.8613025290367169E-3</v>
      </c>
      <c r="K19" s="8">
        <v>2</v>
      </c>
      <c r="L19" s="8">
        <v>11.291359999999999</v>
      </c>
      <c r="M19" s="8"/>
      <c r="N19" s="58">
        <v>5.5261974590611537E-3</v>
      </c>
      <c r="O19" s="8">
        <v>1</v>
      </c>
      <c r="P19" s="8">
        <v>8</v>
      </c>
      <c r="R19" s="58">
        <v>8.7451265491358399E-3</v>
      </c>
      <c r="S19" s="8">
        <v>1</v>
      </c>
      <c r="T19" s="8">
        <v>37.620800000000003</v>
      </c>
      <c r="V19" s="58">
        <v>1.4190824862453599E-2</v>
      </c>
      <c r="W19" s="8">
        <v>1</v>
      </c>
      <c r="X19" s="8">
        <v>13.3116</v>
      </c>
    </row>
    <row r="20" spans="2:24" x14ac:dyDescent="0.35">
      <c r="B20" t="s">
        <v>789</v>
      </c>
      <c r="C20" t="s">
        <v>800</v>
      </c>
      <c r="D20" t="s">
        <v>770</v>
      </c>
      <c r="J20" s="58">
        <v>6.8807341954011392E-3</v>
      </c>
      <c r="K20" s="8">
        <v>1</v>
      </c>
      <c r="L20" s="8">
        <v>2.5881500000000002</v>
      </c>
      <c r="M20" s="8"/>
      <c r="N20" s="58">
        <v>5.7480659251790966E-3</v>
      </c>
      <c r="O20" s="8">
        <v>1</v>
      </c>
      <c r="P20" s="8">
        <v>10.075139999999999</v>
      </c>
      <c r="R20" s="58">
        <v>9.4556217395396214E-3</v>
      </c>
      <c r="S20" s="8">
        <v>1</v>
      </c>
      <c r="T20" s="8">
        <v>21.101600000000001</v>
      </c>
      <c r="V20" s="58">
        <v>1.4865820908918748E-2</v>
      </c>
      <c r="W20" s="8">
        <v>1</v>
      </c>
      <c r="X20" s="8">
        <v>4.8941999999999997</v>
      </c>
    </row>
    <row r="21" spans="2:24" x14ac:dyDescent="0.35">
      <c r="B21" s="8">
        <v>387</v>
      </c>
      <c r="C21" s="8">
        <v>4421.8877901730693</v>
      </c>
      <c r="D21" s="8">
        <v>2.4191355726774763E-2</v>
      </c>
      <c r="J21" s="58">
        <v>6.8999999999999999E-3</v>
      </c>
      <c r="K21" s="8">
        <v>1</v>
      </c>
      <c r="L21" s="8">
        <v>4.1081700000000003</v>
      </c>
      <c r="M21" s="8"/>
      <c r="N21" s="58">
        <v>5.908266142141877E-3</v>
      </c>
      <c r="O21" s="8">
        <v>1</v>
      </c>
      <c r="P21" s="8">
        <v>15</v>
      </c>
      <c r="R21" s="58">
        <v>9.7562734682465901E-3</v>
      </c>
      <c r="S21" s="8">
        <v>1</v>
      </c>
      <c r="T21" s="8">
        <v>30.303000000000001</v>
      </c>
      <c r="V21" s="58">
        <v>1.6201249241704074E-2</v>
      </c>
      <c r="W21" s="8">
        <v>1</v>
      </c>
      <c r="X21" s="8">
        <v>27.3155</v>
      </c>
    </row>
    <row r="22" spans="2:24" x14ac:dyDescent="0.35">
      <c r="J22" s="58">
        <v>7.2281627997561326E-3</v>
      </c>
      <c r="K22" s="8">
        <v>1</v>
      </c>
      <c r="L22" s="8">
        <v>3.0402499999999999</v>
      </c>
      <c r="M22" s="8"/>
      <c r="N22" s="58">
        <v>6.2185755510817398E-3</v>
      </c>
      <c r="O22" s="8">
        <v>1</v>
      </c>
      <c r="P22" s="8">
        <v>1.0093099999999999</v>
      </c>
      <c r="R22" s="58">
        <v>1.1766151987582685E-2</v>
      </c>
      <c r="S22" s="8">
        <v>1</v>
      </c>
      <c r="T22" s="8">
        <v>11.093500000000001</v>
      </c>
      <c r="V22" s="58">
        <v>1.6306716609078009E-2</v>
      </c>
      <c r="W22" s="8">
        <v>1</v>
      </c>
      <c r="X22" s="8">
        <v>16.797750000000001</v>
      </c>
    </row>
    <row r="23" spans="2:24" x14ac:dyDescent="0.35">
      <c r="J23" s="58">
        <v>7.5067311753969079E-3</v>
      </c>
      <c r="K23" s="8">
        <v>1</v>
      </c>
      <c r="L23" s="8">
        <v>7.84619</v>
      </c>
      <c r="M23" s="8"/>
      <c r="N23" s="58">
        <v>6.2943663344020183E-3</v>
      </c>
      <c r="O23" s="8">
        <v>1</v>
      </c>
      <c r="P23" s="8">
        <v>5</v>
      </c>
      <c r="R23" s="58">
        <v>1.2194609831299053E-2</v>
      </c>
      <c r="S23" s="8">
        <v>1</v>
      </c>
      <c r="T23" s="8">
        <v>31.295999999999999</v>
      </c>
      <c r="V23" s="58">
        <v>1.6699915905651563E-2</v>
      </c>
      <c r="W23" s="8">
        <v>1</v>
      </c>
      <c r="X23" s="8">
        <v>4.33</v>
      </c>
    </row>
    <row r="24" spans="2:24" x14ac:dyDescent="0.35">
      <c r="J24" s="58">
        <v>7.5205878770552292E-3</v>
      </c>
      <c r="K24" s="8">
        <v>1</v>
      </c>
      <c r="L24" s="8">
        <v>8</v>
      </c>
      <c r="M24" s="8"/>
      <c r="N24" s="58">
        <v>6.433802739494357E-3</v>
      </c>
      <c r="O24" s="8">
        <v>1</v>
      </c>
      <c r="P24" s="8">
        <v>8</v>
      </c>
      <c r="R24" s="58">
        <v>1.2773335320889867E-2</v>
      </c>
      <c r="S24" s="8">
        <v>1</v>
      </c>
      <c r="T24" s="8">
        <v>35.269500000000008</v>
      </c>
      <c r="V24" s="58">
        <v>1.7126975598439342E-2</v>
      </c>
      <c r="W24" s="8">
        <v>1</v>
      </c>
      <c r="X24" s="8">
        <v>39.959000000000003</v>
      </c>
    </row>
    <row r="25" spans="2:24" x14ac:dyDescent="0.35">
      <c r="J25" s="58">
        <v>7.6999024418418216E-3</v>
      </c>
      <c r="K25" s="8">
        <v>1</v>
      </c>
      <c r="L25" s="8">
        <v>5.5</v>
      </c>
      <c r="M25" s="8"/>
      <c r="N25" s="58">
        <v>6.6759137794922272E-3</v>
      </c>
      <c r="O25" s="8">
        <v>1</v>
      </c>
      <c r="P25" s="8">
        <v>33.46237</v>
      </c>
      <c r="R25" s="58">
        <v>1.3480780535695791E-2</v>
      </c>
      <c r="S25" s="8">
        <v>1</v>
      </c>
      <c r="T25" s="8">
        <v>21.1875</v>
      </c>
      <c r="V25" s="58">
        <v>1.7567539926467424E-2</v>
      </c>
      <c r="W25" s="8">
        <v>1</v>
      </c>
      <c r="X25" s="8">
        <v>35.600549999999998</v>
      </c>
    </row>
    <row r="26" spans="2:24" x14ac:dyDescent="0.35">
      <c r="J26" s="58">
        <v>8.0000000000000002E-3</v>
      </c>
      <c r="K26" s="8">
        <v>1</v>
      </c>
      <c r="L26" s="8">
        <v>0.72</v>
      </c>
      <c r="M26" s="8"/>
      <c r="N26" s="58">
        <v>6.9999999999999993E-3</v>
      </c>
      <c r="O26" s="8">
        <v>1</v>
      </c>
      <c r="P26" s="8">
        <v>11</v>
      </c>
      <c r="R26" s="58">
        <v>1.3981539578857394E-2</v>
      </c>
      <c r="S26" s="8">
        <v>1</v>
      </c>
      <c r="T26" s="8">
        <v>9.5715000000000003</v>
      </c>
      <c r="V26" s="58">
        <v>1.7587056110925259E-2</v>
      </c>
      <c r="W26" s="8">
        <v>1</v>
      </c>
      <c r="X26" s="8">
        <v>15.184049999999999</v>
      </c>
    </row>
    <row r="27" spans="2:24" x14ac:dyDescent="0.35">
      <c r="J27" s="58">
        <v>8.4341361251929481E-3</v>
      </c>
      <c r="K27" s="8">
        <v>1</v>
      </c>
      <c r="L27" s="8">
        <v>9.1638099999999998</v>
      </c>
      <c r="M27" s="8"/>
      <c r="N27" s="58">
        <v>7.4150203878619323E-3</v>
      </c>
      <c r="O27" s="8">
        <v>1</v>
      </c>
      <c r="P27" s="8">
        <v>14</v>
      </c>
      <c r="R27" s="58">
        <v>1.4076687668435506E-2</v>
      </c>
      <c r="S27" s="8">
        <v>2</v>
      </c>
      <c r="T27" s="8">
        <v>18.117750000000001</v>
      </c>
      <c r="V27" s="58">
        <v>1.7976200985041269E-2</v>
      </c>
      <c r="W27" s="8">
        <v>1</v>
      </c>
      <c r="X27" s="8">
        <v>32.533999999999999</v>
      </c>
    </row>
    <row r="28" spans="2:24" x14ac:dyDescent="0.35">
      <c r="J28" s="58">
        <v>8.4788981808620427E-3</v>
      </c>
      <c r="K28" s="8">
        <v>1</v>
      </c>
      <c r="L28" s="8">
        <v>2</v>
      </c>
      <c r="M28" s="8"/>
      <c r="N28" s="58">
        <v>7.4582735496095606E-3</v>
      </c>
      <c r="O28" s="8">
        <v>1</v>
      </c>
      <c r="P28" s="8">
        <v>46</v>
      </c>
      <c r="R28" s="58">
        <v>1.4423597626045614E-2</v>
      </c>
      <c r="S28" s="8">
        <v>1</v>
      </c>
      <c r="T28" s="8">
        <v>14.837999999999999</v>
      </c>
      <c r="V28" s="58">
        <v>1.803324538990414E-2</v>
      </c>
      <c r="W28" s="8">
        <v>1</v>
      </c>
      <c r="X28" s="8">
        <v>80.213999999999999</v>
      </c>
    </row>
    <row r="29" spans="2:24" x14ac:dyDescent="0.35">
      <c r="J29" s="58">
        <v>8.5000000000000006E-3</v>
      </c>
      <c r="K29" s="8">
        <v>1</v>
      </c>
      <c r="L29" s="8">
        <v>5</v>
      </c>
      <c r="M29" s="8"/>
      <c r="N29" s="58">
        <v>7.4999999999999997E-3</v>
      </c>
      <c r="O29" s="8">
        <v>4</v>
      </c>
      <c r="P29" s="8">
        <v>26.387999999999998</v>
      </c>
      <c r="R29" s="58">
        <v>1.5244251038439627E-2</v>
      </c>
      <c r="S29" s="8">
        <v>1</v>
      </c>
      <c r="T29" s="8">
        <v>59.67</v>
      </c>
      <c r="V29" s="58">
        <v>1.805013833392799E-2</v>
      </c>
      <c r="W29" s="8">
        <v>1</v>
      </c>
      <c r="X29" s="8">
        <v>23.792999999999999</v>
      </c>
    </row>
    <row r="30" spans="2:24" x14ac:dyDescent="0.35">
      <c r="J30" s="58">
        <v>8.8213961141190914E-3</v>
      </c>
      <c r="K30" s="8">
        <v>1</v>
      </c>
      <c r="L30" s="8">
        <v>3.8904000000000001</v>
      </c>
      <c r="M30" s="8"/>
      <c r="N30" s="58">
        <v>7.5441064164305741E-3</v>
      </c>
      <c r="O30" s="8">
        <v>1</v>
      </c>
      <c r="P30" s="8">
        <v>1.8</v>
      </c>
      <c r="R30" s="58">
        <v>1.5655636247780658E-2</v>
      </c>
      <c r="S30" s="8">
        <v>1</v>
      </c>
      <c r="T30" s="8">
        <v>12.042</v>
      </c>
      <c r="V30" s="58">
        <v>1.8243284135623039E-2</v>
      </c>
      <c r="W30" s="8">
        <v>1</v>
      </c>
      <c r="X30" s="8">
        <v>15.670500000000001</v>
      </c>
    </row>
    <row r="31" spans="2:24" x14ac:dyDescent="0.35">
      <c r="J31" s="58">
        <v>9.2460075600163446E-3</v>
      </c>
      <c r="K31" s="8">
        <v>1</v>
      </c>
      <c r="L31" s="8">
        <v>2</v>
      </c>
      <c r="M31" s="8"/>
      <c r="N31" s="58">
        <v>7.9000000000000008E-3</v>
      </c>
      <c r="O31" s="8">
        <v>1</v>
      </c>
      <c r="P31" s="8">
        <v>10</v>
      </c>
      <c r="R31" s="58">
        <v>1.5981106764594299E-2</v>
      </c>
      <c r="S31" s="8">
        <v>1</v>
      </c>
      <c r="T31" s="8">
        <v>120.037481916</v>
      </c>
      <c r="V31" s="58">
        <v>1.8362899748158856E-2</v>
      </c>
      <c r="W31" s="8">
        <v>1</v>
      </c>
      <c r="X31" s="8">
        <v>16.9145</v>
      </c>
    </row>
    <row r="32" spans="2:24" x14ac:dyDescent="0.35">
      <c r="J32" s="58">
        <v>9.5028440230666006E-3</v>
      </c>
      <c r="K32" s="8">
        <v>1</v>
      </c>
      <c r="L32" s="8">
        <v>4</v>
      </c>
      <c r="M32" s="8"/>
      <c r="N32" s="58">
        <v>8.0000000000000002E-3</v>
      </c>
      <c r="O32" s="8">
        <v>1</v>
      </c>
      <c r="P32" s="8">
        <v>0.7</v>
      </c>
      <c r="R32" s="58">
        <v>1.6374834684147466E-2</v>
      </c>
      <c r="S32" s="8">
        <v>1</v>
      </c>
      <c r="T32" s="8">
        <v>58.782499999999999</v>
      </c>
      <c r="V32" s="58">
        <v>1.8719447467970385E-2</v>
      </c>
      <c r="W32" s="8">
        <v>1</v>
      </c>
      <c r="X32" s="8">
        <v>11.5101</v>
      </c>
    </row>
    <row r="33" spans="10:24" x14ac:dyDescent="0.35">
      <c r="J33" s="58">
        <v>9.9579739307182093E-3</v>
      </c>
      <c r="K33" s="8">
        <v>1</v>
      </c>
      <c r="L33" s="8">
        <v>2</v>
      </c>
      <c r="M33" s="8"/>
      <c r="N33" s="58">
        <v>8.1521380967564117E-3</v>
      </c>
      <c r="O33" s="8">
        <v>1</v>
      </c>
      <c r="P33" s="8">
        <v>10.955080000000001</v>
      </c>
      <c r="R33" s="58">
        <v>1.6377653273914383E-2</v>
      </c>
      <c r="S33" s="8">
        <v>1</v>
      </c>
      <c r="T33" s="8">
        <v>6.2275999999999998</v>
      </c>
      <c r="V33" s="58">
        <v>1.8972618106170458E-2</v>
      </c>
      <c r="W33" s="8">
        <v>1</v>
      </c>
      <c r="X33" s="8">
        <v>5.1842499999999996</v>
      </c>
    </row>
    <row r="34" spans="10:24" x14ac:dyDescent="0.35">
      <c r="J34" s="58">
        <v>9.9580365641116497E-3</v>
      </c>
      <c r="K34" s="8">
        <v>1</v>
      </c>
      <c r="L34" s="8">
        <v>15</v>
      </c>
      <c r="M34" s="8"/>
      <c r="N34" s="58">
        <v>8.52775741801645E-3</v>
      </c>
      <c r="O34" s="8">
        <v>1</v>
      </c>
      <c r="P34" s="8">
        <v>8</v>
      </c>
      <c r="R34" s="58">
        <v>1.8023954684549093E-2</v>
      </c>
      <c r="S34" s="8">
        <v>1</v>
      </c>
      <c r="T34" s="8">
        <v>63.448</v>
      </c>
      <c r="V34" s="58">
        <v>1.9129053004034224E-2</v>
      </c>
      <c r="W34" s="8">
        <v>1</v>
      </c>
      <c r="X34" s="8">
        <v>16.438500000000001</v>
      </c>
    </row>
    <row r="35" spans="10:24" x14ac:dyDescent="0.35">
      <c r="J35" s="58">
        <v>1.0185622550690443E-2</v>
      </c>
      <c r="K35" s="8">
        <v>1</v>
      </c>
      <c r="L35" s="8">
        <v>5.7644799999999998</v>
      </c>
      <c r="M35" s="8"/>
      <c r="N35" s="58">
        <v>8.7377622129751632E-3</v>
      </c>
      <c r="O35" s="8">
        <v>2</v>
      </c>
      <c r="P35" s="8">
        <v>4.5</v>
      </c>
      <c r="R35" s="58">
        <v>1.8277996246921946E-2</v>
      </c>
      <c r="S35" s="8">
        <v>1</v>
      </c>
      <c r="T35" s="8">
        <v>18.979399999999998</v>
      </c>
      <c r="V35" s="58">
        <v>1.958697356956085E-2</v>
      </c>
      <c r="W35" s="8">
        <v>1</v>
      </c>
      <c r="X35" s="8">
        <v>39.733499999999992</v>
      </c>
    </row>
    <row r="36" spans="10:24" x14ac:dyDescent="0.35">
      <c r="J36" s="58">
        <v>1.0354764919061399E-2</v>
      </c>
      <c r="K36" s="8">
        <v>1</v>
      </c>
      <c r="L36" s="8">
        <v>4.2355200000000002</v>
      </c>
      <c r="M36" s="8"/>
      <c r="N36" s="58">
        <v>8.79967786004659E-3</v>
      </c>
      <c r="O36" s="8">
        <v>1</v>
      </c>
      <c r="P36" s="8">
        <v>4.5</v>
      </c>
      <c r="R36" s="58">
        <v>1.8286108583573712E-2</v>
      </c>
      <c r="S36" s="8">
        <v>1</v>
      </c>
      <c r="T36" s="8">
        <v>42.818750000000001</v>
      </c>
      <c r="V36" s="58">
        <v>2.0409370729472132E-2</v>
      </c>
      <c r="W36" s="8">
        <v>1</v>
      </c>
      <c r="X36" s="8">
        <v>19.215</v>
      </c>
    </row>
    <row r="37" spans="10:24" x14ac:dyDescent="0.35">
      <c r="J37" s="58">
        <v>1.081201627685595E-2</v>
      </c>
      <c r="K37" s="8">
        <v>1</v>
      </c>
      <c r="L37" s="8">
        <v>3.0831</v>
      </c>
      <c r="M37" s="8"/>
      <c r="N37" s="58">
        <v>8.8398325053484772E-3</v>
      </c>
      <c r="O37" s="8">
        <v>1</v>
      </c>
      <c r="P37" s="8">
        <v>2</v>
      </c>
      <c r="R37" s="58">
        <v>1.9452624262604967E-2</v>
      </c>
      <c r="S37" s="8">
        <v>1</v>
      </c>
      <c r="T37" s="8">
        <v>10.087999999999999</v>
      </c>
      <c r="V37" s="58">
        <v>2.0530424709657602E-2</v>
      </c>
      <c r="W37" s="8">
        <v>1</v>
      </c>
      <c r="X37" s="8">
        <v>12.672800000000001</v>
      </c>
    </row>
    <row r="38" spans="10:24" x14ac:dyDescent="0.35">
      <c r="J38" s="58">
        <v>1.1077013807165486E-2</v>
      </c>
      <c r="K38" s="8">
        <v>1</v>
      </c>
      <c r="L38" s="8">
        <v>2.5</v>
      </c>
      <c r="M38" s="8"/>
      <c r="N38" s="58">
        <v>8.8999999999999999E-3</v>
      </c>
      <c r="O38" s="8">
        <v>1</v>
      </c>
      <c r="P38" s="8">
        <v>1.05975</v>
      </c>
      <c r="R38" s="58">
        <v>2.033447348682027E-2</v>
      </c>
      <c r="S38" s="8">
        <v>1</v>
      </c>
      <c r="T38" s="8">
        <v>31.78125</v>
      </c>
      <c r="V38" s="58">
        <v>2.11059573457959E-2</v>
      </c>
      <c r="W38" s="8">
        <v>1</v>
      </c>
      <c r="X38" s="8">
        <v>31.286249999999999</v>
      </c>
    </row>
    <row r="39" spans="10:24" x14ac:dyDescent="0.35">
      <c r="J39" s="58">
        <v>1.142545649491189E-2</v>
      </c>
      <c r="K39" s="8">
        <v>2</v>
      </c>
      <c r="L39" s="8">
        <v>5</v>
      </c>
      <c r="M39" s="8"/>
      <c r="N39" s="58">
        <v>9.0000000000000011E-3</v>
      </c>
      <c r="O39" s="8">
        <v>2</v>
      </c>
      <c r="P39" s="8">
        <v>6.125</v>
      </c>
      <c r="R39" s="58">
        <v>2.0824236100700722E-2</v>
      </c>
      <c r="S39" s="8">
        <v>1</v>
      </c>
      <c r="T39" s="8">
        <v>19.36</v>
      </c>
      <c r="V39" s="58">
        <v>2.1179202871856706E-2</v>
      </c>
      <c r="W39" s="8">
        <v>1</v>
      </c>
      <c r="X39" s="8">
        <v>26.388500000000001</v>
      </c>
    </row>
    <row r="40" spans="10:24" x14ac:dyDescent="0.35">
      <c r="J40" s="58">
        <v>1.1940699254376463E-2</v>
      </c>
      <c r="K40" s="8">
        <v>1</v>
      </c>
      <c r="L40" s="8">
        <v>4</v>
      </c>
      <c r="M40" s="8"/>
      <c r="N40" s="58">
        <v>9.0285496807668147E-3</v>
      </c>
      <c r="O40" s="8">
        <v>1</v>
      </c>
      <c r="P40" s="8">
        <v>8</v>
      </c>
      <c r="R40" s="58">
        <v>2.3698309243131543E-2</v>
      </c>
      <c r="S40" s="8">
        <v>1</v>
      </c>
      <c r="T40" s="8">
        <v>168.58660144599997</v>
      </c>
      <c r="V40" s="58">
        <v>2.143565323755614E-2</v>
      </c>
      <c r="W40" s="8">
        <v>1</v>
      </c>
      <c r="X40" s="8">
        <v>55.468000000000004</v>
      </c>
    </row>
    <row r="41" spans="10:24" x14ac:dyDescent="0.35">
      <c r="J41" s="58">
        <v>1.2010042098670064E-2</v>
      </c>
      <c r="K41" s="8">
        <v>1</v>
      </c>
      <c r="L41" s="8">
        <v>1.5</v>
      </c>
      <c r="M41" s="8"/>
      <c r="N41" s="58">
        <v>9.3999999999999986E-3</v>
      </c>
      <c r="O41" s="8">
        <v>2</v>
      </c>
      <c r="P41" s="8">
        <v>7.4</v>
      </c>
      <c r="R41" s="58">
        <v>2.3777894020265089E-2</v>
      </c>
      <c r="S41" s="8">
        <v>1</v>
      </c>
      <c r="T41" s="8">
        <v>64.188000000000002</v>
      </c>
      <c r="V41" s="58">
        <v>2.1628928786174617E-2</v>
      </c>
      <c r="W41" s="8">
        <v>1</v>
      </c>
      <c r="X41" s="8">
        <v>64.188000000000002</v>
      </c>
    </row>
    <row r="42" spans="10:24" x14ac:dyDescent="0.35">
      <c r="J42" s="58">
        <v>1.2125318250302497E-2</v>
      </c>
      <c r="K42" s="8">
        <v>1</v>
      </c>
      <c r="L42" s="8">
        <v>7</v>
      </c>
      <c r="M42" s="8"/>
      <c r="N42" s="58">
        <v>9.4818592281103488E-3</v>
      </c>
      <c r="O42" s="8">
        <v>1</v>
      </c>
      <c r="P42" s="8">
        <v>2</v>
      </c>
      <c r="R42" s="58">
        <v>2.5517885094564541E-2</v>
      </c>
      <c r="S42" s="8">
        <v>1</v>
      </c>
      <c r="T42" s="8">
        <v>35.573999999999998</v>
      </c>
      <c r="V42" s="58">
        <v>2.1758156496881842E-2</v>
      </c>
      <c r="W42" s="8">
        <v>1</v>
      </c>
      <c r="X42" s="8">
        <v>54.081000000000003</v>
      </c>
    </row>
    <row r="43" spans="10:24" x14ac:dyDescent="0.35">
      <c r="J43" s="58">
        <v>1.2509766887391249E-2</v>
      </c>
      <c r="K43" s="8">
        <v>1</v>
      </c>
      <c r="L43" s="8">
        <v>1</v>
      </c>
      <c r="M43" s="8"/>
      <c r="N43" s="58">
        <v>9.4999999999999998E-3</v>
      </c>
      <c r="O43" s="8">
        <v>1</v>
      </c>
      <c r="P43" s="8">
        <v>1.1120000000000001</v>
      </c>
      <c r="R43" s="58">
        <v>2.5937831332745409E-2</v>
      </c>
      <c r="S43" s="8">
        <v>1</v>
      </c>
      <c r="T43" s="8">
        <v>30.288</v>
      </c>
      <c r="V43" s="58">
        <v>2.2161454320951623E-2</v>
      </c>
      <c r="W43" s="8">
        <v>1</v>
      </c>
      <c r="X43" s="8">
        <v>27.55125</v>
      </c>
    </row>
    <row r="44" spans="10:24" x14ac:dyDescent="0.35">
      <c r="J44" s="58">
        <v>1.270252601352384E-2</v>
      </c>
      <c r="K44" s="8">
        <v>1</v>
      </c>
      <c r="L44" s="8">
        <v>2.8</v>
      </c>
      <c r="M44" s="8"/>
      <c r="N44" s="58">
        <v>9.5540485226726091E-3</v>
      </c>
      <c r="O44" s="8">
        <v>1</v>
      </c>
      <c r="P44" s="8">
        <v>6.7</v>
      </c>
      <c r="R44" s="58">
        <v>2.9568365235058458E-2</v>
      </c>
      <c r="S44" s="8">
        <v>1</v>
      </c>
      <c r="T44" s="8">
        <v>16.712</v>
      </c>
      <c r="V44" s="58">
        <v>2.2628024356858401E-2</v>
      </c>
      <c r="W44" s="8">
        <v>1</v>
      </c>
      <c r="X44" s="8">
        <v>6.3687158999999998</v>
      </c>
    </row>
    <row r="45" spans="10:24" x14ac:dyDescent="0.35">
      <c r="J45" s="58">
        <v>1.3000000000000001E-2</v>
      </c>
      <c r="K45" s="8">
        <v>1</v>
      </c>
      <c r="L45" s="8">
        <v>7.5</v>
      </c>
      <c r="M45" s="8"/>
      <c r="N45" s="58">
        <v>9.7810905659582829E-3</v>
      </c>
      <c r="O45" s="8">
        <v>1</v>
      </c>
      <c r="P45" s="8">
        <v>1.5</v>
      </c>
      <c r="R45" s="58">
        <v>3.0551174246535862E-2</v>
      </c>
      <c r="S45" s="8">
        <v>1</v>
      </c>
      <c r="T45" s="8">
        <v>12.05925</v>
      </c>
      <c r="V45" s="58">
        <v>2.3432653155916805E-2</v>
      </c>
      <c r="W45" s="8">
        <v>1</v>
      </c>
      <c r="X45" s="8">
        <v>19.1784</v>
      </c>
    </row>
    <row r="46" spans="10:24" x14ac:dyDescent="0.35">
      <c r="J46" s="58">
        <v>1.3189020710146215E-2</v>
      </c>
      <c r="K46" s="8">
        <v>1</v>
      </c>
      <c r="L46" s="8">
        <v>3.0265</v>
      </c>
      <c r="M46" s="8"/>
      <c r="N46" s="58">
        <v>9.840006657273942E-3</v>
      </c>
      <c r="O46" s="8">
        <v>1</v>
      </c>
      <c r="P46" s="8">
        <v>4.3</v>
      </c>
      <c r="R46" s="58">
        <v>3.3065159368694585E-2</v>
      </c>
      <c r="S46" s="8">
        <v>1</v>
      </c>
      <c r="T46" s="8">
        <v>186.32441408400001</v>
      </c>
      <c r="V46" s="58">
        <v>2.3966635794522739E-2</v>
      </c>
      <c r="W46" s="8">
        <v>1</v>
      </c>
      <c r="X46" s="8">
        <v>3.4432</v>
      </c>
    </row>
    <row r="47" spans="10:24" x14ac:dyDescent="0.35">
      <c r="J47" s="58">
        <v>1.3999999999999999E-2</v>
      </c>
      <c r="K47" s="8">
        <v>1</v>
      </c>
      <c r="L47" s="8">
        <v>7.7272999999999996</v>
      </c>
      <c r="M47" s="8"/>
      <c r="N47" s="58">
        <v>0.01</v>
      </c>
      <c r="O47" s="8">
        <v>3</v>
      </c>
      <c r="P47" s="8">
        <v>36</v>
      </c>
      <c r="R47" s="58">
        <v>3.4199026263797672E-2</v>
      </c>
      <c r="S47" s="8">
        <v>1</v>
      </c>
      <c r="T47" s="8">
        <v>29.835000000000001</v>
      </c>
      <c r="V47" s="58">
        <v>2.424881051711214E-2</v>
      </c>
      <c r="W47" s="8">
        <v>1</v>
      </c>
      <c r="X47" s="8">
        <v>82.129499999999993</v>
      </c>
    </row>
    <row r="48" spans="10:24" x14ac:dyDescent="0.35">
      <c r="J48" s="58">
        <v>1.4475248313748024E-2</v>
      </c>
      <c r="K48" s="8">
        <v>1</v>
      </c>
      <c r="L48" s="8">
        <v>0.27250000000000002</v>
      </c>
      <c r="M48" s="8"/>
      <c r="N48" s="58">
        <v>1.0154394942621438E-2</v>
      </c>
      <c r="O48" s="8">
        <v>1</v>
      </c>
      <c r="P48" s="8">
        <v>2.54</v>
      </c>
      <c r="R48" s="58">
        <v>3.4371682858379105E-2</v>
      </c>
      <c r="S48" s="8">
        <v>1</v>
      </c>
      <c r="T48" s="8">
        <v>62.394500000000001</v>
      </c>
      <c r="V48" s="58">
        <v>2.5288359312976905E-2</v>
      </c>
      <c r="W48" s="8">
        <v>1</v>
      </c>
      <c r="X48" s="8">
        <v>20.7056</v>
      </c>
    </row>
    <row r="49" spans="10:24" x14ac:dyDescent="0.35">
      <c r="J49" s="58">
        <v>1.5342850392917606E-2</v>
      </c>
      <c r="K49" s="8">
        <v>1</v>
      </c>
      <c r="L49" s="8">
        <v>5.4</v>
      </c>
      <c r="M49" s="8"/>
      <c r="N49" s="58">
        <v>1.0180001104728262E-2</v>
      </c>
      <c r="O49" s="8">
        <v>1</v>
      </c>
      <c r="P49" s="8">
        <v>1.7</v>
      </c>
      <c r="R49" s="58">
        <v>3.4534885764128553E-2</v>
      </c>
      <c r="S49" s="8">
        <v>1</v>
      </c>
      <c r="T49" s="8">
        <v>6.2275999999999998</v>
      </c>
      <c r="V49" s="58">
        <v>2.6064604795942081E-2</v>
      </c>
      <c r="W49" s="8">
        <v>1</v>
      </c>
      <c r="X49" s="8">
        <v>43.039749999999998</v>
      </c>
    </row>
    <row r="50" spans="10:24" x14ac:dyDescent="0.35">
      <c r="J50" s="58">
        <v>1.6E-2</v>
      </c>
      <c r="K50" s="8">
        <v>1</v>
      </c>
      <c r="L50" s="8">
        <v>9.7274999999999991</v>
      </c>
      <c r="M50" s="8"/>
      <c r="N50" s="58">
        <v>1.0200000000000001E-2</v>
      </c>
      <c r="O50" s="8">
        <v>1</v>
      </c>
      <c r="P50" s="8">
        <v>14</v>
      </c>
      <c r="R50" s="58">
        <v>3.5403578924644963E-2</v>
      </c>
      <c r="S50" s="8">
        <v>1</v>
      </c>
      <c r="T50" s="8">
        <v>18.770150000000001</v>
      </c>
      <c r="V50" s="58">
        <v>2.6399463532976508E-2</v>
      </c>
      <c r="W50" s="8">
        <v>1</v>
      </c>
      <c r="X50" s="8">
        <v>23.71725</v>
      </c>
    </row>
    <row r="51" spans="10:24" x14ac:dyDescent="0.35">
      <c r="J51" s="58">
        <v>1.609587357932396E-2</v>
      </c>
      <c r="K51" s="8">
        <v>1</v>
      </c>
      <c r="L51" s="8">
        <v>3.05</v>
      </c>
      <c r="M51" s="8"/>
      <c r="N51" s="58">
        <v>1.03E-2</v>
      </c>
      <c r="O51" s="8">
        <v>1</v>
      </c>
      <c r="P51" s="8">
        <v>3</v>
      </c>
      <c r="R51" s="58">
        <v>3.544129370823601E-2</v>
      </c>
      <c r="S51" s="8">
        <v>1</v>
      </c>
      <c r="T51" s="8">
        <v>23.513000000000002</v>
      </c>
      <c r="V51" s="58">
        <v>2.7610563309885761E-2</v>
      </c>
      <c r="W51" s="8">
        <v>1</v>
      </c>
      <c r="X51" s="8">
        <v>28.232250000000001</v>
      </c>
    </row>
    <row r="52" spans="10:24" x14ac:dyDescent="0.35">
      <c r="J52" s="58">
        <v>1.6500000000000001E-2</v>
      </c>
      <c r="K52" s="8">
        <v>1</v>
      </c>
      <c r="L52" s="8">
        <v>2.6349999999999998</v>
      </c>
      <c r="M52" s="8"/>
      <c r="N52" s="58">
        <v>1.087163456281659E-2</v>
      </c>
      <c r="O52" s="8">
        <v>1</v>
      </c>
      <c r="P52" s="8">
        <v>6.5367499999999996</v>
      </c>
      <c r="R52" s="58">
        <v>3.5874829767077676E-2</v>
      </c>
      <c r="S52" s="8">
        <v>1</v>
      </c>
      <c r="T52" s="8">
        <v>11.995200000000001</v>
      </c>
      <c r="V52" s="58">
        <v>2.7650555444061808E-2</v>
      </c>
      <c r="W52" s="8">
        <v>1</v>
      </c>
      <c r="X52" s="8">
        <v>27.015499999999999</v>
      </c>
    </row>
    <row r="53" spans="10:24" x14ac:dyDescent="0.35">
      <c r="J53" s="58">
        <v>1.7000000000000001E-2</v>
      </c>
      <c r="K53" s="8">
        <v>1</v>
      </c>
      <c r="L53" s="8">
        <v>14</v>
      </c>
      <c r="M53" s="8"/>
      <c r="N53" s="58">
        <v>1.09E-2</v>
      </c>
      <c r="O53" s="8">
        <v>1</v>
      </c>
      <c r="P53" s="8">
        <v>5</v>
      </c>
      <c r="R53" s="58">
        <v>3.8252856066533836E-2</v>
      </c>
      <c r="S53" s="8">
        <v>1</v>
      </c>
      <c r="T53" s="8">
        <v>12.14325</v>
      </c>
      <c r="V53" s="58">
        <v>2.7905437766002184E-2</v>
      </c>
      <c r="W53" s="8">
        <v>1</v>
      </c>
      <c r="X53" s="8">
        <v>9.3817500000000003</v>
      </c>
    </row>
    <row r="54" spans="10:24" x14ac:dyDescent="0.35">
      <c r="J54" s="58">
        <v>1.7500000000000002E-2</v>
      </c>
      <c r="K54" s="8">
        <v>1</v>
      </c>
      <c r="L54" s="8">
        <v>18.2727</v>
      </c>
      <c r="M54" s="8"/>
      <c r="N54" s="58">
        <v>1.0989691938876599E-2</v>
      </c>
      <c r="O54" s="8">
        <v>1</v>
      </c>
      <c r="P54" s="8">
        <v>4</v>
      </c>
      <c r="R54" s="58">
        <v>3.8369561739408864E-2</v>
      </c>
      <c r="S54" s="8">
        <v>1</v>
      </c>
      <c r="T54" s="8">
        <v>84.950999999999993</v>
      </c>
      <c r="V54" s="58">
        <v>3.0164443942955366E-2</v>
      </c>
      <c r="W54" s="8">
        <v>1</v>
      </c>
      <c r="X54" s="8">
        <v>21.250800000000002</v>
      </c>
    </row>
    <row r="55" spans="10:24" x14ac:dyDescent="0.35">
      <c r="J55" s="58">
        <v>1.8000000000000002E-2</v>
      </c>
      <c r="K55" s="8">
        <v>2</v>
      </c>
      <c r="L55" s="8">
        <v>13.524290000000001</v>
      </c>
      <c r="M55" s="8"/>
      <c r="N55" s="58">
        <v>1.1199780455757058E-2</v>
      </c>
      <c r="O55" s="8">
        <v>1</v>
      </c>
      <c r="P55" s="8">
        <v>8</v>
      </c>
      <c r="R55" s="58">
        <v>5.3772411338334658E-2</v>
      </c>
      <c r="S55" s="8">
        <v>1</v>
      </c>
      <c r="T55" s="8">
        <v>61.518784799999999</v>
      </c>
      <c r="V55" s="58">
        <v>3.0171006128791644E-2</v>
      </c>
      <c r="W55" s="8">
        <v>1</v>
      </c>
      <c r="X55" s="8">
        <v>27.599499999999999</v>
      </c>
    </row>
    <row r="56" spans="10:24" x14ac:dyDescent="0.35">
      <c r="J56" s="58">
        <v>1.8500000000000003E-2</v>
      </c>
      <c r="K56" s="8">
        <v>1</v>
      </c>
      <c r="L56" s="8">
        <v>1</v>
      </c>
      <c r="M56" s="8"/>
      <c r="N56" s="58">
        <v>1.15E-2</v>
      </c>
      <c r="O56" s="8">
        <v>5</v>
      </c>
      <c r="P56" s="8">
        <v>45.274799999999999</v>
      </c>
      <c r="R56" s="58" t="s">
        <v>768</v>
      </c>
      <c r="S56" s="8">
        <v>51</v>
      </c>
      <c r="T56" s="8">
        <v>1762.9966322460007</v>
      </c>
      <c r="V56" s="58">
        <v>3.0281665583921757E-2</v>
      </c>
      <c r="W56" s="8">
        <v>1</v>
      </c>
      <c r="X56" s="8">
        <v>30.188400000000001</v>
      </c>
    </row>
    <row r="57" spans="10:24" x14ac:dyDescent="0.35">
      <c r="J57" s="58">
        <v>1.8882530055031443E-2</v>
      </c>
      <c r="K57" s="8">
        <v>1</v>
      </c>
      <c r="L57" s="8">
        <v>1.6517500000000001</v>
      </c>
      <c r="N57" s="58">
        <v>1.18E-2</v>
      </c>
      <c r="O57" s="8">
        <v>1</v>
      </c>
      <c r="P57" s="8">
        <v>4.25</v>
      </c>
      <c r="V57" s="58">
        <v>3.0748646073593067E-2</v>
      </c>
      <c r="W57" s="8">
        <v>1</v>
      </c>
      <c r="X57" s="8">
        <v>20.884399999999999</v>
      </c>
    </row>
    <row r="58" spans="10:24" x14ac:dyDescent="0.35">
      <c r="J58" s="58">
        <v>1.9299999999999998E-2</v>
      </c>
      <c r="K58" s="8">
        <v>1</v>
      </c>
      <c r="L58" s="8">
        <v>3</v>
      </c>
      <c r="N58" s="58">
        <v>1.1812850252158391E-2</v>
      </c>
      <c r="O58" s="8">
        <v>1</v>
      </c>
      <c r="P58" s="8">
        <v>2</v>
      </c>
      <c r="V58" s="58">
        <v>3.1304109926429291E-2</v>
      </c>
      <c r="W58" s="8">
        <v>1</v>
      </c>
      <c r="X58" s="8">
        <v>9.3222000000000005</v>
      </c>
    </row>
    <row r="59" spans="10:24" x14ac:dyDescent="0.35">
      <c r="J59" s="58">
        <v>1.95E-2</v>
      </c>
      <c r="K59" s="8">
        <v>1</v>
      </c>
      <c r="L59" s="8">
        <v>2.6850000000000001</v>
      </c>
      <c r="N59" s="58">
        <v>1.192847043520584E-2</v>
      </c>
      <c r="O59" s="8">
        <v>1</v>
      </c>
      <c r="P59" s="8">
        <v>0.66500000000000004</v>
      </c>
      <c r="V59" s="58">
        <v>3.1322493570187238E-2</v>
      </c>
      <c r="W59" s="8">
        <v>1</v>
      </c>
      <c r="X59" s="8">
        <v>4.8080999999999996</v>
      </c>
    </row>
    <row r="60" spans="10:24" x14ac:dyDescent="0.35">
      <c r="J60" s="58">
        <v>1.9798020773846181E-2</v>
      </c>
      <c r="K60" s="8">
        <v>1</v>
      </c>
      <c r="L60" s="8">
        <v>0.71750999999999998</v>
      </c>
      <c r="N60" s="58">
        <v>1.2E-2</v>
      </c>
      <c r="O60" s="8">
        <v>2</v>
      </c>
      <c r="P60" s="8">
        <v>17.5</v>
      </c>
      <c r="V60" s="58">
        <v>3.1506175639021139E-2</v>
      </c>
      <c r="W60" s="8">
        <v>1</v>
      </c>
      <c r="X60" s="8">
        <v>7.7694999999999999</v>
      </c>
    </row>
    <row r="61" spans="10:24" x14ac:dyDescent="0.35">
      <c r="J61" s="58">
        <v>0.02</v>
      </c>
      <c r="K61" s="8">
        <v>1</v>
      </c>
      <c r="L61" s="8">
        <v>2</v>
      </c>
      <c r="N61" s="58">
        <v>1.2301859665232232E-2</v>
      </c>
      <c r="O61" s="8">
        <v>1</v>
      </c>
      <c r="P61" s="8">
        <v>5</v>
      </c>
      <c r="V61" s="58">
        <v>3.1559344107938925E-2</v>
      </c>
      <c r="W61" s="8">
        <v>1</v>
      </c>
      <c r="X61" s="8">
        <v>26.832000000000001</v>
      </c>
    </row>
    <row r="62" spans="10:24" x14ac:dyDescent="0.35">
      <c r="J62" s="58">
        <v>2.1297387243117472E-2</v>
      </c>
      <c r="K62" s="8">
        <v>1</v>
      </c>
      <c r="L62" s="8">
        <v>1.6951799999999999</v>
      </c>
      <c r="N62" s="58">
        <v>1.2374478439314052E-2</v>
      </c>
      <c r="O62" s="8">
        <v>1</v>
      </c>
      <c r="P62" s="8">
        <v>16</v>
      </c>
      <c r="V62" s="58">
        <v>3.2106564280990568E-2</v>
      </c>
      <c r="W62" s="8">
        <v>1</v>
      </c>
      <c r="X62" s="8">
        <v>28.11225</v>
      </c>
    </row>
    <row r="63" spans="10:24" x14ac:dyDescent="0.35">
      <c r="J63" s="58">
        <v>2.2000000000000002E-2</v>
      </c>
      <c r="K63" s="8">
        <v>1</v>
      </c>
      <c r="L63" s="8">
        <v>0.62472000000000005</v>
      </c>
      <c r="N63" s="58">
        <v>1.2500000000000001E-2</v>
      </c>
      <c r="O63" s="8">
        <v>4</v>
      </c>
      <c r="P63" s="8">
        <v>39.729500000000002</v>
      </c>
      <c r="V63" s="58">
        <v>3.2445691227251272E-2</v>
      </c>
      <c r="W63" s="8">
        <v>1</v>
      </c>
      <c r="X63" s="8">
        <v>75.765000000000001</v>
      </c>
    </row>
    <row r="64" spans="10:24" x14ac:dyDescent="0.35">
      <c r="J64" s="58">
        <v>2.2092331408492878E-2</v>
      </c>
      <c r="K64" s="8">
        <v>1</v>
      </c>
      <c r="L64" s="8">
        <v>1.6307400000000001</v>
      </c>
      <c r="N64" s="58">
        <v>1.2548325769659373E-2</v>
      </c>
      <c r="O64" s="8">
        <v>1</v>
      </c>
      <c r="P64" s="8">
        <v>4</v>
      </c>
      <c r="V64" s="58">
        <v>3.2679352680916152E-2</v>
      </c>
      <c r="W64" s="8">
        <v>1</v>
      </c>
      <c r="X64" s="8">
        <v>25.419</v>
      </c>
    </row>
    <row r="65" spans="10:24" x14ac:dyDescent="0.35">
      <c r="J65" s="58">
        <v>2.2765255468301326E-2</v>
      </c>
      <c r="K65" s="8">
        <v>1</v>
      </c>
      <c r="L65" s="8">
        <v>1.8509899999999999</v>
      </c>
      <c r="N65" s="58">
        <v>1.29E-2</v>
      </c>
      <c r="O65" s="8">
        <v>1</v>
      </c>
      <c r="P65" s="8">
        <v>1.6</v>
      </c>
      <c r="V65" s="58">
        <v>3.2888592540073924E-2</v>
      </c>
      <c r="W65" s="8">
        <v>1</v>
      </c>
      <c r="X65" s="8">
        <v>15.771000000000001</v>
      </c>
    </row>
    <row r="66" spans="10:24" x14ac:dyDescent="0.35">
      <c r="J66" s="58">
        <v>2.6847053391805136E-2</v>
      </c>
      <c r="K66" s="8">
        <v>1</v>
      </c>
      <c r="L66" s="8">
        <v>0.27</v>
      </c>
      <c r="N66" s="58">
        <v>1.301109180961219E-2</v>
      </c>
      <c r="O66" s="8">
        <v>1</v>
      </c>
      <c r="P66" s="8">
        <v>1.546</v>
      </c>
      <c r="V66" s="58">
        <v>3.3068475659474794E-2</v>
      </c>
      <c r="W66" s="8">
        <v>1</v>
      </c>
      <c r="X66" s="8">
        <v>32.081000000000003</v>
      </c>
    </row>
    <row r="67" spans="10:24" x14ac:dyDescent="0.35">
      <c r="J67" s="58">
        <v>2.8576984540753747E-2</v>
      </c>
      <c r="K67" s="8">
        <v>1</v>
      </c>
      <c r="L67" s="8">
        <v>8</v>
      </c>
      <c r="N67" s="58">
        <v>1.3197724978515095E-2</v>
      </c>
      <c r="O67" s="8">
        <v>1</v>
      </c>
      <c r="P67" s="8">
        <v>10</v>
      </c>
      <c r="V67" s="58">
        <v>3.3568350216095499E-2</v>
      </c>
      <c r="W67" s="8">
        <v>1</v>
      </c>
      <c r="X67" s="8">
        <v>39.781999999999996</v>
      </c>
    </row>
    <row r="68" spans="10:24" x14ac:dyDescent="0.35">
      <c r="J68" s="58">
        <v>2.8884797597171996E-2</v>
      </c>
      <c r="K68" s="8">
        <v>1</v>
      </c>
      <c r="L68" s="8">
        <v>6</v>
      </c>
      <c r="N68" s="58">
        <v>1.3205942263497262E-2</v>
      </c>
      <c r="O68" s="8">
        <v>1</v>
      </c>
      <c r="P68" s="8">
        <v>0.95499999999999996</v>
      </c>
      <c r="V68" s="58">
        <v>3.3622968399086073E-2</v>
      </c>
      <c r="W68" s="8">
        <v>1</v>
      </c>
      <c r="X68" s="8">
        <v>21.34535</v>
      </c>
    </row>
    <row r="69" spans="10:24" x14ac:dyDescent="0.35">
      <c r="J69" s="58">
        <v>0.03</v>
      </c>
      <c r="K69" s="8">
        <v>2</v>
      </c>
      <c r="L69" s="8">
        <v>10</v>
      </c>
      <c r="N69" s="58">
        <v>1.3258711060067339E-2</v>
      </c>
      <c r="O69" s="8">
        <v>1</v>
      </c>
      <c r="P69" s="8">
        <v>2</v>
      </c>
      <c r="V69" s="58">
        <v>3.4508060670419782E-2</v>
      </c>
      <c r="W69" s="8">
        <v>1</v>
      </c>
      <c r="X69" s="8">
        <v>26.832000000000001</v>
      </c>
    </row>
    <row r="70" spans="10:24" x14ac:dyDescent="0.35">
      <c r="J70" s="58">
        <v>3.0695966659125551E-2</v>
      </c>
      <c r="K70" s="8">
        <v>1</v>
      </c>
      <c r="L70" s="8">
        <v>31</v>
      </c>
      <c r="N70" s="58">
        <v>1.3334596901974803E-2</v>
      </c>
      <c r="O70" s="8">
        <v>2</v>
      </c>
      <c r="P70" s="8">
        <v>5</v>
      </c>
      <c r="V70" s="58">
        <v>3.4909510387220566E-2</v>
      </c>
      <c r="W70" s="8">
        <v>1</v>
      </c>
      <c r="X70" s="8">
        <v>26.716999999999999</v>
      </c>
    </row>
    <row r="71" spans="10:24" x14ac:dyDescent="0.35">
      <c r="J71" s="58">
        <v>3.1475868118271078E-2</v>
      </c>
      <c r="K71" s="8">
        <v>1</v>
      </c>
      <c r="L71" s="8">
        <v>10</v>
      </c>
      <c r="N71" s="58">
        <v>1.3500000000000002E-2</v>
      </c>
      <c r="O71" s="8">
        <v>2</v>
      </c>
      <c r="P71" s="8">
        <v>7.125</v>
      </c>
      <c r="V71" s="58">
        <v>3.5294796357836722E-2</v>
      </c>
      <c r="W71" s="8">
        <v>1</v>
      </c>
      <c r="X71" s="8">
        <v>10.286574999999999</v>
      </c>
    </row>
    <row r="72" spans="10:24" x14ac:dyDescent="0.35">
      <c r="J72" s="58">
        <v>3.5000000000000003E-2</v>
      </c>
      <c r="K72" s="8">
        <v>1</v>
      </c>
      <c r="L72" s="8">
        <v>1</v>
      </c>
      <c r="N72" s="58">
        <v>1.3728575122936541E-2</v>
      </c>
      <c r="O72" s="8">
        <v>1</v>
      </c>
      <c r="P72" s="8">
        <v>3.5</v>
      </c>
      <c r="V72" s="58">
        <v>3.5467931354284499E-2</v>
      </c>
      <c r="W72" s="8">
        <v>1</v>
      </c>
      <c r="X72" s="8">
        <v>11.167999999999999</v>
      </c>
    </row>
    <row r="73" spans="10:24" x14ac:dyDescent="0.35">
      <c r="J73" s="58">
        <v>3.7302364716141012E-2</v>
      </c>
      <c r="K73" s="8">
        <v>1</v>
      </c>
      <c r="L73" s="8">
        <v>31</v>
      </c>
      <c r="N73" s="58">
        <v>1.3730194668303969E-2</v>
      </c>
      <c r="O73" s="8">
        <v>1</v>
      </c>
      <c r="P73" s="8">
        <v>0.45400000000000001</v>
      </c>
      <c r="V73" s="58">
        <v>3.5770224885680824E-2</v>
      </c>
      <c r="W73" s="8">
        <v>1</v>
      </c>
      <c r="X73" s="8">
        <v>18.75</v>
      </c>
    </row>
    <row r="74" spans="10:24" x14ac:dyDescent="0.35">
      <c r="J74" s="58">
        <v>3.752599291835601E-2</v>
      </c>
      <c r="K74" s="8">
        <v>1</v>
      </c>
      <c r="L74" s="8">
        <v>3</v>
      </c>
      <c r="N74" s="58">
        <v>1.3999999999999999E-2</v>
      </c>
      <c r="O74" s="8">
        <v>2</v>
      </c>
      <c r="P74" s="8">
        <v>9.8350000000000009</v>
      </c>
      <c r="V74" s="58">
        <v>3.6085786666145925E-2</v>
      </c>
      <c r="W74" s="8">
        <v>1</v>
      </c>
      <c r="X74" s="8">
        <v>30.050999999999998</v>
      </c>
    </row>
    <row r="75" spans="10:24" x14ac:dyDescent="0.35">
      <c r="J75" s="58">
        <v>3.9040698438589816E-2</v>
      </c>
      <c r="K75" s="8">
        <v>1</v>
      </c>
      <c r="L75" s="8">
        <v>5</v>
      </c>
      <c r="N75" s="58">
        <v>1.4098648233335002E-2</v>
      </c>
      <c r="O75" s="8">
        <v>1</v>
      </c>
      <c r="P75" s="8">
        <v>3</v>
      </c>
      <c r="V75" s="58">
        <v>3.6100445862176533E-2</v>
      </c>
      <c r="W75" s="8">
        <v>1</v>
      </c>
      <c r="X75" s="8">
        <v>75.952500000000015</v>
      </c>
    </row>
    <row r="76" spans="10:24" x14ac:dyDescent="0.35">
      <c r="J76" s="58">
        <v>0.04</v>
      </c>
      <c r="K76" s="8">
        <v>1</v>
      </c>
      <c r="L76" s="8">
        <v>1</v>
      </c>
      <c r="N76" s="58">
        <v>1.41124262469337E-2</v>
      </c>
      <c r="O76" s="8">
        <v>1</v>
      </c>
      <c r="P76" s="8">
        <v>2</v>
      </c>
      <c r="V76" s="58">
        <v>3.6943968404894223E-2</v>
      </c>
      <c r="W76" s="8">
        <v>1</v>
      </c>
      <c r="X76" s="8">
        <v>33.141874999999999</v>
      </c>
    </row>
    <row r="77" spans="10:24" x14ac:dyDescent="0.35">
      <c r="J77" s="58" t="s">
        <v>768</v>
      </c>
      <c r="K77" s="8">
        <v>75</v>
      </c>
      <c r="L77" s="8">
        <v>439.29806000000008</v>
      </c>
      <c r="N77" s="58">
        <v>1.4115161866876289E-2</v>
      </c>
      <c r="O77" s="8">
        <v>1</v>
      </c>
      <c r="P77" s="8">
        <v>2</v>
      </c>
      <c r="V77" s="58">
        <v>3.7083175447063077E-2</v>
      </c>
      <c r="W77" s="8">
        <v>1</v>
      </c>
      <c r="X77" s="8">
        <v>18.879349999999999</v>
      </c>
    </row>
    <row r="78" spans="10:24" x14ac:dyDescent="0.35">
      <c r="N78" s="58">
        <v>1.4164291090012484E-2</v>
      </c>
      <c r="O78" s="8">
        <v>1</v>
      </c>
      <c r="P78" s="8">
        <v>12</v>
      </c>
      <c r="V78" s="58">
        <v>3.7178928481767404E-2</v>
      </c>
      <c r="W78" s="8">
        <v>1</v>
      </c>
      <c r="X78" s="8">
        <v>4.5087999999999999</v>
      </c>
    </row>
    <row r="79" spans="10:24" x14ac:dyDescent="0.35">
      <c r="N79" s="58">
        <v>1.4499999999999999E-2</v>
      </c>
      <c r="O79" s="8">
        <v>4</v>
      </c>
      <c r="P79" s="8">
        <v>18.882679999999997</v>
      </c>
      <c r="V79" s="58">
        <v>3.7635157834776889E-2</v>
      </c>
      <c r="W79" s="8">
        <v>1</v>
      </c>
      <c r="X79" s="8">
        <v>8.6095000000000006</v>
      </c>
    </row>
    <row r="80" spans="10:24" x14ac:dyDescent="0.35">
      <c r="N80" s="58">
        <v>1.4667591244999861E-2</v>
      </c>
      <c r="O80" s="8">
        <v>1</v>
      </c>
      <c r="P80" s="8">
        <v>10</v>
      </c>
      <c r="V80" s="58">
        <v>3.7734363683545658E-2</v>
      </c>
      <c r="W80" s="8">
        <v>1</v>
      </c>
      <c r="X80" s="8">
        <v>11.485250000000001</v>
      </c>
    </row>
    <row r="81" spans="14:24" x14ac:dyDescent="0.35">
      <c r="N81" s="58">
        <v>1.4775311220029147E-2</v>
      </c>
      <c r="O81" s="8">
        <v>1</v>
      </c>
      <c r="P81" s="8">
        <v>46.811</v>
      </c>
      <c r="V81" s="58">
        <v>3.9182267411901339E-2</v>
      </c>
      <c r="W81" s="8">
        <v>1</v>
      </c>
      <c r="X81" s="8">
        <v>15.6876</v>
      </c>
    </row>
    <row r="82" spans="14:24" x14ac:dyDescent="0.35">
      <c r="N82" s="58">
        <v>1.4999999999999999E-2</v>
      </c>
      <c r="O82" s="8">
        <v>3</v>
      </c>
      <c r="P82" s="8">
        <v>31.853999999999999</v>
      </c>
      <c r="V82" s="58">
        <v>3.9238069640534556E-2</v>
      </c>
      <c r="W82" s="8">
        <v>1</v>
      </c>
      <c r="X82" s="8">
        <v>23.531400000000001</v>
      </c>
    </row>
    <row r="83" spans="14:24" x14ac:dyDescent="0.35">
      <c r="N83" s="58">
        <v>1.5132821505853046E-2</v>
      </c>
      <c r="O83" s="8">
        <v>1</v>
      </c>
      <c r="P83" s="8">
        <v>12.6335</v>
      </c>
      <c r="V83" s="58">
        <v>3.9936663477124101E-2</v>
      </c>
      <c r="W83" s="8">
        <v>1</v>
      </c>
      <c r="X83" s="8">
        <v>12.2143</v>
      </c>
    </row>
    <row r="84" spans="14:24" x14ac:dyDescent="0.35">
      <c r="N84" s="58">
        <v>1.5236903832019529E-2</v>
      </c>
      <c r="O84" s="8">
        <v>1</v>
      </c>
      <c r="P84" s="8">
        <v>10</v>
      </c>
      <c r="V84" s="58">
        <v>3.9972371689434905E-2</v>
      </c>
      <c r="W84" s="8">
        <v>1</v>
      </c>
      <c r="X84" s="8">
        <v>16.896599999999999</v>
      </c>
    </row>
    <row r="85" spans="14:24" x14ac:dyDescent="0.35">
      <c r="N85" s="58">
        <v>1.5428548827166107E-2</v>
      </c>
      <c r="O85" s="8">
        <v>1</v>
      </c>
      <c r="P85" s="8">
        <v>2.5</v>
      </c>
      <c r="V85" s="58">
        <v>4.015736044542062E-2</v>
      </c>
      <c r="W85" s="8">
        <v>1</v>
      </c>
      <c r="X85" s="8">
        <v>5.1014999999999997</v>
      </c>
    </row>
    <row r="86" spans="14:24" x14ac:dyDescent="0.35">
      <c r="N86" s="58">
        <v>1.55E-2</v>
      </c>
      <c r="O86" s="8">
        <v>3</v>
      </c>
      <c r="P86" s="8">
        <v>8.8000000000000007</v>
      </c>
      <c r="V86" s="58">
        <v>4.023753387741702E-2</v>
      </c>
      <c r="W86" s="8">
        <v>1</v>
      </c>
      <c r="X86" s="8">
        <v>27.216999999999999</v>
      </c>
    </row>
    <row r="87" spans="14:24" x14ac:dyDescent="0.35">
      <c r="N87" s="58">
        <v>1.5707999980897322E-2</v>
      </c>
      <c r="O87" s="8">
        <v>1</v>
      </c>
      <c r="P87" s="8">
        <v>5</v>
      </c>
      <c r="V87" s="58">
        <v>4.0312141728838569E-2</v>
      </c>
      <c r="W87" s="8">
        <v>1</v>
      </c>
      <c r="X87" s="8">
        <v>19.215</v>
      </c>
    </row>
    <row r="88" spans="14:24" x14ac:dyDescent="0.35">
      <c r="N88" s="58">
        <v>1.5727705203647968E-2</v>
      </c>
      <c r="O88" s="8">
        <v>1</v>
      </c>
      <c r="P88" s="8">
        <v>3.5</v>
      </c>
      <c r="V88" s="58">
        <v>4.1031330001819244E-2</v>
      </c>
      <c r="W88" s="8">
        <v>1</v>
      </c>
      <c r="X88" s="8">
        <v>19.8185</v>
      </c>
    </row>
    <row r="89" spans="14:24" x14ac:dyDescent="0.35">
      <c r="N89" s="58">
        <v>1.6E-2</v>
      </c>
      <c r="O89" s="8">
        <v>4</v>
      </c>
      <c r="P89" s="8">
        <v>9.0470000000000006</v>
      </c>
      <c r="V89" s="58">
        <v>4.1470649175676666E-2</v>
      </c>
      <c r="W89" s="8">
        <v>1</v>
      </c>
      <c r="X89" s="8">
        <v>16.89545</v>
      </c>
    </row>
    <row r="90" spans="14:24" x14ac:dyDescent="0.35">
      <c r="N90" s="58">
        <v>1.6247324630025539E-2</v>
      </c>
      <c r="O90" s="8">
        <v>2</v>
      </c>
      <c r="P90" s="8">
        <v>15</v>
      </c>
      <c r="V90" s="58">
        <v>4.1526636118506266E-2</v>
      </c>
      <c r="W90" s="8">
        <v>1</v>
      </c>
      <c r="X90" s="8">
        <v>42.058</v>
      </c>
    </row>
    <row r="91" spans="14:24" x14ac:dyDescent="0.35">
      <c r="N91" s="58">
        <v>1.6500000000000001E-2</v>
      </c>
      <c r="O91" s="8">
        <v>4</v>
      </c>
      <c r="P91" s="8">
        <v>16.488362868799999</v>
      </c>
      <c r="V91" s="58">
        <v>4.1836218274165615E-2</v>
      </c>
      <c r="W91" s="8">
        <v>1</v>
      </c>
      <c r="X91" s="8">
        <v>178.27</v>
      </c>
    </row>
    <row r="92" spans="14:24" x14ac:dyDescent="0.35">
      <c r="N92" s="58">
        <v>1.7000000000000001E-2</v>
      </c>
      <c r="O92" s="8">
        <v>1</v>
      </c>
      <c r="P92" s="8">
        <v>7</v>
      </c>
      <c r="V92" s="58">
        <v>4.2369839199843939E-2</v>
      </c>
      <c r="W92" s="8">
        <v>1</v>
      </c>
      <c r="X92" s="8">
        <v>9.9897500000000008</v>
      </c>
    </row>
    <row r="93" spans="14:24" x14ac:dyDescent="0.35">
      <c r="N93" s="58">
        <v>1.7105466406881067E-2</v>
      </c>
      <c r="O93" s="8">
        <v>1</v>
      </c>
      <c r="P93" s="8">
        <v>1</v>
      </c>
      <c r="V93" s="58">
        <v>4.2921095395236586E-2</v>
      </c>
      <c r="W93" s="8">
        <v>1</v>
      </c>
      <c r="X93" s="8">
        <v>10.469225</v>
      </c>
    </row>
    <row r="94" spans="14:24" x14ac:dyDescent="0.35">
      <c r="N94" s="58">
        <v>1.7299889270069091E-2</v>
      </c>
      <c r="O94" s="8">
        <v>1</v>
      </c>
      <c r="P94" s="8">
        <v>2.3664999999999998</v>
      </c>
      <c r="V94" s="58">
        <v>4.5432526897638104E-2</v>
      </c>
      <c r="W94" s="8">
        <v>1</v>
      </c>
      <c r="X94" s="8">
        <v>19.234000000000002</v>
      </c>
    </row>
    <row r="95" spans="14:24" x14ac:dyDescent="0.35">
      <c r="N95" s="58">
        <v>1.7500000000000002E-2</v>
      </c>
      <c r="O95" s="8">
        <v>6</v>
      </c>
      <c r="P95" s="8">
        <v>22.35</v>
      </c>
      <c r="V95" s="58">
        <v>4.6014971236980839E-2</v>
      </c>
      <c r="W95" s="8">
        <v>1</v>
      </c>
      <c r="X95" s="8">
        <v>8.4016000000000002</v>
      </c>
    </row>
    <row r="96" spans="14:24" x14ac:dyDescent="0.35">
      <c r="N96" s="58">
        <v>1.7597398896003959E-2</v>
      </c>
      <c r="O96" s="8">
        <v>1</v>
      </c>
      <c r="P96" s="8">
        <v>6</v>
      </c>
      <c r="V96" s="58">
        <v>4.6185498059376995E-2</v>
      </c>
      <c r="W96" s="8">
        <v>1</v>
      </c>
      <c r="X96" s="8">
        <v>88.392499999999998</v>
      </c>
    </row>
    <row r="97" spans="14:24" x14ac:dyDescent="0.35">
      <c r="N97" s="58">
        <v>1.7820376526369006E-2</v>
      </c>
      <c r="O97" s="8">
        <v>1</v>
      </c>
      <c r="P97" s="8">
        <v>12</v>
      </c>
      <c r="V97" s="58">
        <v>4.7873274823730716E-2</v>
      </c>
      <c r="W97" s="8">
        <v>1</v>
      </c>
      <c r="X97" s="8">
        <v>12.975199999999999</v>
      </c>
    </row>
    <row r="98" spans="14:24" x14ac:dyDescent="0.35">
      <c r="N98" s="58">
        <v>1.8000000000000002E-2</v>
      </c>
      <c r="O98" s="8">
        <v>3</v>
      </c>
      <c r="P98" s="8">
        <v>8.0500000000000007</v>
      </c>
      <c r="V98" s="58">
        <v>4.9276563587330902E-2</v>
      </c>
      <c r="W98" s="8">
        <v>1</v>
      </c>
      <c r="X98" s="8">
        <v>7.8208000000000002</v>
      </c>
    </row>
    <row r="99" spans="14:24" x14ac:dyDescent="0.35">
      <c r="N99" s="58">
        <v>1.8500000000000003E-2</v>
      </c>
      <c r="O99" s="8">
        <v>2</v>
      </c>
      <c r="P99" s="8">
        <v>4.1447799999999999</v>
      </c>
      <c r="V99" s="58">
        <v>4.9964836445694827E-2</v>
      </c>
      <c r="W99" s="8">
        <v>1</v>
      </c>
      <c r="X99" s="8">
        <v>16.2576</v>
      </c>
    </row>
    <row r="100" spans="14:24" x14ac:dyDescent="0.35">
      <c r="N100" s="58">
        <v>1.8529427683058642E-2</v>
      </c>
      <c r="O100" s="8">
        <v>1</v>
      </c>
      <c r="P100" s="8">
        <v>7.5</v>
      </c>
      <c r="V100" s="58">
        <v>5.0095109176576447E-2</v>
      </c>
      <c r="W100" s="8">
        <v>1</v>
      </c>
      <c r="X100" s="8">
        <v>6.7476500000000001</v>
      </c>
    </row>
    <row r="101" spans="14:24" x14ac:dyDescent="0.35">
      <c r="N101" s="58">
        <v>1.8582648043217409E-2</v>
      </c>
      <c r="O101" s="8">
        <v>1</v>
      </c>
      <c r="P101" s="8">
        <v>3.5</v>
      </c>
      <c r="V101" s="58">
        <v>5.5905388633823883E-2</v>
      </c>
      <c r="W101" s="8">
        <v>1</v>
      </c>
      <c r="X101" s="8">
        <v>32.316000000000003</v>
      </c>
    </row>
    <row r="102" spans="14:24" x14ac:dyDescent="0.35">
      <c r="N102" s="58">
        <v>1.8651845037651275E-2</v>
      </c>
      <c r="O102" s="8">
        <v>1</v>
      </c>
      <c r="P102" s="8">
        <v>5</v>
      </c>
      <c r="V102" s="58">
        <v>5.7849645880048151E-2</v>
      </c>
      <c r="W102" s="8">
        <v>1</v>
      </c>
      <c r="X102" s="8">
        <v>30.5244</v>
      </c>
    </row>
    <row r="103" spans="14:24" x14ac:dyDescent="0.35">
      <c r="N103" s="58">
        <v>1.8736446205041373E-2</v>
      </c>
      <c r="O103" s="8">
        <v>1</v>
      </c>
      <c r="P103" s="8">
        <v>7.5</v>
      </c>
      <c r="V103" s="58">
        <v>6.2383573989025498E-2</v>
      </c>
      <c r="W103" s="8">
        <v>1</v>
      </c>
      <c r="X103" s="8">
        <v>15.719099999999999</v>
      </c>
    </row>
    <row r="104" spans="14:24" x14ac:dyDescent="0.35">
      <c r="N104" s="58">
        <v>1.9E-2</v>
      </c>
      <c r="O104" s="8">
        <v>5</v>
      </c>
      <c r="P104" s="8">
        <v>57.449399999999997</v>
      </c>
      <c r="V104" s="58">
        <v>6.287704603173716E-2</v>
      </c>
      <c r="W104" s="8">
        <v>1</v>
      </c>
      <c r="X104" s="8">
        <v>8.1300000000000008</v>
      </c>
    </row>
    <row r="105" spans="14:24" x14ac:dyDescent="0.35">
      <c r="N105" s="58">
        <v>1.9018154910432673E-2</v>
      </c>
      <c r="O105" s="8">
        <v>1</v>
      </c>
      <c r="P105" s="8">
        <v>3.1</v>
      </c>
      <c r="V105" s="58">
        <v>6.3056578334491187E-2</v>
      </c>
      <c r="W105" s="8">
        <v>1</v>
      </c>
      <c r="X105" s="8">
        <v>3.9340000000000002</v>
      </c>
    </row>
    <row r="106" spans="14:24" x14ac:dyDescent="0.35">
      <c r="N106" s="58">
        <v>1.9193198348066431E-2</v>
      </c>
      <c r="O106" s="8">
        <v>1</v>
      </c>
      <c r="P106" s="8">
        <v>2.7084000000000001</v>
      </c>
      <c r="V106" s="58">
        <v>6.765181369987272E-2</v>
      </c>
      <c r="W106" s="8">
        <v>1</v>
      </c>
      <c r="X106" s="8">
        <v>19.918559999999999</v>
      </c>
    </row>
    <row r="107" spans="14:24" x14ac:dyDescent="0.35">
      <c r="N107" s="58">
        <v>1.95E-2</v>
      </c>
      <c r="O107" s="8">
        <v>1</v>
      </c>
      <c r="P107" s="8">
        <v>2</v>
      </c>
      <c r="V107" s="58">
        <v>6.8343820082715778E-2</v>
      </c>
      <c r="W107" s="8">
        <v>1</v>
      </c>
      <c r="X107" s="8">
        <v>33.627099999999999</v>
      </c>
    </row>
    <row r="108" spans="14:24" x14ac:dyDescent="0.35">
      <c r="N108" s="58">
        <v>1.9581088218107286E-2</v>
      </c>
      <c r="O108" s="8">
        <v>1</v>
      </c>
      <c r="P108" s="8">
        <v>3</v>
      </c>
      <c r="V108" s="58">
        <v>6.9273082454898605E-2</v>
      </c>
      <c r="W108" s="8">
        <v>1</v>
      </c>
      <c r="X108" s="8">
        <v>8.8187999999999995</v>
      </c>
    </row>
    <row r="109" spans="14:24" x14ac:dyDescent="0.35">
      <c r="N109" s="58">
        <v>1.9763618005311328E-2</v>
      </c>
      <c r="O109" s="8">
        <v>1</v>
      </c>
      <c r="P109" s="8">
        <v>5</v>
      </c>
      <c r="V109" s="58">
        <v>6.965528671008081E-2</v>
      </c>
      <c r="W109" s="8">
        <v>1</v>
      </c>
      <c r="X109" s="8">
        <v>3.9260000000000002</v>
      </c>
    </row>
    <row r="110" spans="14:24" x14ac:dyDescent="0.35">
      <c r="N110" s="58">
        <v>0.02</v>
      </c>
      <c r="O110" s="8">
        <v>7</v>
      </c>
      <c r="P110" s="8">
        <v>21.12950640427</v>
      </c>
      <c r="V110" s="58">
        <v>7.0491951816031628E-2</v>
      </c>
      <c r="W110" s="8">
        <v>1</v>
      </c>
      <c r="X110" s="8">
        <v>30.9846</v>
      </c>
    </row>
    <row r="111" spans="14:24" x14ac:dyDescent="0.35">
      <c r="N111" s="58">
        <v>2.0154403245554658E-2</v>
      </c>
      <c r="O111" s="8">
        <v>1</v>
      </c>
      <c r="P111" s="8">
        <v>1</v>
      </c>
      <c r="V111" s="58">
        <v>7.405760536218442E-2</v>
      </c>
      <c r="W111" s="8">
        <v>1</v>
      </c>
      <c r="X111" s="8">
        <v>12.2028</v>
      </c>
    </row>
    <row r="112" spans="14:24" x14ac:dyDescent="0.35">
      <c r="N112" s="58">
        <v>2.0465598430974351E-2</v>
      </c>
      <c r="O112" s="8">
        <v>1</v>
      </c>
      <c r="P112" s="8">
        <v>1.7</v>
      </c>
      <c r="V112" s="58">
        <v>7.8918372935750769E-2</v>
      </c>
      <c r="W112" s="8">
        <v>1</v>
      </c>
      <c r="X112" s="8">
        <v>1.8327</v>
      </c>
    </row>
    <row r="113" spans="14:24" x14ac:dyDescent="0.35">
      <c r="N113" s="58">
        <v>2.0499999999999997E-2</v>
      </c>
      <c r="O113" s="8">
        <v>4</v>
      </c>
      <c r="P113" s="8">
        <v>9.1907199999999989</v>
      </c>
      <c r="V113" s="58">
        <v>8.0867187505597959E-2</v>
      </c>
      <c r="W113" s="8">
        <v>1</v>
      </c>
      <c r="X113" s="8">
        <v>6.0388999999999999</v>
      </c>
    </row>
    <row r="114" spans="14:24" x14ac:dyDescent="0.35">
      <c r="N114" s="58">
        <v>2.1000000000000001E-2</v>
      </c>
      <c r="O114" s="8">
        <v>2</v>
      </c>
      <c r="P114" s="8">
        <v>16</v>
      </c>
      <c r="V114" s="58" t="s">
        <v>768</v>
      </c>
      <c r="W114" s="8">
        <v>109</v>
      </c>
      <c r="X114" s="8">
        <v>2791.4617008999999</v>
      </c>
    </row>
    <row r="115" spans="14:24" x14ac:dyDescent="0.35">
      <c r="N115" s="58">
        <v>2.1109162423284023E-2</v>
      </c>
      <c r="O115" s="8">
        <v>1</v>
      </c>
      <c r="P115" s="8">
        <v>7</v>
      </c>
    </row>
    <row r="116" spans="14:24" x14ac:dyDescent="0.35">
      <c r="N116" s="58">
        <v>2.1499999999999998E-2</v>
      </c>
      <c r="O116" s="8">
        <v>1</v>
      </c>
      <c r="P116" s="8">
        <v>4</v>
      </c>
    </row>
    <row r="117" spans="14:24" x14ac:dyDescent="0.35">
      <c r="N117" s="58">
        <v>2.1536877034549897E-2</v>
      </c>
      <c r="O117" s="8">
        <v>1</v>
      </c>
      <c r="P117" s="8">
        <v>19</v>
      </c>
    </row>
    <row r="118" spans="14:24" x14ac:dyDescent="0.35">
      <c r="N118" s="58">
        <v>2.1962358542059985E-2</v>
      </c>
      <c r="O118" s="8">
        <v>1</v>
      </c>
      <c r="P118" s="8">
        <v>1.1299999999999999</v>
      </c>
    </row>
    <row r="119" spans="14:24" x14ac:dyDescent="0.35">
      <c r="N119" s="58">
        <v>2.2000000000000002E-2</v>
      </c>
      <c r="O119" s="8">
        <v>4</v>
      </c>
      <c r="P119" s="8">
        <v>5.4656000000000002</v>
      </c>
    </row>
    <row r="120" spans="14:24" x14ac:dyDescent="0.35">
      <c r="N120" s="58">
        <v>2.2142673285790431E-2</v>
      </c>
      <c r="O120" s="8">
        <v>3</v>
      </c>
      <c r="P120" s="8">
        <v>21</v>
      </c>
    </row>
    <row r="121" spans="14:24" x14ac:dyDescent="0.35">
      <c r="N121" s="58">
        <v>2.2258713158324065E-2</v>
      </c>
      <c r="O121" s="8">
        <v>1</v>
      </c>
      <c r="P121" s="8">
        <v>14</v>
      </c>
    </row>
    <row r="122" spans="14:24" x14ac:dyDescent="0.35">
      <c r="N122" s="58">
        <v>2.233316455374515E-2</v>
      </c>
      <c r="O122" s="8">
        <v>1</v>
      </c>
      <c r="P122" s="8">
        <v>5</v>
      </c>
    </row>
    <row r="123" spans="14:24" x14ac:dyDescent="0.35">
      <c r="N123" s="58">
        <v>2.3E-2</v>
      </c>
      <c r="O123" s="8">
        <v>3</v>
      </c>
      <c r="P123" s="8">
        <v>18</v>
      </c>
    </row>
    <row r="124" spans="14:24" x14ac:dyDescent="0.35">
      <c r="N124" s="58">
        <v>2.3068193821138241E-2</v>
      </c>
      <c r="O124" s="8">
        <v>1</v>
      </c>
      <c r="P124" s="8">
        <v>1.5</v>
      </c>
    </row>
    <row r="125" spans="14:24" x14ac:dyDescent="0.35">
      <c r="N125" s="58">
        <v>2.343930710942525E-2</v>
      </c>
      <c r="O125" s="8">
        <v>1</v>
      </c>
      <c r="P125" s="8">
        <v>1</v>
      </c>
    </row>
    <row r="126" spans="14:24" x14ac:dyDescent="0.35">
      <c r="N126" s="58">
        <v>2.349734366634082E-2</v>
      </c>
      <c r="O126" s="8">
        <v>1</v>
      </c>
      <c r="P126" s="8">
        <v>1.496</v>
      </c>
    </row>
    <row r="127" spans="14:24" x14ac:dyDescent="0.35">
      <c r="N127" s="58">
        <v>2.4E-2</v>
      </c>
      <c r="O127" s="8">
        <v>1</v>
      </c>
      <c r="P127" s="8">
        <v>8</v>
      </c>
    </row>
    <row r="128" spans="14:24" x14ac:dyDescent="0.35">
      <c r="N128" s="58">
        <v>2.4094206287527543E-2</v>
      </c>
      <c r="O128" s="8">
        <v>1</v>
      </c>
      <c r="P128" s="8">
        <v>2</v>
      </c>
    </row>
    <row r="129" spans="14:16" x14ac:dyDescent="0.35">
      <c r="N129" s="58">
        <v>2.4482383374950623E-2</v>
      </c>
      <c r="O129" s="8">
        <v>1</v>
      </c>
      <c r="P129" s="8">
        <v>3</v>
      </c>
    </row>
    <row r="130" spans="14:16" x14ac:dyDescent="0.35">
      <c r="N130" s="58">
        <v>2.5000000000000001E-2</v>
      </c>
      <c r="O130" s="8">
        <v>1</v>
      </c>
      <c r="P130" s="8">
        <v>2.5</v>
      </c>
    </row>
    <row r="131" spans="14:16" x14ac:dyDescent="0.35">
      <c r="N131" s="58">
        <v>2.5099999999999997E-2</v>
      </c>
      <c r="O131" s="8">
        <v>1</v>
      </c>
      <c r="P131" s="8">
        <v>4</v>
      </c>
    </row>
    <row r="132" spans="14:16" x14ac:dyDescent="0.35">
      <c r="N132" s="58">
        <v>2.5499999999999998E-2</v>
      </c>
      <c r="O132" s="8">
        <v>1</v>
      </c>
      <c r="P132" s="8">
        <v>14</v>
      </c>
    </row>
    <row r="133" spans="14:16" x14ac:dyDescent="0.35">
      <c r="N133" s="58">
        <v>2.5918275031720832E-2</v>
      </c>
      <c r="O133" s="8">
        <v>1</v>
      </c>
      <c r="P133" s="8">
        <v>0.88</v>
      </c>
    </row>
    <row r="134" spans="14:16" x14ac:dyDescent="0.35">
      <c r="N134" s="58">
        <v>2.6000000000000002E-2</v>
      </c>
      <c r="O134" s="8">
        <v>3</v>
      </c>
      <c r="P134" s="8">
        <v>9.1</v>
      </c>
    </row>
    <row r="135" spans="14:16" x14ac:dyDescent="0.35">
      <c r="N135" s="58">
        <v>2.6438609515595513E-2</v>
      </c>
      <c r="O135" s="8">
        <v>1</v>
      </c>
      <c r="P135" s="8">
        <v>4.1173200000000003</v>
      </c>
    </row>
    <row r="136" spans="14:16" x14ac:dyDescent="0.35">
      <c r="N136" s="58">
        <v>2.6499999999999999E-2</v>
      </c>
      <c r="O136" s="8">
        <v>1</v>
      </c>
      <c r="P136" s="8">
        <v>17.399999999999999</v>
      </c>
    </row>
    <row r="137" spans="14:16" x14ac:dyDescent="0.35">
      <c r="N137" s="58">
        <v>2.7000000000000003E-2</v>
      </c>
      <c r="O137" s="8">
        <v>5</v>
      </c>
      <c r="P137" s="8">
        <v>31</v>
      </c>
    </row>
    <row r="138" spans="14:16" x14ac:dyDescent="0.35">
      <c r="N138" s="58">
        <v>2.75E-2</v>
      </c>
      <c r="O138" s="8">
        <v>1</v>
      </c>
      <c r="P138" s="8">
        <v>2</v>
      </c>
    </row>
    <row r="139" spans="14:16" x14ac:dyDescent="0.35">
      <c r="N139" s="58">
        <v>2.8072431015108812E-2</v>
      </c>
      <c r="O139" s="8">
        <v>1</v>
      </c>
      <c r="P139" s="8">
        <v>4.5866400000000001</v>
      </c>
    </row>
    <row r="140" spans="14:16" x14ac:dyDescent="0.35">
      <c r="N140" s="58">
        <v>2.8500000000000001E-2</v>
      </c>
      <c r="O140" s="8">
        <v>1</v>
      </c>
      <c r="P140" s="8">
        <v>1.5</v>
      </c>
    </row>
    <row r="141" spans="14:16" x14ac:dyDescent="0.35">
      <c r="N141" s="58">
        <v>2.8999999999999998E-2</v>
      </c>
      <c r="O141" s="8">
        <v>3</v>
      </c>
      <c r="P141" s="8">
        <v>4.8293999999999997</v>
      </c>
    </row>
    <row r="142" spans="14:16" x14ac:dyDescent="0.35">
      <c r="N142" s="58">
        <v>2.9500000000000002E-2</v>
      </c>
      <c r="O142" s="8">
        <v>1</v>
      </c>
      <c r="P142" s="8">
        <v>3.5</v>
      </c>
    </row>
    <row r="143" spans="14:16" x14ac:dyDescent="0.35">
      <c r="N143" s="58">
        <v>2.959836153967476E-2</v>
      </c>
      <c r="O143" s="8">
        <v>1</v>
      </c>
      <c r="P143" s="8">
        <v>3</v>
      </c>
    </row>
    <row r="144" spans="14:16" x14ac:dyDescent="0.35">
      <c r="N144" s="58">
        <v>2.9883486935029069E-2</v>
      </c>
      <c r="O144" s="8">
        <v>1</v>
      </c>
      <c r="P144" s="8">
        <v>2.3820000000000001</v>
      </c>
    </row>
    <row r="145" spans="14:16" x14ac:dyDescent="0.35">
      <c r="N145" s="58">
        <v>0.03</v>
      </c>
      <c r="O145" s="8">
        <v>7</v>
      </c>
      <c r="P145" s="8">
        <v>35.1845</v>
      </c>
    </row>
    <row r="146" spans="14:16" x14ac:dyDescent="0.35">
      <c r="N146" s="58">
        <v>3.0202927202235993E-2</v>
      </c>
      <c r="O146" s="8">
        <v>1</v>
      </c>
      <c r="P146" s="8">
        <v>6</v>
      </c>
    </row>
    <row r="147" spans="14:16" x14ac:dyDescent="0.35">
      <c r="N147" s="58">
        <v>3.2000000000000001E-2</v>
      </c>
      <c r="O147" s="8">
        <v>1</v>
      </c>
      <c r="P147" s="8">
        <v>5.5</v>
      </c>
    </row>
    <row r="148" spans="14:16" x14ac:dyDescent="0.35">
      <c r="N148" s="58">
        <v>3.3301888425993686E-2</v>
      </c>
      <c r="O148" s="8">
        <v>1</v>
      </c>
      <c r="P148" s="8">
        <v>4</v>
      </c>
    </row>
    <row r="149" spans="14:16" x14ac:dyDescent="0.35">
      <c r="N149" s="58">
        <v>3.3341303280623673E-2</v>
      </c>
      <c r="O149" s="8">
        <v>1</v>
      </c>
      <c r="P149" s="8">
        <v>1.05</v>
      </c>
    </row>
    <row r="150" spans="14:16" x14ac:dyDescent="0.35">
      <c r="N150" s="58">
        <v>3.3896976234699429E-2</v>
      </c>
      <c r="O150" s="8">
        <v>1</v>
      </c>
      <c r="P150" s="8">
        <v>5</v>
      </c>
    </row>
    <row r="151" spans="14:16" x14ac:dyDescent="0.35">
      <c r="N151" s="58">
        <v>3.4315254502407466E-2</v>
      </c>
      <c r="O151" s="8">
        <v>1</v>
      </c>
      <c r="P151" s="8">
        <v>2.5499999999999998</v>
      </c>
    </row>
    <row r="152" spans="14:16" x14ac:dyDescent="0.35">
      <c r="N152" s="58">
        <v>3.465399115130971E-2</v>
      </c>
      <c r="O152" s="8">
        <v>1</v>
      </c>
      <c r="P152" s="8">
        <v>3.6</v>
      </c>
    </row>
    <row r="153" spans="14:16" x14ac:dyDescent="0.35">
      <c r="N153" s="58">
        <v>3.5000000000000003E-2</v>
      </c>
      <c r="O153" s="8">
        <v>3</v>
      </c>
      <c r="P153" s="8">
        <v>20.689999999999998</v>
      </c>
    </row>
    <row r="154" spans="14:16" x14ac:dyDescent="0.35">
      <c r="N154" s="58">
        <v>3.5658030132180718E-2</v>
      </c>
      <c r="O154" s="8">
        <v>1</v>
      </c>
      <c r="P154" s="8">
        <v>9.4</v>
      </c>
    </row>
    <row r="155" spans="14:16" x14ac:dyDescent="0.35">
      <c r="N155" s="58">
        <v>3.5820001863068891E-2</v>
      </c>
      <c r="O155" s="8">
        <v>1</v>
      </c>
      <c r="P155" s="8">
        <v>2</v>
      </c>
    </row>
    <row r="156" spans="14:16" x14ac:dyDescent="0.35">
      <c r="N156" s="58">
        <v>3.6142913974750446E-2</v>
      </c>
      <c r="O156" s="8">
        <v>1</v>
      </c>
      <c r="P156" s="8">
        <v>0.53332999999999997</v>
      </c>
    </row>
    <row r="157" spans="14:16" x14ac:dyDescent="0.35">
      <c r="N157" s="58">
        <v>3.7000000000000005E-2</v>
      </c>
      <c r="O157" s="8">
        <v>1</v>
      </c>
      <c r="P157" s="8">
        <v>6</v>
      </c>
    </row>
    <row r="158" spans="14:16" x14ac:dyDescent="0.35">
      <c r="N158" s="58">
        <v>3.7499999999999999E-2</v>
      </c>
      <c r="O158" s="8">
        <v>27</v>
      </c>
      <c r="P158" s="8">
        <v>56.768279999999976</v>
      </c>
    </row>
    <row r="159" spans="14:16" x14ac:dyDescent="0.35">
      <c r="N159" s="58">
        <v>3.7999999999999999E-2</v>
      </c>
      <c r="O159" s="8">
        <v>1</v>
      </c>
      <c r="P159" s="8">
        <v>7.95</v>
      </c>
    </row>
    <row r="160" spans="14:16" x14ac:dyDescent="0.35">
      <c r="N160" s="58">
        <v>0.04</v>
      </c>
      <c r="O160" s="8">
        <v>1</v>
      </c>
      <c r="P160" s="8">
        <v>1.9877800000000001</v>
      </c>
    </row>
    <row r="161" spans="14:16" x14ac:dyDescent="0.35">
      <c r="N161" s="58">
        <v>4.0417528558939264E-2</v>
      </c>
      <c r="O161" s="8">
        <v>1</v>
      </c>
      <c r="P161" s="8">
        <v>2.52</v>
      </c>
    </row>
    <row r="162" spans="14:16" x14ac:dyDescent="0.35">
      <c r="N162" s="58">
        <v>4.0500000000000001E-2</v>
      </c>
      <c r="O162" s="8">
        <v>3</v>
      </c>
      <c r="P162" s="8">
        <v>22.4</v>
      </c>
    </row>
    <row r="163" spans="14:16" x14ac:dyDescent="0.35">
      <c r="N163" s="58">
        <v>4.0999999999999995E-2</v>
      </c>
      <c r="O163" s="8">
        <v>1</v>
      </c>
      <c r="P163" s="8">
        <v>1.5</v>
      </c>
    </row>
    <row r="164" spans="14:16" x14ac:dyDescent="0.35">
      <c r="N164" s="58">
        <v>4.2000000000000003E-2</v>
      </c>
      <c r="O164" s="8">
        <v>2</v>
      </c>
      <c r="P164" s="8">
        <v>3.4788899999999998</v>
      </c>
    </row>
    <row r="165" spans="14:16" x14ac:dyDescent="0.35">
      <c r="N165" s="58">
        <v>4.4999999999999998E-2</v>
      </c>
      <c r="O165" s="8">
        <v>3</v>
      </c>
      <c r="P165" s="8">
        <v>10.539669999999999</v>
      </c>
    </row>
    <row r="166" spans="14:16" x14ac:dyDescent="0.35">
      <c r="N166" s="58">
        <v>4.6189209405952517E-2</v>
      </c>
      <c r="O166" s="8">
        <v>1</v>
      </c>
      <c r="P166" s="8">
        <v>22.4</v>
      </c>
    </row>
    <row r="167" spans="14:16" x14ac:dyDescent="0.35">
      <c r="N167" s="58">
        <v>4.6923739593280958E-2</v>
      </c>
      <c r="O167" s="8">
        <v>1</v>
      </c>
      <c r="P167" s="8">
        <v>15.75</v>
      </c>
    </row>
    <row r="168" spans="14:16" x14ac:dyDescent="0.35">
      <c r="N168" s="58">
        <v>4.9623241768894877E-2</v>
      </c>
      <c r="O168" s="8">
        <v>1</v>
      </c>
      <c r="P168" s="8">
        <v>4.7805999999999997</v>
      </c>
    </row>
    <row r="169" spans="14:16" x14ac:dyDescent="0.35">
      <c r="N169" s="58">
        <v>0.05</v>
      </c>
      <c r="O169" s="8">
        <v>2</v>
      </c>
      <c r="P169" s="8">
        <v>7</v>
      </c>
    </row>
    <row r="170" spans="14:16" x14ac:dyDescent="0.35">
      <c r="N170" s="58">
        <v>5.1819030804687721E-2</v>
      </c>
      <c r="O170" s="8">
        <v>1</v>
      </c>
      <c r="P170" s="8">
        <v>10.5</v>
      </c>
    </row>
    <row r="171" spans="14:16" x14ac:dyDescent="0.35">
      <c r="N171" s="58">
        <v>5.243613224615664E-2</v>
      </c>
      <c r="O171" s="8">
        <v>1</v>
      </c>
      <c r="P171" s="8">
        <v>1</v>
      </c>
    </row>
    <row r="172" spans="14:16" x14ac:dyDescent="0.35">
      <c r="N172" s="58">
        <v>5.4000000000000006E-2</v>
      </c>
      <c r="O172" s="8">
        <v>1</v>
      </c>
      <c r="P172" s="8">
        <v>5.5</v>
      </c>
    </row>
    <row r="173" spans="14:16" x14ac:dyDescent="0.35">
      <c r="N173" s="58" t="s">
        <v>768</v>
      </c>
      <c r="O173" s="8">
        <v>278</v>
      </c>
      <c r="P173" s="8">
        <v>1630.4260892730711</v>
      </c>
    </row>
  </sheetData>
  <mergeCells count="3">
    <mergeCell ref="C5:D5"/>
    <mergeCell ref="E5:F5"/>
    <mergeCell ref="G5:H5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99ACB-7AD6-4459-8F84-62726E2313AA}">
  <dimension ref="B2:AE149"/>
  <sheetViews>
    <sheetView showGridLines="0" workbookViewId="0">
      <selection activeCell="D16" sqref="D16"/>
    </sheetView>
  </sheetViews>
  <sheetFormatPr defaultRowHeight="14.5" x14ac:dyDescent="0.35"/>
  <cols>
    <col min="2" max="2" width="17.26953125" bestFit="1" customWidth="1"/>
    <col min="3" max="7" width="14.453125" customWidth="1"/>
    <col min="8" max="8" width="16.90625" customWidth="1"/>
    <col min="9" max="9" width="17" bestFit="1" customWidth="1"/>
    <col min="10" max="10" width="8.26953125" bestFit="1" customWidth="1"/>
    <col min="11" max="11" width="8.453125" customWidth="1"/>
    <col min="12" max="12" width="17" bestFit="1" customWidth="1"/>
    <col min="13" max="13" width="12.81640625" bestFit="1" customWidth="1"/>
    <col min="14" max="14" width="6.36328125" customWidth="1"/>
    <col min="15" max="15" width="17" bestFit="1" customWidth="1"/>
    <col min="16" max="16" width="12.81640625" bestFit="1" customWidth="1"/>
    <col min="17" max="17" width="13.1796875" customWidth="1"/>
    <col min="18" max="18" width="17" bestFit="1" customWidth="1"/>
    <col min="19" max="19" width="12.81640625" bestFit="1" customWidth="1"/>
    <col min="20" max="20" width="8.453125" customWidth="1"/>
    <col min="21" max="21" width="17" bestFit="1" customWidth="1"/>
    <col min="22" max="22" width="8.6328125" bestFit="1" customWidth="1"/>
    <col min="23" max="23" width="13.1796875" bestFit="1" customWidth="1"/>
    <col min="24" max="24" width="17.26953125" bestFit="1" customWidth="1"/>
    <col min="25" max="25" width="13.1796875" bestFit="1" customWidth="1"/>
    <col min="26" max="26" width="11.81640625" bestFit="1" customWidth="1"/>
    <col min="27" max="27" width="17.26953125" bestFit="1" customWidth="1"/>
    <col min="28" max="28" width="8.81640625" bestFit="1" customWidth="1"/>
    <col min="29" max="29" width="11.81640625" bestFit="1" customWidth="1"/>
    <col min="30" max="30" width="17.26953125" bestFit="1" customWidth="1"/>
    <col min="31" max="31" width="8.81640625" bestFit="1" customWidth="1"/>
    <col min="32" max="36" width="11.81640625" bestFit="1" customWidth="1"/>
    <col min="37" max="37" width="17" bestFit="1" customWidth="1"/>
    <col min="38" max="39" width="11.81640625" bestFit="1" customWidth="1"/>
    <col min="40" max="40" width="14" bestFit="1" customWidth="1"/>
    <col min="41" max="48" width="11.81640625" bestFit="1" customWidth="1"/>
    <col min="49" max="49" width="19.36328125" bestFit="1" customWidth="1"/>
    <col min="50" max="50" width="11.81640625" bestFit="1" customWidth="1"/>
    <col min="51" max="55" width="5.81640625" bestFit="1" customWidth="1"/>
    <col min="56" max="56" width="21.6328125" bestFit="1" customWidth="1"/>
    <col min="57" max="57" width="18.54296875" bestFit="1" customWidth="1"/>
    <col min="58" max="67" width="5.81640625" bestFit="1" customWidth="1"/>
    <col min="68" max="68" width="21.6328125" bestFit="1" customWidth="1"/>
    <col min="69" max="69" width="9.90625" bestFit="1" customWidth="1"/>
    <col min="70" max="88" width="5.81640625" bestFit="1" customWidth="1"/>
    <col min="89" max="89" width="12.90625" bestFit="1" customWidth="1"/>
    <col min="90" max="90" width="6.54296875" bestFit="1" customWidth="1"/>
    <col min="91" max="100" width="5.81640625" bestFit="1" customWidth="1"/>
    <col min="101" max="101" width="8.7265625" bestFit="1" customWidth="1"/>
    <col min="102" max="102" width="7.90625" bestFit="1" customWidth="1"/>
    <col min="103" max="121" width="5.81640625" bestFit="1" customWidth="1"/>
    <col min="122" max="122" width="10.90625" bestFit="1" customWidth="1"/>
    <col min="123" max="123" width="24.6328125" bestFit="1" customWidth="1"/>
    <col min="124" max="124" width="5.81640625" bestFit="1" customWidth="1"/>
    <col min="125" max="125" width="27.81640625" bestFit="1" customWidth="1"/>
    <col min="126" max="126" width="6.90625" bestFit="1" customWidth="1"/>
    <col min="127" max="128" width="5.81640625" bestFit="1" customWidth="1"/>
    <col min="129" max="129" width="9.90625" bestFit="1" customWidth="1"/>
    <col min="130" max="130" width="7.7265625" bestFit="1" customWidth="1"/>
    <col min="131" max="141" width="5.81640625" bestFit="1" customWidth="1"/>
    <col min="142" max="142" width="10.6328125" bestFit="1" customWidth="1"/>
    <col min="143" max="143" width="6" bestFit="1" customWidth="1"/>
    <col min="144" max="152" width="5.81640625" bestFit="1" customWidth="1"/>
    <col min="153" max="153" width="9" bestFit="1" customWidth="1"/>
    <col min="154" max="154" width="10.1796875" bestFit="1" customWidth="1"/>
    <col min="155" max="156" width="5.81640625" bestFit="1" customWidth="1"/>
    <col min="157" max="157" width="13.1796875" bestFit="1" customWidth="1"/>
    <col min="158" max="158" width="11.26953125" bestFit="1" customWidth="1"/>
    <col min="159" max="166" width="5.81640625" bestFit="1" customWidth="1"/>
    <col min="167" max="167" width="14.26953125" bestFit="1" customWidth="1"/>
    <col min="168" max="168" width="11.26953125" bestFit="1" customWidth="1"/>
    <col min="169" max="171" width="5.81640625" bestFit="1" customWidth="1"/>
    <col min="172" max="172" width="14.26953125" bestFit="1" customWidth="1"/>
    <col min="173" max="173" width="8.81640625" bestFit="1" customWidth="1"/>
    <col min="174" max="181" width="5.81640625" bestFit="1" customWidth="1"/>
    <col min="182" max="182" width="11.81640625" bestFit="1" customWidth="1"/>
    <col min="183" max="183" width="17.7265625" bestFit="1" customWidth="1"/>
    <col min="184" max="192" width="5.81640625" bestFit="1" customWidth="1"/>
    <col min="193" max="193" width="21" bestFit="1" customWidth="1"/>
    <col min="194" max="194" width="18.36328125" bestFit="1" customWidth="1"/>
    <col min="195" max="197" width="5.81640625" bestFit="1" customWidth="1"/>
    <col min="198" max="198" width="21.54296875" bestFit="1" customWidth="1"/>
    <col min="199" max="199" width="8.6328125" bestFit="1" customWidth="1"/>
    <col min="200" max="208" width="5.81640625" bestFit="1" customWidth="1"/>
    <col min="209" max="209" width="11.54296875" bestFit="1" customWidth="1"/>
    <col min="210" max="210" width="13.36328125" bestFit="1" customWidth="1"/>
    <col min="211" max="213" width="5.81640625" bestFit="1" customWidth="1"/>
    <col min="214" max="214" width="16.6328125" bestFit="1" customWidth="1"/>
    <col min="215" max="215" width="15.54296875" bestFit="1" customWidth="1"/>
    <col min="216" max="221" width="5.81640625" bestFit="1" customWidth="1"/>
    <col min="222" max="222" width="18.6328125" bestFit="1" customWidth="1"/>
    <col min="223" max="223" width="7.90625" bestFit="1" customWidth="1"/>
    <col min="224" max="230" width="5.81640625" bestFit="1" customWidth="1"/>
    <col min="231" max="231" width="10.90625" bestFit="1" customWidth="1"/>
    <col min="232" max="232" width="13.36328125" bestFit="1" customWidth="1"/>
    <col min="233" max="261" width="5.81640625" bestFit="1" customWidth="1"/>
    <col min="262" max="262" width="16.6328125" bestFit="1" customWidth="1"/>
    <col min="263" max="263" width="8.81640625" bestFit="1" customWidth="1"/>
    <col min="264" max="274" width="5.81640625" bestFit="1" customWidth="1"/>
    <col min="275" max="275" width="11.81640625" bestFit="1" customWidth="1"/>
    <col min="276" max="276" width="9.6328125" bestFit="1" customWidth="1"/>
    <col min="277" max="287" width="5.81640625" bestFit="1" customWidth="1"/>
    <col min="288" max="288" width="12.81640625" bestFit="1" customWidth="1"/>
    <col min="289" max="289" width="9" bestFit="1" customWidth="1"/>
    <col min="290" max="311" width="5.81640625" bestFit="1" customWidth="1"/>
    <col min="312" max="312" width="12" bestFit="1" customWidth="1"/>
    <col min="313" max="313" width="18.6328125" bestFit="1" customWidth="1"/>
    <col min="314" max="328" width="5.81640625" bestFit="1" customWidth="1"/>
    <col min="329" max="329" width="21.81640625" bestFit="1" customWidth="1"/>
    <col min="330" max="330" width="6.54296875" bestFit="1" customWidth="1"/>
    <col min="331" max="337" width="5.81640625" bestFit="1" customWidth="1"/>
    <col min="338" max="338" width="7.453125" bestFit="1" customWidth="1"/>
    <col min="339" max="339" width="10.90625" bestFit="1" customWidth="1"/>
    <col min="340" max="343" width="6.54296875" bestFit="1" customWidth="1"/>
    <col min="344" max="370" width="5.81640625" bestFit="1" customWidth="1"/>
    <col min="371" max="371" width="13.90625" bestFit="1" customWidth="1"/>
    <col min="372" max="372" width="15.6328125" bestFit="1" customWidth="1"/>
    <col min="373" max="380" width="5.81640625" bestFit="1" customWidth="1"/>
    <col min="381" max="381" width="18.81640625" bestFit="1" customWidth="1"/>
    <col min="382" max="382" width="8.1796875" bestFit="1" customWidth="1"/>
    <col min="383" max="388" width="5.81640625" bestFit="1" customWidth="1"/>
    <col min="389" max="389" width="11.1796875" bestFit="1" customWidth="1"/>
    <col min="390" max="390" width="10.90625" bestFit="1" customWidth="1"/>
    <col min="391" max="405" width="5.81640625" bestFit="1" customWidth="1"/>
    <col min="406" max="406" width="14" bestFit="1" customWidth="1"/>
    <col min="407" max="407" width="7.54296875" bestFit="1" customWidth="1"/>
    <col min="408" max="419" width="5.81640625" bestFit="1" customWidth="1"/>
    <col min="420" max="420" width="10.453125" bestFit="1" customWidth="1"/>
    <col min="421" max="421" width="8.453125" bestFit="1" customWidth="1"/>
    <col min="422" max="439" width="5.81640625" bestFit="1" customWidth="1"/>
    <col min="440" max="440" width="11.453125" bestFit="1" customWidth="1"/>
    <col min="441" max="441" width="8.6328125" bestFit="1" customWidth="1"/>
    <col min="442" max="456" width="5.81640625" bestFit="1" customWidth="1"/>
    <col min="457" max="457" width="11.54296875" bestFit="1" customWidth="1"/>
    <col min="458" max="458" width="9.6328125" bestFit="1" customWidth="1"/>
    <col min="459" max="463" width="5.81640625" bestFit="1" customWidth="1"/>
    <col min="464" max="464" width="12.6328125" bestFit="1" customWidth="1"/>
    <col min="465" max="465" width="10.36328125" bestFit="1" customWidth="1"/>
    <col min="466" max="468" width="5.81640625" bestFit="1" customWidth="1"/>
    <col min="469" max="469" width="13.453125" bestFit="1" customWidth="1"/>
    <col min="470" max="470" width="6.54296875" bestFit="1" customWidth="1"/>
    <col min="471" max="480" width="5.81640625" bestFit="1" customWidth="1"/>
    <col min="481" max="481" width="9.36328125" bestFit="1" customWidth="1"/>
    <col min="482" max="482" width="21" bestFit="1" customWidth="1"/>
    <col min="483" max="495" width="5.81640625" bestFit="1" customWidth="1"/>
    <col min="496" max="496" width="24.08984375" bestFit="1" customWidth="1"/>
    <col min="497" max="497" width="10.1796875" bestFit="1" customWidth="1"/>
  </cols>
  <sheetData>
    <row r="2" spans="2:31" x14ac:dyDescent="0.35">
      <c r="L2" s="57" t="s">
        <v>3</v>
      </c>
      <c r="M2" t="s">
        <v>25</v>
      </c>
      <c r="O2" s="57" t="s">
        <v>3</v>
      </c>
      <c r="P2" t="s">
        <v>25</v>
      </c>
    </row>
    <row r="3" spans="2:31" x14ac:dyDescent="0.35">
      <c r="I3" s="57" t="s">
        <v>3</v>
      </c>
      <c r="J3" t="s">
        <v>34</v>
      </c>
      <c r="L3" s="57" t="s">
        <v>803</v>
      </c>
      <c r="M3" s="59">
        <v>0</v>
      </c>
      <c r="N3" s="59"/>
      <c r="O3" s="57" t="s">
        <v>803</v>
      </c>
      <c r="P3" s="59">
        <v>1</v>
      </c>
      <c r="Q3" s="59"/>
      <c r="R3" s="57" t="s">
        <v>3</v>
      </c>
      <c r="S3" t="s">
        <v>25</v>
      </c>
      <c r="U3" s="57" t="s">
        <v>3</v>
      </c>
      <c r="V3" t="s">
        <v>771</v>
      </c>
      <c r="Y3" s="59"/>
      <c r="AB3" s="59"/>
      <c r="AE3" s="59"/>
    </row>
    <row r="5" spans="2:31" x14ac:dyDescent="0.35">
      <c r="C5" s="129" t="s">
        <v>808</v>
      </c>
      <c r="D5" s="129" t="s">
        <v>807</v>
      </c>
      <c r="E5" s="132" t="s">
        <v>25</v>
      </c>
      <c r="F5" s="131" t="s">
        <v>34</v>
      </c>
      <c r="G5" s="131" t="s">
        <v>775</v>
      </c>
      <c r="I5" s="57" t="s">
        <v>769</v>
      </c>
      <c r="L5" s="57" t="s">
        <v>769</v>
      </c>
      <c r="O5" s="57" t="s">
        <v>769</v>
      </c>
      <c r="R5" s="57" t="s">
        <v>769</v>
      </c>
      <c r="U5" s="57" t="s">
        <v>769</v>
      </c>
    </row>
    <row r="6" spans="2:31" x14ac:dyDescent="0.35">
      <c r="B6" s="62"/>
      <c r="C6" s="130"/>
      <c r="D6" s="130"/>
      <c r="E6" s="133"/>
      <c r="F6" s="130"/>
      <c r="G6" s="130"/>
      <c r="I6" s="61">
        <v>3.0027397260273974</v>
      </c>
      <c r="L6" s="61">
        <v>0.24657534246575341</v>
      </c>
      <c r="O6" s="61">
        <v>4.6712328767123283</v>
      </c>
      <c r="R6" s="61">
        <v>0.24657534246575341</v>
      </c>
      <c r="U6" s="61">
        <v>0.24657534246575341</v>
      </c>
    </row>
    <row r="7" spans="2:31" x14ac:dyDescent="0.35">
      <c r="B7" t="s">
        <v>773</v>
      </c>
      <c r="C7" s="64">
        <f>AVERAGE($L$6:$L$81)</f>
        <v>6.1626532083633734</v>
      </c>
      <c r="D7" s="64">
        <f>AVERAGE($O$6:$O$22)</f>
        <v>9.4781627719580985</v>
      </c>
      <c r="E7" s="64">
        <f>AVERAGE($R$6:$R$90)</f>
        <v>6.5699274778404488</v>
      </c>
      <c r="F7" s="64">
        <f>AVERAGE($I$6:$I$75)</f>
        <v>11.913385518590996</v>
      </c>
      <c r="G7" s="64">
        <f>AVERAGE($U$6:$U$148)</f>
        <v>9.1380400421496315</v>
      </c>
      <c r="I7" s="61">
        <v>3.6219178082191781</v>
      </c>
      <c r="L7" s="61">
        <v>0.98630136986301364</v>
      </c>
      <c r="O7" s="61">
        <v>4.9671232876712326</v>
      </c>
      <c r="R7" s="61">
        <v>0.98630136986301364</v>
      </c>
      <c r="U7" s="61">
        <v>0.98630136986301364</v>
      </c>
    </row>
    <row r="8" spans="2:31" x14ac:dyDescent="0.35">
      <c r="B8" t="s">
        <v>772</v>
      </c>
      <c r="C8" s="64">
        <f>MEDIAN($L$6:$L$81)</f>
        <v>5.9876712328767123</v>
      </c>
      <c r="D8" s="64">
        <f>MEDIAN($O$6:$O$22)</f>
        <v>10.008219178082191</v>
      </c>
      <c r="E8" s="64">
        <f>MEDIAN($R$6:$R$90)</f>
        <v>6.0109589041095894</v>
      </c>
      <c r="F8" s="64">
        <f>MEDIAN($I$6:$I$75)</f>
        <v>9.7109589041095887</v>
      </c>
      <c r="G8" s="64">
        <f>MEDIAN($U$6:$U$148)</f>
        <v>8.0054794520547947</v>
      </c>
      <c r="I8" s="61">
        <v>3.8301369863013699</v>
      </c>
      <c r="L8" s="61">
        <v>1</v>
      </c>
      <c r="O8" s="61">
        <v>5.0027397260273974</v>
      </c>
      <c r="R8" s="61">
        <v>1</v>
      </c>
      <c r="U8" s="61">
        <v>1</v>
      </c>
    </row>
    <row r="9" spans="2:31" x14ac:dyDescent="0.35">
      <c r="B9" t="s">
        <v>778</v>
      </c>
      <c r="C9" s="64">
        <f>MAX($L$6:$L$81)</f>
        <v>17.065753424657533</v>
      </c>
      <c r="D9" s="64">
        <f>MAX($O$6:$O$22)</f>
        <v>15.095890410958905</v>
      </c>
      <c r="E9" s="64">
        <f>MAX($R$6:$R$90)</f>
        <v>17.065753424657533</v>
      </c>
      <c r="F9" s="64">
        <f>MAX($I$6:$I$75)</f>
        <v>60.545205479452058</v>
      </c>
      <c r="G9" s="64">
        <f>MAX($U$6:$U$148)</f>
        <v>60.545205479452058</v>
      </c>
      <c r="I9" s="61">
        <v>4.4986301369863018</v>
      </c>
      <c r="L9" s="61">
        <v>1.0027397260273974</v>
      </c>
      <c r="O9" s="61">
        <v>5.0054794520547947</v>
      </c>
      <c r="R9" s="61">
        <v>1.0027397260273974</v>
      </c>
      <c r="U9" s="61">
        <v>1.0027397260273974</v>
      </c>
    </row>
    <row r="10" spans="2:31" x14ac:dyDescent="0.35">
      <c r="B10" t="s">
        <v>779</v>
      </c>
      <c r="C10" s="64">
        <f>MIN($L$6:$L$81)</f>
        <v>0.24657534246575341</v>
      </c>
      <c r="D10" s="64">
        <f>MIN($O$6:$O$22)</f>
        <v>4.6712328767123283</v>
      </c>
      <c r="E10" s="64">
        <f>MIN($R$6:$R$90)</f>
        <v>0.24657534246575341</v>
      </c>
      <c r="F10" s="64">
        <f>MIN($I$6:$I$75)</f>
        <v>3.0027397260273974</v>
      </c>
      <c r="G10" s="64">
        <f>MIN($U$6:$U$148)</f>
        <v>0.24657534246575341</v>
      </c>
      <c r="I10" s="61">
        <v>4.7561643835616438</v>
      </c>
      <c r="L10" s="61">
        <v>1.167123287671233</v>
      </c>
      <c r="O10" s="61">
        <v>6.0849315068493155</v>
      </c>
      <c r="R10" s="61">
        <v>1.167123287671233</v>
      </c>
      <c r="U10" s="61">
        <v>1.167123287671233</v>
      </c>
    </row>
    <row r="11" spans="2:31" x14ac:dyDescent="0.35">
      <c r="B11" t="s">
        <v>780</v>
      </c>
      <c r="C11" s="64">
        <f>_xlfn.STDEV.S($L$6:$L$81)</f>
        <v>3.8559142468548</v>
      </c>
      <c r="D11" s="64">
        <f>_xlfn.STDEV.S($O$6:$O$22)</f>
        <v>3.7796483087227792</v>
      </c>
      <c r="E11" s="64">
        <f>_xlfn.STDEV.S($R$6:$R$90)</f>
        <v>4.0390676298313775</v>
      </c>
      <c r="F11" s="64">
        <f>_xlfn.STDEV.S($I$6:$I$75)</f>
        <v>9.7332885264203046</v>
      </c>
      <c r="G11" s="64">
        <f>_xlfn.STDEV.S($U$6:$U$148)</f>
        <v>7.9191895641945882</v>
      </c>
      <c r="I11" s="61">
        <v>5.0027397260273974</v>
      </c>
      <c r="L11" s="61">
        <v>1.4465753424657535</v>
      </c>
      <c r="O11" s="61">
        <v>7.0027397260273974</v>
      </c>
      <c r="R11" s="61">
        <v>1.4465753424657535</v>
      </c>
      <c r="U11" s="61">
        <v>1.4465753424657535</v>
      </c>
    </row>
    <row r="12" spans="2:31" x14ac:dyDescent="0.35">
      <c r="B12" t="s">
        <v>781</v>
      </c>
      <c r="C12" s="64">
        <f>SKEW($L$6:$L$81)</f>
        <v>0.47892889136219963</v>
      </c>
      <c r="D12" s="64">
        <f>SKEW($O$6:$O$22)</f>
        <v>0.22897961642185724</v>
      </c>
      <c r="E12" s="64">
        <f>SKEW($R$6:$R$90)</f>
        <v>0.44202085249850914</v>
      </c>
      <c r="F12" s="64">
        <f>SKEW($I$6:$I$75)</f>
        <v>2.6105437548913839</v>
      </c>
      <c r="G12" s="64">
        <f>SKEW($U$6:$U$148)</f>
        <v>2.9926675133230094</v>
      </c>
      <c r="I12" s="61">
        <v>5.0054794520547947</v>
      </c>
      <c r="L12" s="61">
        <v>1.4958904109589042</v>
      </c>
      <c r="O12" s="61">
        <v>7.0054794520547947</v>
      </c>
      <c r="R12" s="61">
        <v>1.4958904109589042</v>
      </c>
      <c r="U12" s="61">
        <v>1.4958904109589042</v>
      </c>
    </row>
    <row r="13" spans="2:31" x14ac:dyDescent="0.35">
      <c r="B13" s="62" t="s">
        <v>782</v>
      </c>
      <c r="C13" s="65">
        <f>KURT($L$6:$L$81)</f>
        <v>-0.43421935983457249</v>
      </c>
      <c r="D13" s="65">
        <f>KURT($O$6:$O$22)</f>
        <v>-1.2974592721110842</v>
      </c>
      <c r="E13" s="65">
        <f>KURT($R$6:$R$90)</f>
        <v>-0.5684489440631646</v>
      </c>
      <c r="F13" s="65">
        <f>KURT($I$6:$I$75)</f>
        <v>8.4383519772513402</v>
      </c>
      <c r="G13" s="65">
        <f>KURT($U$6:$U$148)</f>
        <v>13.282369270895419</v>
      </c>
      <c r="I13" s="61">
        <v>5.0136986301369859</v>
      </c>
      <c r="L13" s="61">
        <v>1.4986301369863013</v>
      </c>
      <c r="O13" s="61">
        <v>10.005479452054795</v>
      </c>
      <c r="R13" s="61">
        <v>1.4986301369863013</v>
      </c>
      <c r="U13" s="61">
        <v>1.4986301369863013</v>
      </c>
    </row>
    <row r="14" spans="2:31" x14ac:dyDescent="0.35">
      <c r="I14" s="61">
        <v>5.0630136986301366</v>
      </c>
      <c r="L14" s="61">
        <v>1.5013698630136987</v>
      </c>
      <c r="O14" s="61">
        <v>10.008219178082191</v>
      </c>
      <c r="R14" s="61">
        <v>1.5013698630136987</v>
      </c>
      <c r="U14" s="61">
        <v>1.5013698630136987</v>
      </c>
    </row>
    <row r="15" spans="2:31" x14ac:dyDescent="0.35">
      <c r="I15" s="61">
        <v>5.13972602739726</v>
      </c>
      <c r="L15" s="61">
        <v>1.5041095890410958</v>
      </c>
      <c r="O15" s="61">
        <v>10.063013698630137</v>
      </c>
      <c r="R15" s="61">
        <v>1.5041095890410958</v>
      </c>
      <c r="U15" s="61">
        <v>1.5041095890410958</v>
      </c>
    </row>
    <row r="16" spans="2:31" x14ac:dyDescent="0.35">
      <c r="I16" s="61">
        <v>5.2547945205479456</v>
      </c>
      <c r="L16" s="61">
        <v>1.526027397260274</v>
      </c>
      <c r="O16" s="61">
        <v>10.087671232876712</v>
      </c>
      <c r="R16" s="61">
        <v>1.526027397260274</v>
      </c>
      <c r="U16" s="61">
        <v>1.526027397260274</v>
      </c>
    </row>
    <row r="17" spans="9:21" x14ac:dyDescent="0.35">
      <c r="I17" s="61">
        <v>5.5205479452054798</v>
      </c>
      <c r="L17" s="61">
        <v>1.5397260273972602</v>
      </c>
      <c r="O17" s="61">
        <v>10.093150684931507</v>
      </c>
      <c r="R17" s="61">
        <v>1.5397260273972602</v>
      </c>
      <c r="U17" s="61">
        <v>1.5397260273972602</v>
      </c>
    </row>
    <row r="18" spans="9:21" x14ac:dyDescent="0.35">
      <c r="I18" s="61">
        <v>6.0054794520547947</v>
      </c>
      <c r="L18" s="61">
        <v>1.9726027397260273</v>
      </c>
      <c r="O18" s="61">
        <v>12.008219178082191</v>
      </c>
      <c r="R18" s="61">
        <v>1.9726027397260273</v>
      </c>
      <c r="U18" s="61">
        <v>1.9726027397260273</v>
      </c>
    </row>
    <row r="19" spans="9:21" x14ac:dyDescent="0.35">
      <c r="I19" s="61">
        <v>6.3890410958904109</v>
      </c>
      <c r="L19" s="61">
        <v>2</v>
      </c>
      <c r="O19" s="61">
        <v>14.008219178082191</v>
      </c>
      <c r="R19" s="61">
        <v>2</v>
      </c>
      <c r="U19" s="61">
        <v>2</v>
      </c>
    </row>
    <row r="20" spans="9:21" x14ac:dyDescent="0.35">
      <c r="I20" s="61">
        <v>6.5287671232876709</v>
      </c>
      <c r="L20" s="61">
        <v>2.0027397260273974</v>
      </c>
      <c r="O20" s="61">
        <v>15.008219178082191</v>
      </c>
      <c r="R20" s="61">
        <v>2.0027397260273974</v>
      </c>
      <c r="U20" s="61">
        <v>2.0027397260273974</v>
      </c>
    </row>
    <row r="21" spans="9:21" x14ac:dyDescent="0.35">
      <c r="I21" s="61">
        <v>6.5424657534246577</v>
      </c>
      <c r="L21" s="61">
        <v>2.1315068493150684</v>
      </c>
      <c r="O21" s="61">
        <v>15.010958904109589</v>
      </c>
      <c r="R21" s="61">
        <v>2.1315068493150684</v>
      </c>
      <c r="U21" s="61">
        <v>2.1315068493150684</v>
      </c>
    </row>
    <row r="22" spans="9:21" x14ac:dyDescent="0.35">
      <c r="I22" s="61">
        <v>7</v>
      </c>
      <c r="L22" s="61">
        <v>2.2547945205479452</v>
      </c>
      <c r="O22" s="61">
        <v>15.095890410958905</v>
      </c>
      <c r="R22" s="61">
        <v>2.2547945205479452</v>
      </c>
      <c r="U22" s="61">
        <v>2.2547945205479452</v>
      </c>
    </row>
    <row r="23" spans="9:21" x14ac:dyDescent="0.35">
      <c r="I23" s="61">
        <v>7.0027397260273974</v>
      </c>
      <c r="L23" s="61">
        <v>2.6712328767123288</v>
      </c>
      <c r="O23" s="61" t="s">
        <v>768</v>
      </c>
      <c r="R23" s="61">
        <v>2.6712328767123288</v>
      </c>
      <c r="U23" s="61">
        <v>2.6712328767123288</v>
      </c>
    </row>
    <row r="24" spans="9:21" x14ac:dyDescent="0.35">
      <c r="I24" s="61">
        <v>7.0054794520547947</v>
      </c>
      <c r="L24" s="61">
        <v>3</v>
      </c>
      <c r="R24" s="61">
        <v>3</v>
      </c>
      <c r="U24" s="61">
        <v>3</v>
      </c>
    </row>
    <row r="25" spans="9:21" x14ac:dyDescent="0.35">
      <c r="I25" s="61">
        <v>7.0109589041095894</v>
      </c>
      <c r="L25" s="61">
        <v>3.0027397260273974</v>
      </c>
      <c r="R25" s="61">
        <v>3.0027397260273974</v>
      </c>
      <c r="U25" s="61">
        <v>3.0027397260273974</v>
      </c>
    </row>
    <row r="26" spans="9:21" x14ac:dyDescent="0.35">
      <c r="I26" s="61">
        <v>7.0136986301369859</v>
      </c>
      <c r="L26" s="61">
        <v>3.0246575342465754</v>
      </c>
      <c r="R26" s="61">
        <v>3.0246575342465754</v>
      </c>
      <c r="U26" s="61">
        <v>3.0246575342465754</v>
      </c>
    </row>
    <row r="27" spans="9:21" x14ac:dyDescent="0.35">
      <c r="I27" s="61">
        <v>7.1452054794520548</v>
      </c>
      <c r="L27" s="61">
        <v>3.0876712328767124</v>
      </c>
      <c r="R27" s="61">
        <v>3.0876712328767124</v>
      </c>
      <c r="U27" s="61">
        <v>3.0876712328767124</v>
      </c>
    </row>
    <row r="28" spans="9:21" x14ac:dyDescent="0.35">
      <c r="I28" s="61">
        <v>7.2027397260273975</v>
      </c>
      <c r="L28" s="61">
        <v>3.2712328767123289</v>
      </c>
      <c r="R28" s="61">
        <v>3.2712328767123289</v>
      </c>
      <c r="U28" s="61">
        <v>3.2712328767123289</v>
      </c>
    </row>
    <row r="29" spans="9:21" x14ac:dyDescent="0.35">
      <c r="I29" s="61">
        <v>7.3397260273972602</v>
      </c>
      <c r="L29" s="61">
        <v>3.3315068493150686</v>
      </c>
      <c r="R29" s="61">
        <v>3.3315068493150686</v>
      </c>
      <c r="U29" s="61">
        <v>3.3315068493150686</v>
      </c>
    </row>
    <row r="30" spans="9:21" x14ac:dyDescent="0.35">
      <c r="I30" s="61">
        <v>7.506849315068493</v>
      </c>
      <c r="L30" s="61">
        <v>3.506849315068493</v>
      </c>
      <c r="R30" s="61">
        <v>3.506849315068493</v>
      </c>
      <c r="U30" s="61">
        <v>3.506849315068493</v>
      </c>
    </row>
    <row r="31" spans="9:21" x14ac:dyDescent="0.35">
      <c r="I31" s="61">
        <v>8.0054794520547947</v>
      </c>
      <c r="L31" s="61">
        <v>3.6164383561643834</v>
      </c>
      <c r="R31" s="61">
        <v>3.6164383561643834</v>
      </c>
      <c r="U31" s="61">
        <v>3.6164383561643834</v>
      </c>
    </row>
    <row r="32" spans="9:21" x14ac:dyDescent="0.35">
      <c r="I32" s="61">
        <v>8.4547945205479458</v>
      </c>
      <c r="L32" s="61">
        <v>3.6657534246575341</v>
      </c>
      <c r="R32" s="61">
        <v>3.6657534246575341</v>
      </c>
      <c r="U32" s="61">
        <v>3.6219178082191781</v>
      </c>
    </row>
    <row r="33" spans="9:21" x14ac:dyDescent="0.35">
      <c r="I33" s="61">
        <v>8.4684931506849317</v>
      </c>
      <c r="L33" s="61">
        <v>3.6767123287671235</v>
      </c>
      <c r="R33" s="61">
        <v>3.6767123287671235</v>
      </c>
      <c r="U33" s="61">
        <v>3.6657534246575341</v>
      </c>
    </row>
    <row r="34" spans="9:21" x14ac:dyDescent="0.35">
      <c r="I34" s="61">
        <v>8.8410958904109584</v>
      </c>
      <c r="L34" s="61">
        <v>4.0027397260273974</v>
      </c>
      <c r="R34" s="61">
        <v>4.0027397260273974</v>
      </c>
      <c r="U34" s="61">
        <v>3.6767123287671235</v>
      </c>
    </row>
    <row r="35" spans="9:21" x14ac:dyDescent="0.35">
      <c r="I35" s="61">
        <v>8.8849315068493144</v>
      </c>
      <c r="L35" s="61">
        <v>4.5013698630136982</v>
      </c>
      <c r="R35" s="61">
        <v>4.5013698630136982</v>
      </c>
      <c r="U35" s="61">
        <v>3.8301369863013699</v>
      </c>
    </row>
    <row r="36" spans="9:21" x14ac:dyDescent="0.35">
      <c r="I36" s="61">
        <v>9.205479452054794</v>
      </c>
      <c r="L36" s="61">
        <v>4.5890410958904111</v>
      </c>
      <c r="R36" s="61">
        <v>4.5890410958904111</v>
      </c>
      <c r="U36" s="61">
        <v>4.0027397260273974</v>
      </c>
    </row>
    <row r="37" spans="9:21" x14ac:dyDescent="0.35">
      <c r="I37" s="61">
        <v>9.2684931506849306</v>
      </c>
      <c r="L37" s="61">
        <v>5.0027397260273974</v>
      </c>
      <c r="R37" s="61">
        <v>4.6712328767123283</v>
      </c>
      <c r="U37" s="61">
        <v>4.4986301369863018</v>
      </c>
    </row>
    <row r="38" spans="9:21" x14ac:dyDescent="0.35">
      <c r="I38" s="61">
        <v>9.4054794520547951</v>
      </c>
      <c r="L38" s="61">
        <v>5.0054794520547947</v>
      </c>
      <c r="R38" s="61">
        <v>4.9671232876712326</v>
      </c>
      <c r="U38" s="61">
        <v>4.5013698630136982</v>
      </c>
    </row>
    <row r="39" spans="9:21" x14ac:dyDescent="0.35">
      <c r="I39" s="61">
        <v>9.4301369863013704</v>
      </c>
      <c r="L39" s="61">
        <v>5.087671232876712</v>
      </c>
      <c r="R39" s="61">
        <v>5.0027397260273974</v>
      </c>
      <c r="U39" s="61">
        <v>4.5890410958904111</v>
      </c>
    </row>
    <row r="40" spans="9:21" x14ac:dyDescent="0.35">
      <c r="I40" s="61">
        <v>9.6849315068493151</v>
      </c>
      <c r="L40" s="61">
        <v>5.2219178082191782</v>
      </c>
      <c r="R40" s="61">
        <v>5.0054794520547947</v>
      </c>
      <c r="U40" s="61">
        <v>4.6712328767123283</v>
      </c>
    </row>
    <row r="41" spans="9:21" x14ac:dyDescent="0.35">
      <c r="I41" s="61">
        <v>9.7369863013698623</v>
      </c>
      <c r="L41" s="61">
        <v>5.5041095890410956</v>
      </c>
      <c r="R41" s="61">
        <v>5.087671232876712</v>
      </c>
      <c r="U41" s="61">
        <v>4.7561643835616438</v>
      </c>
    </row>
    <row r="42" spans="9:21" x14ac:dyDescent="0.35">
      <c r="I42" s="61">
        <v>9.8767123287671232</v>
      </c>
      <c r="L42" s="61">
        <v>5.7068493150684931</v>
      </c>
      <c r="R42" s="61">
        <v>5.2219178082191782</v>
      </c>
      <c r="U42" s="61">
        <v>4.9671232876712326</v>
      </c>
    </row>
    <row r="43" spans="9:21" x14ac:dyDescent="0.35">
      <c r="I43" s="61">
        <v>9.9479452054794528</v>
      </c>
      <c r="L43" s="61">
        <v>5.9726027397260273</v>
      </c>
      <c r="R43" s="61">
        <v>5.5041095890410956</v>
      </c>
      <c r="U43" s="61">
        <v>5.0027397260273974</v>
      </c>
    </row>
    <row r="44" spans="9:21" x14ac:dyDescent="0.35">
      <c r="I44" s="61">
        <v>9.9506849315068493</v>
      </c>
      <c r="L44" s="61">
        <v>6.0027397260273974</v>
      </c>
      <c r="R44" s="61">
        <v>5.7068493150684931</v>
      </c>
      <c r="U44" s="61">
        <v>5.0054794520547947</v>
      </c>
    </row>
    <row r="45" spans="9:21" x14ac:dyDescent="0.35">
      <c r="I45" s="61">
        <v>9.9808219178082194</v>
      </c>
      <c r="L45" s="61">
        <v>6.0054794520547947</v>
      </c>
      <c r="R45" s="61">
        <v>5.9726027397260273</v>
      </c>
      <c r="U45" s="61">
        <v>5.0136986301369859</v>
      </c>
    </row>
    <row r="46" spans="9:21" x14ac:dyDescent="0.35">
      <c r="I46" s="61">
        <v>10.005479452054795</v>
      </c>
      <c r="L46" s="61">
        <v>6.0109589041095894</v>
      </c>
      <c r="R46" s="61">
        <v>6.0027397260273974</v>
      </c>
      <c r="U46" s="61">
        <v>5.0630136986301366</v>
      </c>
    </row>
    <row r="47" spans="9:21" x14ac:dyDescent="0.35">
      <c r="I47" s="61">
        <v>10.008219178082191</v>
      </c>
      <c r="L47" s="61">
        <v>6.3643835616438356</v>
      </c>
      <c r="R47" s="61">
        <v>6.0054794520547947</v>
      </c>
      <c r="U47" s="61">
        <v>5.087671232876712</v>
      </c>
    </row>
    <row r="48" spans="9:21" x14ac:dyDescent="0.35">
      <c r="I48" s="61">
        <v>10.016438356164384</v>
      </c>
      <c r="L48" s="61">
        <v>7</v>
      </c>
      <c r="R48" s="61">
        <v>6.0109589041095894</v>
      </c>
      <c r="U48" s="61">
        <v>5.13972602739726</v>
      </c>
    </row>
    <row r="49" spans="9:21" x14ac:dyDescent="0.35">
      <c r="I49" s="61">
        <v>10.021917808219179</v>
      </c>
      <c r="L49" s="61">
        <v>7.0027397260273974</v>
      </c>
      <c r="R49" s="61">
        <v>6.0849315068493155</v>
      </c>
      <c r="U49" s="61">
        <v>5.2219178082191782</v>
      </c>
    </row>
    <row r="50" spans="9:21" x14ac:dyDescent="0.35">
      <c r="I50" s="61">
        <v>10.043835616438356</v>
      </c>
      <c r="L50" s="61">
        <v>7.0054794520547947</v>
      </c>
      <c r="R50" s="61">
        <v>6.3643835616438356</v>
      </c>
      <c r="U50" s="61">
        <v>5.2547945205479456</v>
      </c>
    </row>
    <row r="51" spans="9:21" x14ac:dyDescent="0.35">
      <c r="I51" s="61">
        <v>10.076712328767123</v>
      </c>
      <c r="L51" s="61">
        <v>7.0904109589041093</v>
      </c>
      <c r="R51" s="61">
        <v>7</v>
      </c>
      <c r="U51" s="61">
        <v>5.5041095890410956</v>
      </c>
    </row>
    <row r="52" spans="9:21" x14ac:dyDescent="0.35">
      <c r="I52" s="61">
        <v>10.09041095890411</v>
      </c>
      <c r="L52" s="61">
        <v>7.1726027397260275</v>
      </c>
      <c r="R52" s="61">
        <v>7.0027397260273974</v>
      </c>
      <c r="U52" s="61">
        <v>5.5205479452054798</v>
      </c>
    </row>
    <row r="53" spans="9:21" x14ac:dyDescent="0.35">
      <c r="I53" s="61">
        <v>10.147945205479452</v>
      </c>
      <c r="L53" s="61">
        <v>7.5041095890410956</v>
      </c>
      <c r="R53" s="61">
        <v>7.0054794520547947</v>
      </c>
      <c r="U53" s="61">
        <v>5.7068493150684931</v>
      </c>
    </row>
    <row r="54" spans="9:21" x14ac:dyDescent="0.35">
      <c r="I54" s="61">
        <v>10.175342465753424</v>
      </c>
      <c r="L54" s="61">
        <v>7.506849315068493</v>
      </c>
      <c r="R54" s="61">
        <v>7.0904109589041093</v>
      </c>
      <c r="U54" s="61">
        <v>5.9726027397260273</v>
      </c>
    </row>
    <row r="55" spans="9:21" x14ac:dyDescent="0.35">
      <c r="I55" s="61">
        <v>10.257534246575343</v>
      </c>
      <c r="L55" s="61">
        <v>7.6438356164383565</v>
      </c>
      <c r="R55" s="61">
        <v>7.1726027397260275</v>
      </c>
      <c r="U55" s="61">
        <v>6.0027397260273974</v>
      </c>
    </row>
    <row r="56" spans="9:21" x14ac:dyDescent="0.35">
      <c r="I56" s="61">
        <v>10.328767123287671</v>
      </c>
      <c r="L56" s="61">
        <v>7.9205479452054792</v>
      </c>
      <c r="R56" s="61">
        <v>7.5041095890410956</v>
      </c>
      <c r="U56" s="61">
        <v>6.0054794520547947</v>
      </c>
    </row>
    <row r="57" spans="9:21" x14ac:dyDescent="0.35">
      <c r="I57" s="61">
        <v>10.334246575342465</v>
      </c>
      <c r="L57" s="61">
        <v>8.0054794520547947</v>
      </c>
      <c r="R57" s="61">
        <v>7.506849315068493</v>
      </c>
      <c r="U57" s="61">
        <v>6.0109589041095894</v>
      </c>
    </row>
    <row r="58" spans="9:21" x14ac:dyDescent="0.35">
      <c r="I58" s="61">
        <v>10.33972602739726</v>
      </c>
      <c r="L58" s="61">
        <v>8.0082191780821912</v>
      </c>
      <c r="R58" s="61">
        <v>7.6438356164383565</v>
      </c>
      <c r="U58" s="61">
        <v>6.0849315068493155</v>
      </c>
    </row>
    <row r="59" spans="9:21" x14ac:dyDescent="0.35">
      <c r="I59" s="61">
        <v>10.342465753424657</v>
      </c>
      <c r="L59" s="61">
        <v>8.087671232876712</v>
      </c>
      <c r="R59" s="61">
        <v>7.9205479452054792</v>
      </c>
      <c r="U59" s="61">
        <v>6.3643835616438356</v>
      </c>
    </row>
    <row r="60" spans="9:21" x14ac:dyDescent="0.35">
      <c r="I60" s="61">
        <v>10.515068493150684</v>
      </c>
      <c r="L60" s="61">
        <v>9.0054794520547947</v>
      </c>
      <c r="R60" s="61">
        <v>8.0054794520547947</v>
      </c>
      <c r="U60" s="61">
        <v>6.3890410958904109</v>
      </c>
    </row>
    <row r="61" spans="9:21" x14ac:dyDescent="0.35">
      <c r="I61" s="61">
        <v>10.547945205479452</v>
      </c>
      <c r="L61" s="61">
        <v>9.0082191780821912</v>
      </c>
      <c r="R61" s="61">
        <v>8.0082191780821912</v>
      </c>
      <c r="U61" s="61">
        <v>6.5287671232876709</v>
      </c>
    </row>
    <row r="62" spans="9:21" x14ac:dyDescent="0.35">
      <c r="I62" s="61">
        <v>10.591780821917808</v>
      </c>
      <c r="L62" s="61">
        <v>9.3369863013698637</v>
      </c>
      <c r="R62" s="61">
        <v>8.087671232876712</v>
      </c>
      <c r="U62" s="61">
        <v>6.5424657534246577</v>
      </c>
    </row>
    <row r="63" spans="9:21" x14ac:dyDescent="0.35">
      <c r="I63" s="61">
        <v>10.641095890410959</v>
      </c>
      <c r="L63" s="61">
        <v>9.3397260273972602</v>
      </c>
      <c r="R63" s="61">
        <v>9.0054794520547947</v>
      </c>
      <c r="U63" s="61">
        <v>7</v>
      </c>
    </row>
    <row r="64" spans="9:21" x14ac:dyDescent="0.35">
      <c r="I64" s="61">
        <v>11.008219178082191</v>
      </c>
      <c r="L64" s="61">
        <v>9.4904109589041088</v>
      </c>
      <c r="R64" s="61">
        <v>9.0082191780821912</v>
      </c>
      <c r="U64" s="61">
        <v>7.0027397260273974</v>
      </c>
    </row>
    <row r="65" spans="9:21" x14ac:dyDescent="0.35">
      <c r="I65" s="61">
        <v>27.816438356164383</v>
      </c>
      <c r="L65" s="61">
        <v>9.5123287671232877</v>
      </c>
      <c r="R65" s="61">
        <v>9.3369863013698637</v>
      </c>
      <c r="U65" s="61">
        <v>7.0054794520547947</v>
      </c>
    </row>
    <row r="66" spans="9:21" x14ac:dyDescent="0.35">
      <c r="I66" s="61">
        <v>28.367123287671234</v>
      </c>
      <c r="L66" s="61">
        <v>9.6712328767123292</v>
      </c>
      <c r="R66" s="61">
        <v>9.3397260273972602</v>
      </c>
      <c r="U66" s="61">
        <v>7.0109589041095894</v>
      </c>
    </row>
    <row r="67" spans="9:21" x14ac:dyDescent="0.35">
      <c r="I67" s="61">
        <v>29.016438356164382</v>
      </c>
      <c r="L67" s="61">
        <v>9.7589041095890412</v>
      </c>
      <c r="R67" s="61">
        <v>9.4904109589041088</v>
      </c>
      <c r="U67" s="61">
        <v>7.0136986301369859</v>
      </c>
    </row>
    <row r="68" spans="9:21" x14ac:dyDescent="0.35">
      <c r="I68" s="61">
        <v>29.172602739726027</v>
      </c>
      <c r="L68" s="61">
        <v>9.9205479452054792</v>
      </c>
      <c r="R68" s="61">
        <v>9.5123287671232877</v>
      </c>
      <c r="U68" s="61">
        <v>7.0904109589041093</v>
      </c>
    </row>
    <row r="69" spans="9:21" x14ac:dyDescent="0.35">
      <c r="I69" s="61">
        <v>29.219178082191782</v>
      </c>
      <c r="L69" s="61">
        <v>10.005479452054795</v>
      </c>
      <c r="R69" s="61">
        <v>9.6712328767123292</v>
      </c>
      <c r="U69" s="61">
        <v>7.1452054794520548</v>
      </c>
    </row>
    <row r="70" spans="9:21" x14ac:dyDescent="0.35">
      <c r="I70" s="61">
        <v>29.526027397260275</v>
      </c>
      <c r="L70" s="61">
        <v>10.008219178082191</v>
      </c>
      <c r="R70" s="61">
        <v>9.7589041095890412</v>
      </c>
      <c r="U70" s="61">
        <v>7.1726027397260275</v>
      </c>
    </row>
    <row r="71" spans="9:21" x14ac:dyDescent="0.35">
      <c r="I71" s="61">
        <v>29.923287671232877</v>
      </c>
      <c r="L71" s="61">
        <v>10.09041095890411</v>
      </c>
      <c r="R71" s="61">
        <v>9.9205479452054792</v>
      </c>
      <c r="U71" s="61">
        <v>7.2027397260273975</v>
      </c>
    </row>
    <row r="72" spans="9:21" x14ac:dyDescent="0.35">
      <c r="I72" s="61">
        <v>30.019178082191782</v>
      </c>
      <c r="L72" s="61">
        <v>11</v>
      </c>
      <c r="R72" s="61">
        <v>10.005479452054795</v>
      </c>
      <c r="U72" s="61">
        <v>7.3397260273972602</v>
      </c>
    </row>
    <row r="73" spans="9:21" x14ac:dyDescent="0.35">
      <c r="I73" s="61">
        <v>30.021917808219179</v>
      </c>
      <c r="L73" s="61">
        <v>11.180821917808219</v>
      </c>
      <c r="R73" s="61">
        <v>10.008219178082191</v>
      </c>
      <c r="U73" s="61">
        <v>7.5041095890410956</v>
      </c>
    </row>
    <row r="74" spans="9:21" x14ac:dyDescent="0.35">
      <c r="I74" s="61">
        <v>30.271232876712329</v>
      </c>
      <c r="L74" s="61">
        <v>11.254794520547945</v>
      </c>
      <c r="R74" s="61">
        <v>10.063013698630137</v>
      </c>
      <c r="U74" s="61">
        <v>7.506849315068493</v>
      </c>
    </row>
    <row r="75" spans="9:21" x14ac:dyDescent="0.35">
      <c r="I75" s="61">
        <v>60.545205479452058</v>
      </c>
      <c r="L75" s="61">
        <v>11.260273972602739</v>
      </c>
      <c r="R75" s="61">
        <v>10.087671232876712</v>
      </c>
      <c r="U75" s="61">
        <v>7.6438356164383565</v>
      </c>
    </row>
    <row r="76" spans="9:21" x14ac:dyDescent="0.35">
      <c r="I76" s="61" t="s">
        <v>768</v>
      </c>
      <c r="L76" s="61">
        <v>12.008219178082191</v>
      </c>
      <c r="R76" s="61">
        <v>10.09041095890411</v>
      </c>
      <c r="U76" s="61">
        <v>7.9205479452054792</v>
      </c>
    </row>
    <row r="77" spans="9:21" x14ac:dyDescent="0.35">
      <c r="L77" s="61">
        <v>12.682191780821919</v>
      </c>
      <c r="R77" s="61">
        <v>10.093150684931507</v>
      </c>
      <c r="U77" s="61">
        <v>8.0054794520547947</v>
      </c>
    </row>
    <row r="78" spans="9:21" x14ac:dyDescent="0.35">
      <c r="L78" s="61">
        <v>12.813698630136987</v>
      </c>
      <c r="R78" s="61">
        <v>11</v>
      </c>
      <c r="U78" s="61">
        <v>8.0082191780821912</v>
      </c>
    </row>
    <row r="79" spans="9:21" x14ac:dyDescent="0.35">
      <c r="L79" s="61">
        <v>12.882191780821918</v>
      </c>
      <c r="R79" s="61">
        <v>11.180821917808219</v>
      </c>
      <c r="U79" s="61">
        <v>8.087671232876712</v>
      </c>
    </row>
    <row r="80" spans="9:21" x14ac:dyDescent="0.35">
      <c r="L80" s="61">
        <v>15.008219178082191</v>
      </c>
      <c r="R80" s="61">
        <v>11.254794520547945</v>
      </c>
      <c r="U80" s="61">
        <v>8.4547945205479458</v>
      </c>
    </row>
    <row r="81" spans="12:21" x14ac:dyDescent="0.35">
      <c r="L81" s="61">
        <v>17.065753424657533</v>
      </c>
      <c r="R81" s="61">
        <v>11.260273972602739</v>
      </c>
      <c r="U81" s="61">
        <v>8.4684931506849317</v>
      </c>
    </row>
    <row r="82" spans="12:21" x14ac:dyDescent="0.35">
      <c r="L82" s="61" t="s">
        <v>768</v>
      </c>
      <c r="R82" s="61">
        <v>12.008219178082191</v>
      </c>
      <c r="U82" s="61">
        <v>8.8410958904109584</v>
      </c>
    </row>
    <row r="83" spans="12:21" x14ac:dyDescent="0.35">
      <c r="R83" s="61">
        <v>12.682191780821919</v>
      </c>
      <c r="U83" s="61">
        <v>8.8849315068493144</v>
      </c>
    </row>
    <row r="84" spans="12:21" x14ac:dyDescent="0.35">
      <c r="R84" s="61">
        <v>12.813698630136987</v>
      </c>
      <c r="U84" s="61">
        <v>9.0054794520547947</v>
      </c>
    </row>
    <row r="85" spans="12:21" x14ac:dyDescent="0.35">
      <c r="R85" s="61">
        <v>12.882191780821918</v>
      </c>
      <c r="U85" s="61">
        <v>9.0082191780821912</v>
      </c>
    </row>
    <row r="86" spans="12:21" x14ac:dyDescent="0.35">
      <c r="R86" s="61">
        <v>14.008219178082191</v>
      </c>
      <c r="U86" s="61">
        <v>9.205479452054794</v>
      </c>
    </row>
    <row r="87" spans="12:21" x14ac:dyDescent="0.35">
      <c r="R87" s="61">
        <v>15.008219178082191</v>
      </c>
      <c r="U87" s="61">
        <v>9.2684931506849306</v>
      </c>
    </row>
    <row r="88" spans="12:21" x14ac:dyDescent="0.35">
      <c r="R88" s="61">
        <v>15.010958904109589</v>
      </c>
      <c r="U88" s="61">
        <v>9.3369863013698637</v>
      </c>
    </row>
    <row r="89" spans="12:21" x14ac:dyDescent="0.35">
      <c r="R89" s="61">
        <v>15.095890410958905</v>
      </c>
      <c r="U89" s="61">
        <v>9.3397260273972602</v>
      </c>
    </row>
    <row r="90" spans="12:21" x14ac:dyDescent="0.35">
      <c r="R90" s="61">
        <v>17.065753424657533</v>
      </c>
      <c r="U90" s="61">
        <v>9.4054794520547951</v>
      </c>
    </row>
    <row r="91" spans="12:21" x14ac:dyDescent="0.35">
      <c r="R91" s="61" t="s">
        <v>768</v>
      </c>
      <c r="U91" s="61">
        <v>9.4301369863013704</v>
      </c>
    </row>
    <row r="92" spans="12:21" x14ac:dyDescent="0.35">
      <c r="U92" s="61">
        <v>9.4904109589041088</v>
      </c>
    </row>
    <row r="93" spans="12:21" x14ac:dyDescent="0.35">
      <c r="U93" s="61">
        <v>9.5123287671232877</v>
      </c>
    </row>
    <row r="94" spans="12:21" x14ac:dyDescent="0.35">
      <c r="U94" s="61">
        <v>9.6712328767123292</v>
      </c>
    </row>
    <row r="95" spans="12:21" x14ac:dyDescent="0.35">
      <c r="U95" s="61">
        <v>9.6849315068493151</v>
      </c>
    </row>
    <row r="96" spans="12:21" x14ac:dyDescent="0.35">
      <c r="U96" s="61">
        <v>9.7369863013698623</v>
      </c>
    </row>
    <row r="97" spans="21:21" x14ac:dyDescent="0.35">
      <c r="U97" s="61">
        <v>9.7589041095890412</v>
      </c>
    </row>
    <row r="98" spans="21:21" x14ac:dyDescent="0.35">
      <c r="U98" s="61">
        <v>9.8767123287671232</v>
      </c>
    </row>
    <row r="99" spans="21:21" x14ac:dyDescent="0.35">
      <c r="U99" s="61">
        <v>9.9205479452054792</v>
      </c>
    </row>
    <row r="100" spans="21:21" x14ac:dyDescent="0.35">
      <c r="U100" s="61">
        <v>9.9479452054794528</v>
      </c>
    </row>
    <row r="101" spans="21:21" x14ac:dyDescent="0.35">
      <c r="U101" s="61">
        <v>9.9506849315068493</v>
      </c>
    </row>
    <row r="102" spans="21:21" x14ac:dyDescent="0.35">
      <c r="U102" s="61">
        <v>9.9808219178082194</v>
      </c>
    </row>
    <row r="103" spans="21:21" x14ac:dyDescent="0.35">
      <c r="U103" s="61">
        <v>10.005479452054795</v>
      </c>
    </row>
    <row r="104" spans="21:21" x14ac:dyDescent="0.35">
      <c r="U104" s="61">
        <v>10.008219178082191</v>
      </c>
    </row>
    <row r="105" spans="21:21" x14ac:dyDescent="0.35">
      <c r="U105" s="61">
        <v>10.016438356164384</v>
      </c>
    </row>
    <row r="106" spans="21:21" x14ac:dyDescent="0.35">
      <c r="U106" s="61">
        <v>10.021917808219179</v>
      </c>
    </row>
    <row r="107" spans="21:21" x14ac:dyDescent="0.35">
      <c r="U107" s="61">
        <v>10.043835616438356</v>
      </c>
    </row>
    <row r="108" spans="21:21" x14ac:dyDescent="0.35">
      <c r="U108" s="61">
        <v>10.063013698630137</v>
      </c>
    </row>
    <row r="109" spans="21:21" x14ac:dyDescent="0.35">
      <c r="U109" s="61">
        <v>10.076712328767123</v>
      </c>
    </row>
    <row r="110" spans="21:21" x14ac:dyDescent="0.35">
      <c r="U110" s="61">
        <v>10.087671232876712</v>
      </c>
    </row>
    <row r="111" spans="21:21" x14ac:dyDescent="0.35">
      <c r="U111" s="61">
        <v>10.09041095890411</v>
      </c>
    </row>
    <row r="112" spans="21:21" x14ac:dyDescent="0.35">
      <c r="U112" s="61">
        <v>10.093150684931507</v>
      </c>
    </row>
    <row r="113" spans="21:21" x14ac:dyDescent="0.35">
      <c r="U113" s="61">
        <v>10.147945205479452</v>
      </c>
    </row>
    <row r="114" spans="21:21" x14ac:dyDescent="0.35">
      <c r="U114" s="61">
        <v>10.175342465753424</v>
      </c>
    </row>
    <row r="115" spans="21:21" x14ac:dyDescent="0.35">
      <c r="U115" s="61">
        <v>10.257534246575343</v>
      </c>
    </row>
    <row r="116" spans="21:21" x14ac:dyDescent="0.35">
      <c r="U116" s="61">
        <v>10.328767123287671</v>
      </c>
    </row>
    <row r="117" spans="21:21" x14ac:dyDescent="0.35">
      <c r="U117" s="61">
        <v>10.334246575342465</v>
      </c>
    </row>
    <row r="118" spans="21:21" x14ac:dyDescent="0.35">
      <c r="U118" s="61">
        <v>10.33972602739726</v>
      </c>
    </row>
    <row r="119" spans="21:21" x14ac:dyDescent="0.35">
      <c r="U119" s="61">
        <v>10.342465753424657</v>
      </c>
    </row>
    <row r="120" spans="21:21" x14ac:dyDescent="0.35">
      <c r="U120" s="61">
        <v>10.515068493150684</v>
      </c>
    </row>
    <row r="121" spans="21:21" x14ac:dyDescent="0.35">
      <c r="U121" s="61">
        <v>10.547945205479452</v>
      </c>
    </row>
    <row r="122" spans="21:21" x14ac:dyDescent="0.35">
      <c r="U122" s="61">
        <v>10.591780821917808</v>
      </c>
    </row>
    <row r="123" spans="21:21" x14ac:dyDescent="0.35">
      <c r="U123" s="61">
        <v>10.641095890410959</v>
      </c>
    </row>
    <row r="124" spans="21:21" x14ac:dyDescent="0.35">
      <c r="U124" s="61">
        <v>11</v>
      </c>
    </row>
    <row r="125" spans="21:21" x14ac:dyDescent="0.35">
      <c r="U125" s="61">
        <v>11.008219178082191</v>
      </c>
    </row>
    <row r="126" spans="21:21" x14ac:dyDescent="0.35">
      <c r="U126" s="61">
        <v>11.180821917808219</v>
      </c>
    </row>
    <row r="127" spans="21:21" x14ac:dyDescent="0.35">
      <c r="U127" s="61">
        <v>11.254794520547945</v>
      </c>
    </row>
    <row r="128" spans="21:21" x14ac:dyDescent="0.35">
      <c r="U128" s="61">
        <v>11.260273972602739</v>
      </c>
    </row>
    <row r="129" spans="21:21" x14ac:dyDescent="0.35">
      <c r="U129" s="61">
        <v>12.008219178082191</v>
      </c>
    </row>
    <row r="130" spans="21:21" x14ac:dyDescent="0.35">
      <c r="U130" s="61">
        <v>12.682191780821919</v>
      </c>
    </row>
    <row r="131" spans="21:21" x14ac:dyDescent="0.35">
      <c r="U131" s="61">
        <v>12.813698630136987</v>
      </c>
    </row>
    <row r="132" spans="21:21" x14ac:dyDescent="0.35">
      <c r="U132" s="61">
        <v>12.882191780821918</v>
      </c>
    </row>
    <row r="133" spans="21:21" x14ac:dyDescent="0.35">
      <c r="U133" s="61">
        <v>14.008219178082191</v>
      </c>
    </row>
    <row r="134" spans="21:21" x14ac:dyDescent="0.35">
      <c r="U134" s="61">
        <v>15.008219178082191</v>
      </c>
    </row>
    <row r="135" spans="21:21" x14ac:dyDescent="0.35">
      <c r="U135" s="61">
        <v>15.010958904109589</v>
      </c>
    </row>
    <row r="136" spans="21:21" x14ac:dyDescent="0.35">
      <c r="U136" s="61">
        <v>15.095890410958905</v>
      </c>
    </row>
    <row r="137" spans="21:21" x14ac:dyDescent="0.35">
      <c r="U137" s="61">
        <v>17.065753424657533</v>
      </c>
    </row>
    <row r="138" spans="21:21" x14ac:dyDescent="0.35">
      <c r="U138" s="61">
        <v>27.816438356164383</v>
      </c>
    </row>
    <row r="139" spans="21:21" x14ac:dyDescent="0.35">
      <c r="U139" s="61">
        <v>28.367123287671234</v>
      </c>
    </row>
    <row r="140" spans="21:21" x14ac:dyDescent="0.35">
      <c r="U140" s="61">
        <v>29.016438356164382</v>
      </c>
    </row>
    <row r="141" spans="21:21" x14ac:dyDescent="0.35">
      <c r="U141" s="61">
        <v>29.172602739726027</v>
      </c>
    </row>
    <row r="142" spans="21:21" x14ac:dyDescent="0.35">
      <c r="U142" s="61">
        <v>29.219178082191782</v>
      </c>
    </row>
    <row r="143" spans="21:21" x14ac:dyDescent="0.35">
      <c r="U143" s="61">
        <v>29.526027397260275</v>
      </c>
    </row>
    <row r="144" spans="21:21" x14ac:dyDescent="0.35">
      <c r="U144" s="61">
        <v>29.923287671232877</v>
      </c>
    </row>
    <row r="145" spans="21:21" x14ac:dyDescent="0.35">
      <c r="U145" s="61">
        <v>30.019178082191782</v>
      </c>
    </row>
    <row r="146" spans="21:21" x14ac:dyDescent="0.35">
      <c r="U146" s="61">
        <v>30.021917808219179</v>
      </c>
    </row>
    <row r="147" spans="21:21" x14ac:dyDescent="0.35">
      <c r="U147" s="61">
        <v>30.271232876712329</v>
      </c>
    </row>
    <row r="148" spans="21:21" x14ac:dyDescent="0.35">
      <c r="U148" s="61">
        <v>60.545205479452058</v>
      </c>
    </row>
    <row r="149" spans="21:21" x14ac:dyDescent="0.35">
      <c r="U149" s="61" t="s">
        <v>768</v>
      </c>
    </row>
  </sheetData>
  <mergeCells count="5">
    <mergeCell ref="C5:C6"/>
    <mergeCell ref="D5:D6"/>
    <mergeCell ref="F5:F6"/>
    <mergeCell ref="G5:G6"/>
    <mergeCell ref="E5:E6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B20EF-8270-4635-A1A9-014930AD1E51}">
  <dimension ref="B3:AC64"/>
  <sheetViews>
    <sheetView showGridLines="0" workbookViewId="0">
      <selection activeCell="C18" sqref="C18"/>
    </sheetView>
  </sheetViews>
  <sheetFormatPr defaultRowHeight="14.5" x14ac:dyDescent="0.35"/>
  <cols>
    <col min="2" max="2" width="18.6328125" bestFit="1" customWidth="1"/>
    <col min="3" max="3" width="13.1796875" bestFit="1" customWidth="1"/>
    <col min="4" max="5" width="14.453125" customWidth="1"/>
    <col min="6" max="6" width="16.90625" customWidth="1"/>
    <col min="7" max="7" width="18.6328125" bestFit="1" customWidth="1"/>
    <col min="8" max="8" width="18.81640625" bestFit="1" customWidth="1"/>
    <col min="9" max="9" width="10.90625" bestFit="1" customWidth="1"/>
    <col min="10" max="10" width="10.1796875" bestFit="1" customWidth="1"/>
    <col min="11" max="11" width="12.81640625" bestFit="1" customWidth="1"/>
    <col min="12" max="12" width="6.36328125" customWidth="1"/>
    <col min="13" max="13" width="17" bestFit="1" customWidth="1"/>
    <col min="14" max="14" width="12.81640625" bestFit="1" customWidth="1"/>
    <col min="15" max="15" width="13.1796875" customWidth="1"/>
    <col min="16" max="16" width="17" bestFit="1" customWidth="1"/>
    <col min="17" max="17" width="12.81640625" bestFit="1" customWidth="1"/>
    <col min="18" max="18" width="8.453125" customWidth="1"/>
    <col min="19" max="19" width="17" bestFit="1" customWidth="1"/>
    <col min="20" max="20" width="8.6328125" bestFit="1" customWidth="1"/>
    <col min="21" max="21" width="13.1796875" bestFit="1" customWidth="1"/>
    <col min="22" max="22" width="17.26953125" bestFit="1" customWidth="1"/>
    <col min="23" max="23" width="13.1796875" bestFit="1" customWidth="1"/>
    <col min="24" max="24" width="11.81640625" bestFit="1" customWidth="1"/>
    <col min="25" max="25" width="17.26953125" bestFit="1" customWidth="1"/>
    <col min="26" max="26" width="8.81640625" bestFit="1" customWidth="1"/>
    <col min="27" max="27" width="11.81640625" bestFit="1" customWidth="1"/>
    <col min="28" max="28" width="17.26953125" bestFit="1" customWidth="1"/>
    <col min="29" max="29" width="8.81640625" bestFit="1" customWidth="1"/>
    <col min="30" max="34" width="11.81640625" bestFit="1" customWidth="1"/>
    <col min="35" max="35" width="17" bestFit="1" customWidth="1"/>
    <col min="36" max="37" width="11.81640625" bestFit="1" customWidth="1"/>
    <col min="38" max="38" width="14" bestFit="1" customWidth="1"/>
    <col min="39" max="46" width="11.81640625" bestFit="1" customWidth="1"/>
    <col min="47" max="47" width="19.36328125" bestFit="1" customWidth="1"/>
    <col min="48" max="48" width="11.81640625" bestFit="1" customWidth="1"/>
    <col min="49" max="53" width="5.81640625" bestFit="1" customWidth="1"/>
    <col min="54" max="54" width="21.6328125" bestFit="1" customWidth="1"/>
    <col min="55" max="55" width="18.54296875" bestFit="1" customWidth="1"/>
    <col min="56" max="65" width="5.81640625" bestFit="1" customWidth="1"/>
    <col min="66" max="66" width="21.6328125" bestFit="1" customWidth="1"/>
    <col min="67" max="67" width="9.90625" bestFit="1" customWidth="1"/>
    <col min="68" max="86" width="5.81640625" bestFit="1" customWidth="1"/>
    <col min="87" max="87" width="12.90625" bestFit="1" customWidth="1"/>
    <col min="88" max="88" width="6.54296875" bestFit="1" customWidth="1"/>
    <col min="89" max="98" width="5.81640625" bestFit="1" customWidth="1"/>
    <col min="99" max="99" width="8.7265625" bestFit="1" customWidth="1"/>
    <col min="100" max="100" width="7.90625" bestFit="1" customWidth="1"/>
    <col min="101" max="119" width="5.81640625" bestFit="1" customWidth="1"/>
    <col min="120" max="120" width="10.90625" bestFit="1" customWidth="1"/>
    <col min="121" max="121" width="24.6328125" bestFit="1" customWidth="1"/>
    <col min="122" max="122" width="5.81640625" bestFit="1" customWidth="1"/>
    <col min="123" max="123" width="27.81640625" bestFit="1" customWidth="1"/>
    <col min="124" max="124" width="6.90625" bestFit="1" customWidth="1"/>
    <col min="125" max="126" width="5.81640625" bestFit="1" customWidth="1"/>
    <col min="127" max="127" width="9.90625" bestFit="1" customWidth="1"/>
    <col min="128" max="128" width="7.7265625" bestFit="1" customWidth="1"/>
    <col min="129" max="139" width="5.81640625" bestFit="1" customWidth="1"/>
    <col min="140" max="140" width="10.6328125" bestFit="1" customWidth="1"/>
    <col min="141" max="141" width="6" bestFit="1" customWidth="1"/>
    <col min="142" max="150" width="5.81640625" bestFit="1" customWidth="1"/>
    <col min="151" max="151" width="9" bestFit="1" customWidth="1"/>
    <col min="152" max="152" width="10.1796875" bestFit="1" customWidth="1"/>
    <col min="153" max="154" width="5.81640625" bestFit="1" customWidth="1"/>
    <col min="155" max="155" width="13.1796875" bestFit="1" customWidth="1"/>
    <col min="156" max="156" width="11.26953125" bestFit="1" customWidth="1"/>
    <col min="157" max="164" width="5.81640625" bestFit="1" customWidth="1"/>
    <col min="165" max="165" width="14.26953125" bestFit="1" customWidth="1"/>
    <col min="166" max="166" width="11.26953125" bestFit="1" customWidth="1"/>
    <col min="167" max="169" width="5.81640625" bestFit="1" customWidth="1"/>
    <col min="170" max="170" width="14.26953125" bestFit="1" customWidth="1"/>
    <col min="171" max="171" width="8.81640625" bestFit="1" customWidth="1"/>
    <col min="172" max="179" width="5.81640625" bestFit="1" customWidth="1"/>
    <col min="180" max="180" width="11.81640625" bestFit="1" customWidth="1"/>
    <col min="181" max="181" width="17.7265625" bestFit="1" customWidth="1"/>
    <col min="182" max="190" width="5.81640625" bestFit="1" customWidth="1"/>
    <col min="191" max="191" width="21" bestFit="1" customWidth="1"/>
    <col min="192" max="192" width="18.36328125" bestFit="1" customWidth="1"/>
    <col min="193" max="195" width="5.81640625" bestFit="1" customWidth="1"/>
    <col min="196" max="196" width="21.54296875" bestFit="1" customWidth="1"/>
    <col min="197" max="197" width="8.6328125" bestFit="1" customWidth="1"/>
    <col min="198" max="206" width="5.81640625" bestFit="1" customWidth="1"/>
    <col min="207" max="207" width="11.54296875" bestFit="1" customWidth="1"/>
    <col min="208" max="208" width="13.36328125" bestFit="1" customWidth="1"/>
    <col min="209" max="211" width="5.81640625" bestFit="1" customWidth="1"/>
    <col min="212" max="212" width="16.6328125" bestFit="1" customWidth="1"/>
    <col min="213" max="213" width="15.54296875" bestFit="1" customWidth="1"/>
    <col min="214" max="219" width="5.81640625" bestFit="1" customWidth="1"/>
    <col min="220" max="220" width="18.6328125" bestFit="1" customWidth="1"/>
    <col min="221" max="221" width="7.90625" bestFit="1" customWidth="1"/>
    <col min="222" max="228" width="5.81640625" bestFit="1" customWidth="1"/>
    <col min="229" max="229" width="10.90625" bestFit="1" customWidth="1"/>
    <col min="230" max="230" width="13.36328125" bestFit="1" customWidth="1"/>
    <col min="231" max="259" width="5.81640625" bestFit="1" customWidth="1"/>
    <col min="260" max="260" width="16.6328125" bestFit="1" customWidth="1"/>
    <col min="261" max="261" width="8.81640625" bestFit="1" customWidth="1"/>
    <col min="262" max="272" width="5.81640625" bestFit="1" customWidth="1"/>
    <col min="273" max="273" width="11.81640625" bestFit="1" customWidth="1"/>
    <col min="274" max="274" width="9.6328125" bestFit="1" customWidth="1"/>
    <col min="275" max="285" width="5.81640625" bestFit="1" customWidth="1"/>
    <col min="286" max="286" width="12.81640625" bestFit="1" customWidth="1"/>
    <col min="287" max="287" width="9" bestFit="1" customWidth="1"/>
    <col min="288" max="309" width="5.81640625" bestFit="1" customWidth="1"/>
    <col min="310" max="310" width="12" bestFit="1" customWidth="1"/>
    <col min="311" max="311" width="18.6328125" bestFit="1" customWidth="1"/>
    <col min="312" max="326" width="5.81640625" bestFit="1" customWidth="1"/>
    <col min="327" max="327" width="21.81640625" bestFit="1" customWidth="1"/>
    <col min="328" max="328" width="6.54296875" bestFit="1" customWidth="1"/>
    <col min="329" max="335" width="5.81640625" bestFit="1" customWidth="1"/>
    <col min="336" max="336" width="7.453125" bestFit="1" customWidth="1"/>
    <col min="337" max="337" width="10.90625" bestFit="1" customWidth="1"/>
    <col min="338" max="341" width="6.54296875" bestFit="1" customWidth="1"/>
    <col min="342" max="368" width="5.81640625" bestFit="1" customWidth="1"/>
    <col min="369" max="369" width="13.90625" bestFit="1" customWidth="1"/>
    <col min="370" max="370" width="15.6328125" bestFit="1" customWidth="1"/>
    <col min="371" max="378" width="5.81640625" bestFit="1" customWidth="1"/>
    <col min="379" max="379" width="18.81640625" bestFit="1" customWidth="1"/>
    <col min="380" max="380" width="8.1796875" bestFit="1" customWidth="1"/>
    <col min="381" max="386" width="5.81640625" bestFit="1" customWidth="1"/>
    <col min="387" max="387" width="11.1796875" bestFit="1" customWidth="1"/>
    <col min="388" max="388" width="10.90625" bestFit="1" customWidth="1"/>
    <col min="389" max="403" width="5.81640625" bestFit="1" customWidth="1"/>
    <col min="404" max="404" width="14" bestFit="1" customWidth="1"/>
    <col min="405" max="405" width="7.54296875" bestFit="1" customWidth="1"/>
    <col min="406" max="417" width="5.81640625" bestFit="1" customWidth="1"/>
    <col min="418" max="418" width="10.453125" bestFit="1" customWidth="1"/>
    <col min="419" max="419" width="8.453125" bestFit="1" customWidth="1"/>
    <col min="420" max="437" width="5.81640625" bestFit="1" customWidth="1"/>
    <col min="438" max="438" width="11.453125" bestFit="1" customWidth="1"/>
    <col min="439" max="439" width="8.6328125" bestFit="1" customWidth="1"/>
    <col min="440" max="454" width="5.81640625" bestFit="1" customWidth="1"/>
    <col min="455" max="455" width="11.54296875" bestFit="1" customWidth="1"/>
    <col min="456" max="456" width="9.6328125" bestFit="1" customWidth="1"/>
    <col min="457" max="461" width="5.81640625" bestFit="1" customWidth="1"/>
    <col min="462" max="462" width="12.6328125" bestFit="1" customWidth="1"/>
    <col min="463" max="463" width="10.36328125" bestFit="1" customWidth="1"/>
    <col min="464" max="466" width="5.81640625" bestFit="1" customWidth="1"/>
    <col min="467" max="467" width="13.453125" bestFit="1" customWidth="1"/>
    <col min="468" max="468" width="6.54296875" bestFit="1" customWidth="1"/>
    <col min="469" max="478" width="5.81640625" bestFit="1" customWidth="1"/>
    <col min="479" max="479" width="9.36328125" bestFit="1" customWidth="1"/>
    <col min="480" max="480" width="21" bestFit="1" customWidth="1"/>
    <col min="481" max="493" width="5.81640625" bestFit="1" customWidth="1"/>
    <col min="494" max="494" width="24.08984375" bestFit="1" customWidth="1"/>
    <col min="495" max="495" width="10.1796875" bestFit="1" customWidth="1"/>
  </cols>
  <sheetData>
    <row r="3" spans="2:29" x14ac:dyDescent="0.35">
      <c r="K3" s="59"/>
      <c r="L3" s="59"/>
      <c r="N3" s="59"/>
      <c r="O3" s="59"/>
      <c r="W3" s="59"/>
      <c r="Z3" s="59"/>
      <c r="AC3" s="59"/>
    </row>
    <row r="5" spans="2:29" x14ac:dyDescent="0.35">
      <c r="B5" s="134" t="s">
        <v>823</v>
      </c>
      <c r="C5" s="129" t="s">
        <v>25</v>
      </c>
      <c r="D5" s="136" t="s">
        <v>34</v>
      </c>
      <c r="E5" s="129" t="s">
        <v>775</v>
      </c>
      <c r="G5" s="57" t="s">
        <v>770</v>
      </c>
      <c r="H5" s="57" t="s">
        <v>821</v>
      </c>
    </row>
    <row r="6" spans="2:29" x14ac:dyDescent="0.35">
      <c r="B6" s="135"/>
      <c r="C6" s="130"/>
      <c r="D6" s="137"/>
      <c r="E6" s="138"/>
      <c r="G6" s="57" t="s">
        <v>769</v>
      </c>
      <c r="H6" t="s">
        <v>34</v>
      </c>
      <c r="I6" t="s">
        <v>25</v>
      </c>
      <c r="J6" t="s">
        <v>768</v>
      </c>
    </row>
    <row r="7" spans="2:29" x14ac:dyDescent="0.35">
      <c r="B7" s="5">
        <v>2011</v>
      </c>
      <c r="C7" s="113">
        <f>+GETPIVOTDATA("Spread DI+",$G$5,"Ativo",$C$5,"Anos",$B7)</f>
        <v>1.9708044443907492E-2</v>
      </c>
      <c r="D7" s="113">
        <f>+GETPIVOTDATA("Spread DI+",$G$5,"Ativo",$D$5,"Anos",$B7)</f>
        <v>2.1951690174985359E-2</v>
      </c>
      <c r="E7" s="113">
        <f>GETPIVOTDATA("Spread DI+",$G$5,"Anos",$B7)</f>
        <v>2.0455926354266775E-2</v>
      </c>
      <c r="G7" s="59" t="s">
        <v>811</v>
      </c>
      <c r="H7" s="9">
        <v>2.1951690174985359E-2</v>
      </c>
      <c r="I7" s="9">
        <v>1.9708044443907492E-2</v>
      </c>
      <c r="J7" s="9">
        <v>2.0455926354266775E-2</v>
      </c>
    </row>
    <row r="8" spans="2:29" x14ac:dyDescent="0.35">
      <c r="B8" s="5">
        <f>+B7+1</f>
        <v>2012</v>
      </c>
      <c r="C8" s="113">
        <f t="shared" ref="C8:C17" si="0">+GETPIVOTDATA("Spread DI+",$G$5,"Ativo",$C$5,"Anos",$B8)</f>
        <v>1.7604535686037981E-2</v>
      </c>
      <c r="D8" s="113">
        <f t="shared" ref="D8:D17" si="1">+GETPIVOTDATA("Spread DI+",$G$5,"Ativo",$D$5,"Anos",$B8)</f>
        <v>2.5070410595335553E-2</v>
      </c>
      <c r="E8" s="113">
        <f t="shared" ref="E8:E17" si="2">GETPIVOTDATA("Spread DI+",$G$5,"Anos",$B8)</f>
        <v>2.0201361741445833E-2</v>
      </c>
      <c r="G8" s="59" t="s">
        <v>812</v>
      </c>
      <c r="H8" s="9">
        <v>2.5070410595335553E-2</v>
      </c>
      <c r="I8" s="9">
        <v>1.7604535686037981E-2</v>
      </c>
      <c r="J8" s="9">
        <v>2.0201361741445833E-2</v>
      </c>
    </row>
    <row r="9" spans="2:29" x14ac:dyDescent="0.35">
      <c r="B9" s="5">
        <f t="shared" ref="B9:B17" si="3">+B8+1</f>
        <v>2013</v>
      </c>
      <c r="C9" s="113">
        <f t="shared" si="0"/>
        <v>1.4150084750291069E-2</v>
      </c>
      <c r="D9" s="113">
        <f t="shared" si="1"/>
        <v>3.4964969937233588E-2</v>
      </c>
      <c r="E9" s="113">
        <f t="shared" si="2"/>
        <v>1.8953519793431652E-2</v>
      </c>
      <c r="G9" s="59" t="s">
        <v>813</v>
      </c>
      <c r="H9" s="9">
        <v>3.4964969937233588E-2</v>
      </c>
      <c r="I9" s="9">
        <v>1.4150084750291069E-2</v>
      </c>
      <c r="J9" s="9">
        <v>1.8953519793431652E-2</v>
      </c>
    </row>
    <row r="10" spans="2:29" x14ac:dyDescent="0.35">
      <c r="B10" s="5">
        <f t="shared" si="3"/>
        <v>2014</v>
      </c>
      <c r="C10" s="113">
        <f t="shared" si="0"/>
        <v>1.6153339718443287E-2</v>
      </c>
      <c r="D10" s="113">
        <f t="shared" si="1"/>
        <v>2.058334377644826E-2</v>
      </c>
      <c r="E10" s="113">
        <f t="shared" si="2"/>
        <v>1.7537715986569839E-2</v>
      </c>
      <c r="G10" s="59" t="s">
        <v>814</v>
      </c>
      <c r="H10" s="9">
        <v>2.058334377644826E-2</v>
      </c>
      <c r="I10" s="9">
        <v>1.6153339718443287E-2</v>
      </c>
      <c r="J10" s="9">
        <v>1.7537715986569839E-2</v>
      </c>
    </row>
    <row r="11" spans="2:29" x14ac:dyDescent="0.35">
      <c r="B11" s="5">
        <f t="shared" si="3"/>
        <v>2015</v>
      </c>
      <c r="C11" s="113">
        <f t="shared" si="0"/>
        <v>1.8462085991510658E-2</v>
      </c>
      <c r="D11" s="113">
        <f t="shared" si="1"/>
        <v>0</v>
      </c>
      <c r="E11" s="113">
        <f t="shared" si="2"/>
        <v>1.8462085991510658E-2</v>
      </c>
      <c r="G11" s="59" t="s">
        <v>822</v>
      </c>
      <c r="H11" s="9"/>
      <c r="I11" s="9">
        <v>1.8462085991510658E-2</v>
      </c>
      <c r="J11" s="9">
        <v>1.8462085991510658E-2</v>
      </c>
    </row>
    <row r="12" spans="2:29" x14ac:dyDescent="0.35">
      <c r="B12" s="5">
        <f t="shared" si="3"/>
        <v>2016</v>
      </c>
      <c r="C12" s="113">
        <f t="shared" si="0"/>
        <v>2.4552226082105198E-2</v>
      </c>
      <c r="D12" s="113">
        <f t="shared" si="1"/>
        <v>2.042055115885107E-2</v>
      </c>
      <c r="E12" s="113">
        <f t="shared" si="2"/>
        <v>2.2569022118943214E-2</v>
      </c>
      <c r="G12" s="59" t="s">
        <v>815</v>
      </c>
      <c r="H12" s="9">
        <v>2.042055115885107E-2</v>
      </c>
      <c r="I12" s="9">
        <v>2.4552226082105198E-2</v>
      </c>
      <c r="J12" s="9">
        <v>2.2569022118943214E-2</v>
      </c>
    </row>
    <row r="13" spans="2:29" x14ac:dyDescent="0.35">
      <c r="B13" s="5">
        <f t="shared" si="3"/>
        <v>2017</v>
      </c>
      <c r="C13" s="113">
        <f t="shared" si="0"/>
        <v>2.2018620519072749E-2</v>
      </c>
      <c r="D13" s="113">
        <f t="shared" si="1"/>
        <v>2.2778585488238249E-2</v>
      </c>
      <c r="E13" s="113">
        <f t="shared" si="2"/>
        <v>2.238208202606495E-2</v>
      </c>
      <c r="G13" s="59" t="s">
        <v>816</v>
      </c>
      <c r="H13" s="9">
        <v>2.2778585488238249E-2</v>
      </c>
      <c r="I13" s="9">
        <v>2.2018620519072749E-2</v>
      </c>
      <c r="J13" s="9">
        <v>2.238208202606495E-2</v>
      </c>
    </row>
    <row r="14" spans="2:29" x14ac:dyDescent="0.35">
      <c r="B14" s="5">
        <f t="shared" si="3"/>
        <v>2018</v>
      </c>
      <c r="C14" s="113">
        <f t="shared" si="0"/>
        <v>1.9371953400028973E-2</v>
      </c>
      <c r="D14" s="113">
        <f t="shared" si="1"/>
        <v>2.9291172480376222E-2</v>
      </c>
      <c r="E14" s="113">
        <f t="shared" si="2"/>
        <v>2.2326614402685591E-2</v>
      </c>
      <c r="G14" s="59" t="s">
        <v>817</v>
      </c>
      <c r="H14" s="9">
        <v>2.9291172480376222E-2</v>
      </c>
      <c r="I14" s="9">
        <v>1.9371953400028973E-2</v>
      </c>
      <c r="J14" s="9">
        <v>2.2326614402685591E-2</v>
      </c>
    </row>
    <row r="15" spans="2:29" x14ac:dyDescent="0.35">
      <c r="B15" s="5">
        <f t="shared" si="3"/>
        <v>2019</v>
      </c>
      <c r="C15" s="113">
        <f t="shared" si="0"/>
        <v>1.1767801835272812E-2</v>
      </c>
      <c r="D15" s="113">
        <f t="shared" si="1"/>
        <v>3.1931242670229773E-2</v>
      </c>
      <c r="E15" s="113">
        <f t="shared" si="2"/>
        <v>1.7312748064885967E-2</v>
      </c>
      <c r="G15" s="59" t="s">
        <v>818</v>
      </c>
      <c r="H15" s="9">
        <v>3.1931242670229773E-2</v>
      </c>
      <c r="I15" s="9">
        <v>1.1767801835272812E-2</v>
      </c>
      <c r="J15" s="9">
        <v>1.7312748064885967E-2</v>
      </c>
    </row>
    <row r="16" spans="2:29" x14ac:dyDescent="0.35">
      <c r="B16" s="5">
        <f t="shared" si="3"/>
        <v>2020</v>
      </c>
      <c r="C16" s="113">
        <f t="shared" si="0"/>
        <v>3.0044816770591478E-2</v>
      </c>
      <c r="D16" s="113">
        <f t="shared" si="1"/>
        <v>3.5289143011228999E-2</v>
      </c>
      <c r="E16" s="113">
        <f t="shared" si="2"/>
        <v>3.1587265664896662E-2</v>
      </c>
      <c r="G16" s="59" t="s">
        <v>819</v>
      </c>
      <c r="H16" s="9">
        <v>3.5289143011228999E-2</v>
      </c>
      <c r="I16" s="9">
        <v>3.0044816770591478E-2</v>
      </c>
      <c r="J16" s="9">
        <v>3.1587265664896662E-2</v>
      </c>
    </row>
    <row r="17" spans="2:10" x14ac:dyDescent="0.35">
      <c r="B17" s="96">
        <f t="shared" si="3"/>
        <v>2021</v>
      </c>
      <c r="C17" s="112">
        <f t="shared" si="0"/>
        <v>2.3518189576395999E-2</v>
      </c>
      <c r="D17" s="112">
        <f t="shared" si="1"/>
        <v>3.1187036337008988E-2</v>
      </c>
      <c r="E17" s="112">
        <f t="shared" si="2"/>
        <v>2.5759852475652104E-2</v>
      </c>
      <c r="G17" s="59" t="s">
        <v>820</v>
      </c>
      <c r="H17" s="9">
        <v>3.1187036337008988E-2</v>
      </c>
      <c r="I17" s="9">
        <v>2.3518189576395999E-2</v>
      </c>
      <c r="J17" s="9">
        <v>2.5759852475652104E-2</v>
      </c>
    </row>
    <row r="18" spans="2:10" x14ac:dyDescent="0.35">
      <c r="B18" s="5" t="s">
        <v>775</v>
      </c>
      <c r="C18" s="114">
        <f>+GETPIVOTDATA("Spread DI+",$G$5,"Ativo",$C$5)</f>
        <v>1.9569659782161831E-2</v>
      </c>
      <c r="D18" s="114">
        <f>+GETPIVOTDATA("Spread DI+",$G$5,"Ativo",$D$5)</f>
        <v>2.7644411539234769E-2</v>
      </c>
      <c r="E18" s="114">
        <f>+GETPIVOTDATA("Spread DI+",$G$5)</f>
        <v>2.2088100875985766E-2</v>
      </c>
      <c r="G18" s="59" t="s">
        <v>768</v>
      </c>
      <c r="H18" s="9">
        <v>2.7644411539234769E-2</v>
      </c>
      <c r="I18" s="9">
        <v>1.9569659782161831E-2</v>
      </c>
      <c r="J18" s="9">
        <v>2.2088100875985766E-2</v>
      </c>
    </row>
    <row r="24" spans="2:10" x14ac:dyDescent="0.35">
      <c r="C24" s="97"/>
    </row>
    <row r="30" spans="2:10" x14ac:dyDescent="0.35">
      <c r="C30" s="97"/>
    </row>
    <row r="31" spans="2:10" x14ac:dyDescent="0.35">
      <c r="C31" s="59"/>
    </row>
    <row r="37" spans="3:3" x14ac:dyDescent="0.35">
      <c r="C37" s="97"/>
    </row>
    <row r="38" spans="3:3" x14ac:dyDescent="0.35">
      <c r="C38" s="59"/>
    </row>
    <row r="44" spans="3:3" x14ac:dyDescent="0.35">
      <c r="C44" s="97"/>
    </row>
    <row r="45" spans="3:3" x14ac:dyDescent="0.35">
      <c r="C45" s="59"/>
    </row>
    <row r="51" spans="3:3" x14ac:dyDescent="0.35">
      <c r="C51" s="97"/>
    </row>
    <row r="52" spans="3:3" x14ac:dyDescent="0.35">
      <c r="C52" s="59"/>
    </row>
    <row r="58" spans="3:3" x14ac:dyDescent="0.35">
      <c r="C58" s="97"/>
    </row>
    <row r="64" spans="3:3" x14ac:dyDescent="0.35">
      <c r="C64" s="97"/>
    </row>
  </sheetData>
  <mergeCells count="4">
    <mergeCell ref="B5:B6"/>
    <mergeCell ref="C5:C6"/>
    <mergeCell ref="D5:D6"/>
    <mergeCell ref="E5:E6"/>
  </mergeCells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65DCA-1F43-4BE3-8A4E-5A07D05D9EB4}">
  <dimension ref="A3:W335"/>
  <sheetViews>
    <sheetView showGridLines="0" workbookViewId="0">
      <selection activeCell="E15" sqref="E15"/>
    </sheetView>
  </sheetViews>
  <sheetFormatPr defaultRowHeight="14.5" x14ac:dyDescent="0.35"/>
  <cols>
    <col min="1" max="1" width="17.26953125" bestFit="1" customWidth="1"/>
    <col min="2" max="4" width="19.453125" bestFit="1" customWidth="1"/>
    <col min="5" max="5" width="10.1796875" customWidth="1"/>
    <col min="6" max="6" width="16.90625" customWidth="1"/>
    <col min="7" max="7" width="17" bestFit="1" customWidth="1"/>
    <col min="8" max="8" width="8.26953125" bestFit="1" customWidth="1"/>
    <col min="9" max="9" width="8.453125" customWidth="1"/>
    <col min="10" max="10" width="17" bestFit="1" customWidth="1"/>
    <col min="11" max="11" width="12.81640625" bestFit="1" customWidth="1"/>
    <col min="12" max="12" width="8.453125" customWidth="1"/>
    <col min="13" max="13" width="17" bestFit="1" customWidth="1"/>
    <col min="14" max="14" width="8.6328125" bestFit="1" customWidth="1"/>
    <col min="15" max="15" width="13.1796875" bestFit="1" customWidth="1"/>
    <col min="16" max="16" width="17.26953125" bestFit="1" customWidth="1"/>
    <col min="17" max="17" width="13.1796875" bestFit="1" customWidth="1"/>
    <col min="18" max="18" width="11.81640625" bestFit="1" customWidth="1"/>
    <col min="19" max="19" width="17.26953125" bestFit="1" customWidth="1"/>
    <col min="20" max="20" width="8.81640625" bestFit="1" customWidth="1"/>
    <col min="21" max="21" width="11.81640625" bestFit="1" customWidth="1"/>
    <col min="22" max="22" width="17.26953125" bestFit="1" customWidth="1"/>
    <col min="23" max="23" width="8.81640625" bestFit="1" customWidth="1"/>
    <col min="24" max="28" width="11.81640625" bestFit="1" customWidth="1"/>
    <col min="29" max="29" width="17" bestFit="1" customWidth="1"/>
    <col min="30" max="31" width="11.81640625" bestFit="1" customWidth="1"/>
    <col min="32" max="32" width="14" bestFit="1" customWidth="1"/>
    <col min="33" max="40" width="11.81640625" bestFit="1" customWidth="1"/>
    <col min="41" max="41" width="19.36328125" bestFit="1" customWidth="1"/>
    <col min="42" max="42" width="11.81640625" bestFit="1" customWidth="1"/>
    <col min="43" max="47" width="5.81640625" bestFit="1" customWidth="1"/>
    <col min="48" max="48" width="21.6328125" bestFit="1" customWidth="1"/>
    <col min="49" max="49" width="18.54296875" bestFit="1" customWidth="1"/>
    <col min="50" max="59" width="5.81640625" bestFit="1" customWidth="1"/>
    <col min="60" max="60" width="21.6328125" bestFit="1" customWidth="1"/>
    <col min="61" max="61" width="9.90625" bestFit="1" customWidth="1"/>
    <col min="62" max="80" width="5.81640625" bestFit="1" customWidth="1"/>
    <col min="81" max="81" width="12.90625" bestFit="1" customWidth="1"/>
    <col min="82" max="82" width="6.54296875" bestFit="1" customWidth="1"/>
    <col min="83" max="92" width="5.81640625" bestFit="1" customWidth="1"/>
    <col min="93" max="93" width="8.7265625" bestFit="1" customWidth="1"/>
    <col min="94" max="94" width="7.90625" bestFit="1" customWidth="1"/>
    <col min="95" max="113" width="5.81640625" bestFit="1" customWidth="1"/>
    <col min="114" max="114" width="10.90625" bestFit="1" customWidth="1"/>
    <col min="115" max="115" width="24.6328125" bestFit="1" customWidth="1"/>
    <col min="116" max="116" width="5.81640625" bestFit="1" customWidth="1"/>
    <col min="117" max="117" width="27.81640625" bestFit="1" customWidth="1"/>
    <col min="118" max="118" width="6.90625" bestFit="1" customWidth="1"/>
    <col min="119" max="120" width="5.81640625" bestFit="1" customWidth="1"/>
    <col min="121" max="121" width="9.90625" bestFit="1" customWidth="1"/>
    <col min="122" max="122" width="7.7265625" bestFit="1" customWidth="1"/>
    <col min="123" max="133" width="5.81640625" bestFit="1" customWidth="1"/>
    <col min="134" max="134" width="10.6328125" bestFit="1" customWidth="1"/>
    <col min="135" max="135" width="6" bestFit="1" customWidth="1"/>
    <col min="136" max="144" width="5.81640625" bestFit="1" customWidth="1"/>
    <col min="145" max="145" width="9" bestFit="1" customWidth="1"/>
    <col min="146" max="146" width="10.1796875" bestFit="1" customWidth="1"/>
    <col min="147" max="148" width="5.81640625" bestFit="1" customWidth="1"/>
    <col min="149" max="149" width="13.1796875" bestFit="1" customWidth="1"/>
    <col min="150" max="150" width="11.26953125" bestFit="1" customWidth="1"/>
    <col min="151" max="158" width="5.81640625" bestFit="1" customWidth="1"/>
    <col min="159" max="159" width="14.26953125" bestFit="1" customWidth="1"/>
    <col min="160" max="160" width="11.26953125" bestFit="1" customWidth="1"/>
    <col min="161" max="163" width="5.81640625" bestFit="1" customWidth="1"/>
    <col min="164" max="164" width="14.26953125" bestFit="1" customWidth="1"/>
    <col min="165" max="165" width="8.81640625" bestFit="1" customWidth="1"/>
    <col min="166" max="173" width="5.81640625" bestFit="1" customWidth="1"/>
    <col min="174" max="174" width="11.81640625" bestFit="1" customWidth="1"/>
    <col min="175" max="175" width="17.7265625" bestFit="1" customWidth="1"/>
    <col min="176" max="184" width="5.81640625" bestFit="1" customWidth="1"/>
    <col min="185" max="185" width="21" bestFit="1" customWidth="1"/>
    <col min="186" max="186" width="18.36328125" bestFit="1" customWidth="1"/>
    <col min="187" max="189" width="5.81640625" bestFit="1" customWidth="1"/>
    <col min="190" max="190" width="21.54296875" bestFit="1" customWidth="1"/>
    <col min="191" max="191" width="8.6328125" bestFit="1" customWidth="1"/>
    <col min="192" max="200" width="5.81640625" bestFit="1" customWidth="1"/>
    <col min="201" max="201" width="11.54296875" bestFit="1" customWidth="1"/>
    <col min="202" max="202" width="13.36328125" bestFit="1" customWidth="1"/>
    <col min="203" max="205" width="5.81640625" bestFit="1" customWidth="1"/>
    <col min="206" max="206" width="16.6328125" bestFit="1" customWidth="1"/>
    <col min="207" max="207" width="15.54296875" bestFit="1" customWidth="1"/>
    <col min="208" max="213" width="5.81640625" bestFit="1" customWidth="1"/>
    <col min="214" max="214" width="18.6328125" bestFit="1" customWidth="1"/>
    <col min="215" max="215" width="7.90625" bestFit="1" customWidth="1"/>
    <col min="216" max="222" width="5.81640625" bestFit="1" customWidth="1"/>
    <col min="223" max="223" width="10.90625" bestFit="1" customWidth="1"/>
    <col min="224" max="224" width="13.36328125" bestFit="1" customWidth="1"/>
    <col min="225" max="253" width="5.81640625" bestFit="1" customWidth="1"/>
    <col min="254" max="254" width="16.6328125" bestFit="1" customWidth="1"/>
    <col min="255" max="255" width="8.81640625" bestFit="1" customWidth="1"/>
    <col min="256" max="266" width="5.81640625" bestFit="1" customWidth="1"/>
    <col min="267" max="267" width="11.81640625" bestFit="1" customWidth="1"/>
    <col min="268" max="268" width="9.6328125" bestFit="1" customWidth="1"/>
    <col min="269" max="279" width="5.81640625" bestFit="1" customWidth="1"/>
    <col min="280" max="280" width="12.81640625" bestFit="1" customWidth="1"/>
    <col min="281" max="281" width="9" bestFit="1" customWidth="1"/>
    <col min="282" max="303" width="5.81640625" bestFit="1" customWidth="1"/>
    <col min="304" max="304" width="12" bestFit="1" customWidth="1"/>
    <col min="305" max="305" width="18.6328125" bestFit="1" customWidth="1"/>
    <col min="306" max="320" width="5.81640625" bestFit="1" customWidth="1"/>
    <col min="321" max="321" width="21.81640625" bestFit="1" customWidth="1"/>
    <col min="322" max="322" width="6.54296875" bestFit="1" customWidth="1"/>
    <col min="323" max="329" width="5.81640625" bestFit="1" customWidth="1"/>
    <col min="330" max="330" width="7.453125" bestFit="1" customWidth="1"/>
    <col min="331" max="331" width="10.90625" bestFit="1" customWidth="1"/>
    <col min="332" max="335" width="6.54296875" bestFit="1" customWidth="1"/>
    <col min="336" max="362" width="5.81640625" bestFit="1" customWidth="1"/>
    <col min="363" max="363" width="13.90625" bestFit="1" customWidth="1"/>
    <col min="364" max="364" width="15.6328125" bestFit="1" customWidth="1"/>
    <col min="365" max="372" width="5.81640625" bestFit="1" customWidth="1"/>
    <col min="373" max="373" width="18.81640625" bestFit="1" customWidth="1"/>
    <col min="374" max="374" width="8.1796875" bestFit="1" customWidth="1"/>
    <col min="375" max="380" width="5.81640625" bestFit="1" customWidth="1"/>
    <col min="381" max="381" width="11.1796875" bestFit="1" customWidth="1"/>
    <col min="382" max="382" width="10.90625" bestFit="1" customWidth="1"/>
    <col min="383" max="397" width="5.81640625" bestFit="1" customWidth="1"/>
    <col min="398" max="398" width="14" bestFit="1" customWidth="1"/>
    <col min="399" max="399" width="7.54296875" bestFit="1" customWidth="1"/>
    <col min="400" max="411" width="5.81640625" bestFit="1" customWidth="1"/>
    <col min="412" max="412" width="10.453125" bestFit="1" customWidth="1"/>
    <col min="413" max="413" width="8.453125" bestFit="1" customWidth="1"/>
    <col min="414" max="431" width="5.81640625" bestFit="1" customWidth="1"/>
    <col min="432" max="432" width="11.453125" bestFit="1" customWidth="1"/>
    <col min="433" max="433" width="8.6328125" bestFit="1" customWidth="1"/>
    <col min="434" max="448" width="5.81640625" bestFit="1" customWidth="1"/>
    <col min="449" max="449" width="11.54296875" bestFit="1" customWidth="1"/>
    <col min="450" max="450" width="9.6328125" bestFit="1" customWidth="1"/>
    <col min="451" max="455" width="5.81640625" bestFit="1" customWidth="1"/>
    <col min="456" max="456" width="12.6328125" bestFit="1" customWidth="1"/>
    <col min="457" max="457" width="10.36328125" bestFit="1" customWidth="1"/>
    <col min="458" max="460" width="5.81640625" bestFit="1" customWidth="1"/>
    <col min="461" max="461" width="13.453125" bestFit="1" customWidth="1"/>
    <col min="462" max="462" width="6.54296875" bestFit="1" customWidth="1"/>
    <col min="463" max="472" width="5.81640625" bestFit="1" customWidth="1"/>
    <col min="473" max="473" width="9.36328125" bestFit="1" customWidth="1"/>
    <col min="474" max="474" width="21" bestFit="1" customWidth="1"/>
    <col min="475" max="487" width="5.81640625" bestFit="1" customWidth="1"/>
    <col min="488" max="488" width="24.08984375" bestFit="1" customWidth="1"/>
    <col min="489" max="489" width="10.1796875" bestFit="1" customWidth="1"/>
  </cols>
  <sheetData>
    <row r="3" spans="1:23" x14ac:dyDescent="0.35">
      <c r="G3" s="57" t="s">
        <v>3</v>
      </c>
      <c r="H3" t="s">
        <v>34</v>
      </c>
      <c r="J3" s="57" t="s">
        <v>3</v>
      </c>
      <c r="K3" t="s">
        <v>25</v>
      </c>
      <c r="M3" s="57" t="s">
        <v>3</v>
      </c>
      <c r="N3" t="s">
        <v>771</v>
      </c>
      <c r="Q3" s="59"/>
      <c r="T3" s="59"/>
      <c r="W3" s="59"/>
    </row>
    <row r="5" spans="1:23" x14ac:dyDescent="0.35">
      <c r="B5" t="s">
        <v>25</v>
      </c>
      <c r="C5" t="s">
        <v>34</v>
      </c>
      <c r="D5" t="s">
        <v>775</v>
      </c>
      <c r="G5" s="57" t="s">
        <v>769</v>
      </c>
      <c r="J5" s="57" t="s">
        <v>769</v>
      </c>
      <c r="M5" s="57" t="s">
        <v>769</v>
      </c>
    </row>
    <row r="6" spans="1:23" x14ac:dyDescent="0.35">
      <c r="G6" s="61">
        <v>15.670500000000001</v>
      </c>
      <c r="J6" s="61">
        <v>0.5</v>
      </c>
      <c r="M6" s="61">
        <v>0.5</v>
      </c>
    </row>
    <row r="7" spans="1:23" x14ac:dyDescent="0.35">
      <c r="A7" t="s">
        <v>773</v>
      </c>
      <c r="B7" s="8">
        <f>AVERAGE($J$6:$J$180)</f>
        <v>6.7890009101318292</v>
      </c>
      <c r="C7" s="8">
        <f>AVERAGE($G$6:$G$159)</f>
        <v>28.280680085363628</v>
      </c>
      <c r="D7" s="8">
        <f>AVERAGE($M$6:$M$334)</f>
        <v>16.84893584321906</v>
      </c>
      <c r="G7" s="61">
        <v>12.672800000000001</v>
      </c>
      <c r="J7" s="61">
        <v>0.7</v>
      </c>
      <c r="M7" s="61">
        <v>0.7</v>
      </c>
    </row>
    <row r="8" spans="1:23" x14ac:dyDescent="0.35">
      <c r="A8" t="s">
        <v>772</v>
      </c>
      <c r="B8" s="8">
        <f>MEDIAN($J$6:$J$180)</f>
        <v>3.0831</v>
      </c>
      <c r="C8" s="8">
        <f>MEDIAN($G$6:$G$159)</f>
        <v>19.58925</v>
      </c>
      <c r="D8" s="8">
        <f>MEDIAN($M$6:$M$334)</f>
        <v>9.9897500000000008</v>
      </c>
      <c r="G8" s="61">
        <v>27.015499999999999</v>
      </c>
      <c r="J8" s="61">
        <v>1</v>
      </c>
      <c r="M8" s="61">
        <v>1</v>
      </c>
    </row>
    <row r="9" spans="1:23" x14ac:dyDescent="0.35">
      <c r="A9" t="s">
        <v>778</v>
      </c>
      <c r="B9" s="8">
        <f>MAX($J$6:$J$180)</f>
        <v>46.811</v>
      </c>
      <c r="C9" s="8">
        <f>MAX($G$6:$G$159)</f>
        <v>186.32441408400001</v>
      </c>
      <c r="D9" s="8">
        <f>MAX($M$6:$M$334)</f>
        <v>186.32441408400001</v>
      </c>
      <c r="G9" s="61">
        <v>27.599499999999999</v>
      </c>
      <c r="J9" s="61">
        <v>1.05</v>
      </c>
      <c r="M9" s="61">
        <v>1.05</v>
      </c>
    </row>
    <row r="10" spans="1:23" x14ac:dyDescent="0.35">
      <c r="A10" t="s">
        <v>779</v>
      </c>
      <c r="B10" s="8">
        <f>MIN($J$6:$J$180)</f>
        <v>0.27</v>
      </c>
      <c r="C10" s="8">
        <f>MIN($G$6:$G$159)</f>
        <v>1.8327</v>
      </c>
      <c r="D10" s="8">
        <f>MIN($M$6:$M$334)</f>
        <v>0.27</v>
      </c>
      <c r="G10" s="61">
        <v>19.918559999999999</v>
      </c>
      <c r="J10" s="61">
        <v>1.5</v>
      </c>
      <c r="M10" s="61">
        <v>1.5</v>
      </c>
    </row>
    <row r="11" spans="1:23" x14ac:dyDescent="0.35">
      <c r="A11" t="s">
        <v>780</v>
      </c>
      <c r="B11" s="8">
        <f>_xlfn.STDEV.S($J$6:$J$180)</f>
        <v>8.6348454856730399</v>
      </c>
      <c r="C11" s="8">
        <f>_xlfn.STDEV.S($G$6:$G$159)</f>
        <v>28.955494457786578</v>
      </c>
      <c r="D11" s="8">
        <f>_xlfn.STDEV.S($M$6:$M$334)</f>
        <v>23.366626854464485</v>
      </c>
      <c r="G11" s="61">
        <v>30.5244</v>
      </c>
      <c r="J11" s="61">
        <v>1.6</v>
      </c>
      <c r="M11" s="61">
        <v>1.6</v>
      </c>
    </row>
    <row r="12" spans="1:23" x14ac:dyDescent="0.35">
      <c r="A12" t="s">
        <v>781</v>
      </c>
      <c r="B12" s="8">
        <f>SKEW($J$6:$J$180)</f>
        <v>2.5030002871826666</v>
      </c>
      <c r="C12" s="8">
        <f>SKEW($G$6:$G$159)</f>
        <v>3.1943707297237172</v>
      </c>
      <c r="D12" s="8">
        <f>SKEW($M$6:$M$334)</f>
        <v>3.8583644292691877</v>
      </c>
      <c r="G12" s="61">
        <v>12.975199999999999</v>
      </c>
      <c r="J12" s="61">
        <v>1.7</v>
      </c>
      <c r="M12" s="61">
        <v>1.7</v>
      </c>
    </row>
    <row r="13" spans="1:23" x14ac:dyDescent="0.35">
      <c r="A13" t="s">
        <v>782</v>
      </c>
      <c r="B13" s="8">
        <f>KURT($J$6:$J$180)</f>
        <v>7.031418638018474</v>
      </c>
      <c r="C13" s="8">
        <f>KURT($G$6:$G$159)</f>
        <v>12.979895536099068</v>
      </c>
      <c r="D13" s="8">
        <f>KURT($M$6:$M$334)</f>
        <v>20.984599778941401</v>
      </c>
      <c r="G13" s="61">
        <v>7.7694999999999999</v>
      </c>
      <c r="J13" s="61">
        <v>2.35</v>
      </c>
      <c r="M13" s="61">
        <v>2.35</v>
      </c>
    </row>
    <row r="14" spans="1:23" x14ac:dyDescent="0.35">
      <c r="G14" s="61">
        <v>5.1014999999999997</v>
      </c>
      <c r="J14" s="61">
        <v>2.5</v>
      </c>
      <c r="M14" s="61">
        <v>2.5</v>
      </c>
    </row>
    <row r="15" spans="1:23" x14ac:dyDescent="0.35">
      <c r="G15" s="61">
        <v>12.042</v>
      </c>
      <c r="J15" s="61">
        <v>3</v>
      </c>
      <c r="M15" s="61">
        <v>3</v>
      </c>
    </row>
    <row r="16" spans="1:23" x14ac:dyDescent="0.35">
      <c r="G16" s="61">
        <v>9.5715000000000003</v>
      </c>
      <c r="J16" s="61">
        <v>3.1</v>
      </c>
      <c r="M16" s="61">
        <v>3.1</v>
      </c>
    </row>
    <row r="17" spans="7:13" x14ac:dyDescent="0.35">
      <c r="G17" s="61">
        <v>11.826000000000001</v>
      </c>
      <c r="J17" s="61">
        <v>4</v>
      </c>
      <c r="M17" s="61">
        <v>4</v>
      </c>
    </row>
    <row r="18" spans="7:13" x14ac:dyDescent="0.35">
      <c r="G18" s="61">
        <v>4.33</v>
      </c>
      <c r="J18" s="61">
        <v>5.335</v>
      </c>
      <c r="M18" s="61">
        <v>15.670500000000001</v>
      </c>
    </row>
    <row r="19" spans="7:13" x14ac:dyDescent="0.35">
      <c r="G19" s="61">
        <v>59.67</v>
      </c>
      <c r="J19" s="61">
        <v>3.05</v>
      </c>
      <c r="M19" s="61">
        <v>5.335</v>
      </c>
    </row>
    <row r="20" spans="7:13" x14ac:dyDescent="0.35">
      <c r="G20" s="61">
        <v>39.602499999999999</v>
      </c>
      <c r="J20" s="61">
        <v>8</v>
      </c>
      <c r="M20" s="61">
        <v>3.05</v>
      </c>
    </row>
    <row r="21" spans="7:13" x14ac:dyDescent="0.35">
      <c r="G21" s="61">
        <v>29.835000000000001</v>
      </c>
      <c r="J21" s="61">
        <v>0.66500000000000004</v>
      </c>
      <c r="M21" s="61">
        <v>8</v>
      </c>
    </row>
    <row r="22" spans="7:13" x14ac:dyDescent="0.35">
      <c r="G22" s="61">
        <v>30.9846</v>
      </c>
      <c r="J22" s="61">
        <v>31</v>
      </c>
      <c r="M22" s="61">
        <v>0.66500000000000004</v>
      </c>
    </row>
    <row r="23" spans="7:13" x14ac:dyDescent="0.35">
      <c r="G23" s="61">
        <v>15.840999999999999</v>
      </c>
      <c r="J23" s="61">
        <v>5</v>
      </c>
      <c r="M23" s="61">
        <v>12.672800000000001</v>
      </c>
    </row>
    <row r="24" spans="7:13" x14ac:dyDescent="0.35">
      <c r="G24" s="61">
        <v>16.1145</v>
      </c>
      <c r="J24" s="61">
        <v>1.546</v>
      </c>
      <c r="M24" s="61">
        <v>31</v>
      </c>
    </row>
    <row r="25" spans="7:13" x14ac:dyDescent="0.35">
      <c r="G25" s="61">
        <v>31.286249999999999</v>
      </c>
      <c r="J25" s="61">
        <v>7</v>
      </c>
      <c r="M25" s="61">
        <v>5</v>
      </c>
    </row>
    <row r="26" spans="7:13" x14ac:dyDescent="0.35">
      <c r="G26" s="61">
        <v>27.216999999999999</v>
      </c>
      <c r="J26" s="61">
        <v>2</v>
      </c>
      <c r="M26" s="61">
        <v>1.546</v>
      </c>
    </row>
    <row r="27" spans="7:13" x14ac:dyDescent="0.35">
      <c r="G27" s="61">
        <v>11.0625</v>
      </c>
      <c r="J27" s="61">
        <v>3.5</v>
      </c>
      <c r="M27" s="61">
        <v>7</v>
      </c>
    </row>
    <row r="28" spans="7:13" x14ac:dyDescent="0.35">
      <c r="G28" s="61">
        <v>10.1905</v>
      </c>
      <c r="J28" s="61">
        <v>0.45400000000000001</v>
      </c>
      <c r="M28" s="61">
        <v>2</v>
      </c>
    </row>
    <row r="29" spans="7:13" x14ac:dyDescent="0.35">
      <c r="G29" s="61">
        <v>10.087999999999999</v>
      </c>
      <c r="J29" s="61">
        <v>12.6335</v>
      </c>
      <c r="M29" s="61">
        <v>3.5</v>
      </c>
    </row>
    <row r="30" spans="7:13" x14ac:dyDescent="0.35">
      <c r="G30" s="61">
        <v>16.896599999999999</v>
      </c>
      <c r="J30" s="61">
        <v>10</v>
      </c>
      <c r="M30" s="61">
        <v>0.45400000000000001</v>
      </c>
    </row>
    <row r="31" spans="7:13" x14ac:dyDescent="0.35">
      <c r="G31" s="61">
        <v>5.1842499999999996</v>
      </c>
      <c r="J31" s="61">
        <v>2.3664999999999998</v>
      </c>
      <c r="M31" s="61">
        <v>12.6335</v>
      </c>
    </row>
    <row r="32" spans="7:13" x14ac:dyDescent="0.35">
      <c r="G32" s="61">
        <v>32.316000000000003</v>
      </c>
      <c r="J32" s="61">
        <v>2.54</v>
      </c>
      <c r="M32" s="61">
        <v>10</v>
      </c>
    </row>
    <row r="33" spans="7:13" x14ac:dyDescent="0.35">
      <c r="G33" s="61">
        <v>19.234000000000002</v>
      </c>
      <c r="J33" s="61">
        <v>0.88</v>
      </c>
      <c r="M33" s="61">
        <v>2.3664999999999998</v>
      </c>
    </row>
    <row r="34" spans="7:13" x14ac:dyDescent="0.35">
      <c r="G34" s="61">
        <v>8.9920000000000009</v>
      </c>
      <c r="J34" s="61">
        <v>0.82940000000000003</v>
      </c>
      <c r="M34" s="61">
        <v>27.015499999999999</v>
      </c>
    </row>
    <row r="35" spans="7:13" x14ac:dyDescent="0.35">
      <c r="G35" s="61">
        <v>9.7318200000000008</v>
      </c>
      <c r="J35" s="61">
        <v>1.8</v>
      </c>
      <c r="M35" s="61">
        <v>27.599499999999999</v>
      </c>
    </row>
    <row r="36" spans="7:13" x14ac:dyDescent="0.35">
      <c r="G36" s="61">
        <v>8.3859300000000019</v>
      </c>
      <c r="J36" s="61">
        <v>5.5</v>
      </c>
      <c r="M36" s="61">
        <v>2.54</v>
      </c>
    </row>
    <row r="37" spans="7:13" x14ac:dyDescent="0.35">
      <c r="G37" s="61">
        <v>6.3687158999999998</v>
      </c>
      <c r="J37" s="61">
        <v>0.78449999999999998</v>
      </c>
      <c r="M37" s="61">
        <v>0.88</v>
      </c>
    </row>
    <row r="38" spans="7:13" x14ac:dyDescent="0.35">
      <c r="G38" s="61">
        <v>16.9145</v>
      </c>
      <c r="J38" s="61">
        <v>4.7805999999999997</v>
      </c>
      <c r="M38" s="61">
        <v>0.82940000000000003</v>
      </c>
    </row>
    <row r="39" spans="7:13" x14ac:dyDescent="0.35">
      <c r="G39" s="61">
        <v>9.8354999999999997</v>
      </c>
      <c r="J39" s="61">
        <v>4.3</v>
      </c>
      <c r="M39" s="61">
        <v>1.8</v>
      </c>
    </row>
    <row r="40" spans="7:13" x14ac:dyDescent="0.35">
      <c r="G40" s="61">
        <v>4.8941999999999997</v>
      </c>
      <c r="J40" s="61">
        <v>6</v>
      </c>
      <c r="M40" s="61">
        <v>5.5</v>
      </c>
    </row>
    <row r="41" spans="7:13" x14ac:dyDescent="0.35">
      <c r="G41" s="61">
        <v>28.232250000000001</v>
      </c>
      <c r="J41" s="61">
        <v>2.52</v>
      </c>
      <c r="M41" s="61">
        <v>0.78449999999999998</v>
      </c>
    </row>
    <row r="42" spans="7:13" x14ac:dyDescent="0.35">
      <c r="G42" s="61">
        <v>42.058</v>
      </c>
      <c r="J42" s="61">
        <v>4.5</v>
      </c>
      <c r="M42" s="61">
        <v>4.7805999999999997</v>
      </c>
    </row>
    <row r="43" spans="7:13" x14ac:dyDescent="0.35">
      <c r="G43" s="61">
        <v>16.2576</v>
      </c>
      <c r="J43" s="61">
        <v>7.95</v>
      </c>
      <c r="M43" s="61">
        <v>4.3</v>
      </c>
    </row>
    <row r="44" spans="7:13" x14ac:dyDescent="0.35">
      <c r="G44" s="61">
        <v>43.039749999999998</v>
      </c>
      <c r="J44" s="61">
        <v>3.99</v>
      </c>
      <c r="M44" s="61">
        <v>6</v>
      </c>
    </row>
    <row r="45" spans="7:13" x14ac:dyDescent="0.35">
      <c r="G45" s="61">
        <v>23.531400000000001</v>
      </c>
      <c r="J45" s="61">
        <v>4.1173200000000003</v>
      </c>
      <c r="M45" s="61">
        <v>2.52</v>
      </c>
    </row>
    <row r="46" spans="7:13" x14ac:dyDescent="0.35">
      <c r="G46" s="61">
        <v>11.485250000000001</v>
      </c>
      <c r="J46" s="61">
        <v>2.68268</v>
      </c>
      <c r="M46" s="61">
        <v>19.918559999999999</v>
      </c>
    </row>
    <row r="47" spans="7:13" x14ac:dyDescent="0.35">
      <c r="G47" s="61">
        <v>6.7476500000000001</v>
      </c>
      <c r="J47" s="61">
        <v>0.72</v>
      </c>
      <c r="M47" s="61">
        <v>30.5244</v>
      </c>
    </row>
    <row r="48" spans="7:13" x14ac:dyDescent="0.35">
      <c r="G48" s="61">
        <v>3.4432</v>
      </c>
      <c r="J48" s="61">
        <v>4.1081700000000003</v>
      </c>
      <c r="M48" s="61">
        <v>12.975199999999999</v>
      </c>
    </row>
    <row r="49" spans="7:13" x14ac:dyDescent="0.35">
      <c r="G49" s="61">
        <v>15.6876</v>
      </c>
      <c r="J49" s="61">
        <v>16.149999999999999</v>
      </c>
      <c r="M49" s="61">
        <v>4.5</v>
      </c>
    </row>
    <row r="50" spans="7:13" x14ac:dyDescent="0.35">
      <c r="G50" s="61">
        <v>12.2143</v>
      </c>
      <c r="J50" s="61">
        <v>10.955080000000001</v>
      </c>
      <c r="M50" s="61">
        <v>7.95</v>
      </c>
    </row>
    <row r="51" spans="7:13" x14ac:dyDescent="0.35">
      <c r="G51" s="61">
        <v>31.78125</v>
      </c>
      <c r="J51" s="61">
        <v>6.5367499999999996</v>
      </c>
      <c r="M51" s="61">
        <v>3.99</v>
      </c>
    </row>
    <row r="52" spans="7:13" x14ac:dyDescent="0.35">
      <c r="G52" s="61">
        <v>21.1875</v>
      </c>
      <c r="J52" s="61">
        <v>15.75</v>
      </c>
      <c r="M52" s="61">
        <v>7.7694999999999999</v>
      </c>
    </row>
    <row r="53" spans="7:13" x14ac:dyDescent="0.35">
      <c r="G53" s="61">
        <v>30.303000000000001</v>
      </c>
      <c r="J53" s="61">
        <v>21.6</v>
      </c>
      <c r="M53" s="61">
        <v>5.1014999999999997</v>
      </c>
    </row>
    <row r="54" spans="7:13" x14ac:dyDescent="0.35">
      <c r="G54" s="61">
        <v>3.9340000000000002</v>
      </c>
      <c r="J54" s="61">
        <v>15</v>
      </c>
      <c r="M54" s="61">
        <v>12.042</v>
      </c>
    </row>
    <row r="55" spans="7:13" x14ac:dyDescent="0.35">
      <c r="G55" s="61">
        <v>21.101600000000001</v>
      </c>
      <c r="J55" s="61">
        <v>4.8</v>
      </c>
      <c r="M55" s="61">
        <v>9.5715000000000003</v>
      </c>
    </row>
    <row r="56" spans="7:13" x14ac:dyDescent="0.35">
      <c r="G56" s="61">
        <v>14.837999999999999</v>
      </c>
      <c r="J56" s="61">
        <v>14</v>
      </c>
      <c r="M56" s="61">
        <v>11.826000000000001</v>
      </c>
    </row>
    <row r="57" spans="7:13" x14ac:dyDescent="0.35">
      <c r="G57" s="61">
        <v>11.167999999999999</v>
      </c>
      <c r="J57" s="61">
        <v>9.7274999999999991</v>
      </c>
      <c r="M57" s="61">
        <v>4.33</v>
      </c>
    </row>
    <row r="58" spans="7:13" x14ac:dyDescent="0.35">
      <c r="G58" s="61">
        <v>13.3116</v>
      </c>
      <c r="J58" s="61">
        <v>22.4</v>
      </c>
      <c r="M58" s="61">
        <v>59.67</v>
      </c>
    </row>
    <row r="59" spans="7:13" x14ac:dyDescent="0.35">
      <c r="G59" s="61">
        <v>13.315799999999999</v>
      </c>
      <c r="J59" s="61">
        <v>0.27250000000000002</v>
      </c>
      <c r="M59" s="61">
        <v>39.602499999999999</v>
      </c>
    </row>
    <row r="60" spans="7:13" x14ac:dyDescent="0.35">
      <c r="G60" s="61">
        <v>21.002999999999997</v>
      </c>
      <c r="J60" s="61">
        <v>6.7</v>
      </c>
      <c r="M60" s="61">
        <v>29.835000000000001</v>
      </c>
    </row>
    <row r="61" spans="7:13" x14ac:dyDescent="0.35">
      <c r="G61" s="61">
        <v>4.8080999999999996</v>
      </c>
      <c r="J61" s="61">
        <v>0.27</v>
      </c>
      <c r="M61" s="61">
        <v>30.9846</v>
      </c>
    </row>
    <row r="62" spans="7:13" x14ac:dyDescent="0.35">
      <c r="G62" s="61">
        <v>21.34535</v>
      </c>
      <c r="J62" s="61">
        <v>2.2999999999999998</v>
      </c>
      <c r="M62" s="61">
        <v>15.840999999999999</v>
      </c>
    </row>
    <row r="63" spans="7:13" x14ac:dyDescent="0.35">
      <c r="G63" s="61">
        <v>33.627099999999999</v>
      </c>
      <c r="J63" s="61">
        <v>46</v>
      </c>
      <c r="M63" s="61">
        <v>4.1173200000000003</v>
      </c>
    </row>
    <row r="64" spans="7:13" x14ac:dyDescent="0.35">
      <c r="G64" s="61">
        <v>15.719099999999999</v>
      </c>
      <c r="J64" s="61">
        <v>30</v>
      </c>
      <c r="M64" s="61">
        <v>2.68268</v>
      </c>
    </row>
    <row r="65" spans="7:13" x14ac:dyDescent="0.35">
      <c r="G65" s="61">
        <v>8.1300000000000008</v>
      </c>
      <c r="J65" s="61">
        <v>19</v>
      </c>
      <c r="M65" s="61">
        <v>16.1145</v>
      </c>
    </row>
    <row r="66" spans="7:13" x14ac:dyDescent="0.35">
      <c r="G66" s="61">
        <v>7.8208000000000002</v>
      </c>
      <c r="J66" s="61">
        <v>17</v>
      </c>
      <c r="M66" s="61">
        <v>31.286249999999999</v>
      </c>
    </row>
    <row r="67" spans="7:13" x14ac:dyDescent="0.35">
      <c r="G67" s="61">
        <v>3.9260000000000002</v>
      </c>
      <c r="J67" s="61">
        <v>7.5</v>
      </c>
      <c r="M67" s="61">
        <v>27.216999999999999</v>
      </c>
    </row>
    <row r="68" spans="7:13" x14ac:dyDescent="0.35">
      <c r="G68" s="61">
        <v>26.832000000000001</v>
      </c>
      <c r="J68" s="61">
        <v>9</v>
      </c>
      <c r="M68" s="61">
        <v>11.0625</v>
      </c>
    </row>
    <row r="69" spans="7:13" x14ac:dyDescent="0.35">
      <c r="G69" s="61">
        <v>19.1784</v>
      </c>
      <c r="J69" s="61">
        <v>17.399999999999999</v>
      </c>
      <c r="M69" s="61">
        <v>10.1905</v>
      </c>
    </row>
    <row r="70" spans="7:13" x14ac:dyDescent="0.35">
      <c r="G70" s="61">
        <v>11.785500000000001</v>
      </c>
      <c r="J70" s="61">
        <v>5.7644799999999998</v>
      </c>
      <c r="M70" s="61">
        <v>10.087999999999999</v>
      </c>
    </row>
    <row r="71" spans="7:13" x14ac:dyDescent="0.35">
      <c r="G71" s="61">
        <v>16.797750000000001</v>
      </c>
      <c r="J71" s="61">
        <v>4.2355200000000002</v>
      </c>
      <c r="M71" s="61">
        <v>16.896599999999999</v>
      </c>
    </row>
    <row r="72" spans="7:13" x14ac:dyDescent="0.35">
      <c r="G72" s="61">
        <v>20.884399999999999</v>
      </c>
      <c r="J72" s="61">
        <v>9.4</v>
      </c>
      <c r="M72" s="61">
        <v>5.1842499999999996</v>
      </c>
    </row>
    <row r="73" spans="7:13" x14ac:dyDescent="0.35">
      <c r="G73" s="61">
        <v>19.215</v>
      </c>
      <c r="J73" s="61">
        <v>11</v>
      </c>
      <c r="M73" s="61">
        <v>0.72</v>
      </c>
    </row>
    <row r="74" spans="7:13" x14ac:dyDescent="0.35">
      <c r="G74" s="61">
        <v>27.3155</v>
      </c>
      <c r="J74" s="61">
        <v>12</v>
      </c>
      <c r="M74" s="61">
        <v>4.1081700000000003</v>
      </c>
    </row>
    <row r="75" spans="7:13" x14ac:dyDescent="0.35">
      <c r="G75" s="61">
        <v>15.6585</v>
      </c>
      <c r="J75" s="61">
        <v>22</v>
      </c>
      <c r="M75" s="61">
        <v>16.149999999999999</v>
      </c>
    </row>
    <row r="76" spans="7:13" x14ac:dyDescent="0.35">
      <c r="G76" s="61">
        <v>11.093500000000001</v>
      </c>
      <c r="J76" s="61">
        <v>1.9906900000000001</v>
      </c>
      <c r="M76" s="61">
        <v>10.955080000000001</v>
      </c>
    </row>
    <row r="77" spans="7:13" x14ac:dyDescent="0.35">
      <c r="G77" s="61">
        <v>8.4016000000000002</v>
      </c>
      <c r="J77" s="61">
        <v>1.0093099999999999</v>
      </c>
      <c r="M77" s="61">
        <v>6.5367499999999996</v>
      </c>
    </row>
    <row r="78" spans="7:13" x14ac:dyDescent="0.35">
      <c r="G78" s="61">
        <v>9.3817500000000003</v>
      </c>
      <c r="J78" s="61">
        <v>10.5</v>
      </c>
      <c r="M78" s="61">
        <v>15.75</v>
      </c>
    </row>
    <row r="79" spans="7:13" x14ac:dyDescent="0.35">
      <c r="G79" s="61">
        <v>30.188400000000001</v>
      </c>
      <c r="J79" s="61">
        <v>2.2187000000000001</v>
      </c>
      <c r="M79" s="61">
        <v>21.6</v>
      </c>
    </row>
    <row r="80" spans="7:13" x14ac:dyDescent="0.35">
      <c r="G80" s="61">
        <v>21.250800000000002</v>
      </c>
      <c r="J80" s="61">
        <v>6.1021700000000001</v>
      </c>
      <c r="M80" s="61">
        <v>15</v>
      </c>
    </row>
    <row r="81" spans="7:13" x14ac:dyDescent="0.35">
      <c r="G81" s="61">
        <v>82.129499999999993</v>
      </c>
      <c r="J81" s="61">
        <v>2.2187999999999999</v>
      </c>
      <c r="M81" s="61">
        <v>4.8</v>
      </c>
    </row>
    <row r="82" spans="7:13" x14ac:dyDescent="0.35">
      <c r="G82" s="61">
        <v>32.081000000000003</v>
      </c>
      <c r="J82" s="61">
        <v>2.8</v>
      </c>
      <c r="M82" s="61">
        <v>14</v>
      </c>
    </row>
    <row r="83" spans="7:13" x14ac:dyDescent="0.35">
      <c r="G83" s="61">
        <v>23.71725</v>
      </c>
      <c r="J83" s="61">
        <v>24.85</v>
      </c>
      <c r="M83" s="61">
        <v>9.7274999999999991</v>
      </c>
    </row>
    <row r="84" spans="7:13" x14ac:dyDescent="0.35">
      <c r="G84" s="61">
        <v>25.419</v>
      </c>
      <c r="J84" s="61">
        <v>1.75719</v>
      </c>
      <c r="M84" s="61">
        <v>22.4</v>
      </c>
    </row>
    <row r="85" spans="7:13" x14ac:dyDescent="0.35">
      <c r="G85" s="61">
        <v>18.879349999999999</v>
      </c>
      <c r="J85" s="61">
        <v>1.68668</v>
      </c>
      <c r="M85" s="61">
        <v>0.27250000000000002</v>
      </c>
    </row>
    <row r="86" spans="7:13" x14ac:dyDescent="0.35">
      <c r="G86" s="61">
        <v>12.14325</v>
      </c>
      <c r="J86" s="61">
        <v>1.6866699999999999</v>
      </c>
      <c r="M86" s="61">
        <v>6.7</v>
      </c>
    </row>
    <row r="87" spans="7:13" x14ac:dyDescent="0.35">
      <c r="G87" s="61">
        <v>8.8187999999999995</v>
      </c>
      <c r="J87" s="61">
        <v>2.2233399999999999</v>
      </c>
      <c r="M87" s="61">
        <v>0.27</v>
      </c>
    </row>
    <row r="88" spans="7:13" x14ac:dyDescent="0.35">
      <c r="G88" s="61">
        <v>12.2028</v>
      </c>
      <c r="J88" s="61">
        <v>1.03355</v>
      </c>
      <c r="M88" s="61">
        <v>32.316000000000003</v>
      </c>
    </row>
    <row r="89" spans="7:13" x14ac:dyDescent="0.35">
      <c r="G89" s="61">
        <v>39.781999999999996</v>
      </c>
      <c r="J89" s="61">
        <v>1.0335399999999999</v>
      </c>
      <c r="M89" s="61">
        <v>19.234000000000002</v>
      </c>
    </row>
    <row r="90" spans="7:13" x14ac:dyDescent="0.35">
      <c r="G90" s="61">
        <v>19.8185</v>
      </c>
      <c r="J90" s="61">
        <v>0.99207000000000001</v>
      </c>
      <c r="M90" s="61">
        <v>2.2999999999999998</v>
      </c>
    </row>
    <row r="91" spans="7:13" x14ac:dyDescent="0.35">
      <c r="G91" s="61">
        <v>55.468000000000004</v>
      </c>
      <c r="J91" s="61">
        <v>0.99206000000000005</v>
      </c>
      <c r="M91" s="61">
        <v>8.9920000000000009</v>
      </c>
    </row>
    <row r="92" spans="7:13" x14ac:dyDescent="0.35">
      <c r="G92" s="61">
        <v>16.438500000000001</v>
      </c>
      <c r="J92" s="61">
        <v>1.3077300000000001</v>
      </c>
      <c r="M92" s="61">
        <v>46</v>
      </c>
    </row>
    <row r="93" spans="7:13" x14ac:dyDescent="0.35">
      <c r="G93" s="61">
        <v>32.533999999999999</v>
      </c>
      <c r="J93" s="61">
        <v>1.30772</v>
      </c>
      <c r="M93" s="61">
        <v>30</v>
      </c>
    </row>
    <row r="94" spans="7:13" x14ac:dyDescent="0.35">
      <c r="G94" s="61">
        <v>20.7056</v>
      </c>
      <c r="J94" s="61">
        <v>3.0765199999999999</v>
      </c>
      <c r="M94" s="61">
        <v>9.7318200000000008</v>
      </c>
    </row>
    <row r="95" spans="7:13" x14ac:dyDescent="0.35">
      <c r="G95" s="61">
        <v>16.89545</v>
      </c>
      <c r="J95" s="61">
        <v>3.0765099999999999</v>
      </c>
      <c r="M95" s="61">
        <v>8.3859300000000019</v>
      </c>
    </row>
    <row r="96" spans="7:13" x14ac:dyDescent="0.35">
      <c r="G96" s="61">
        <v>11.5101</v>
      </c>
      <c r="J96" s="61">
        <v>2.9530500000000002</v>
      </c>
      <c r="M96" s="61">
        <v>19</v>
      </c>
    </row>
    <row r="97" spans="7:13" x14ac:dyDescent="0.35">
      <c r="G97" s="61">
        <v>1.8327</v>
      </c>
      <c r="J97" s="61">
        <v>3.8926599999999998</v>
      </c>
      <c r="M97" s="61">
        <v>17</v>
      </c>
    </row>
    <row r="98" spans="7:13" x14ac:dyDescent="0.35">
      <c r="G98" s="61">
        <v>4.5087999999999999</v>
      </c>
      <c r="J98" s="61">
        <v>12.4</v>
      </c>
      <c r="M98" s="61">
        <v>7.5</v>
      </c>
    </row>
    <row r="99" spans="7:13" x14ac:dyDescent="0.35">
      <c r="G99" s="61">
        <v>6.0388999999999999</v>
      </c>
      <c r="J99" s="61">
        <v>3.9773200000000002</v>
      </c>
      <c r="M99" s="61">
        <v>9</v>
      </c>
    </row>
    <row r="100" spans="7:13" x14ac:dyDescent="0.35">
      <c r="G100" s="61">
        <v>15.771000000000001</v>
      </c>
      <c r="J100" s="61">
        <v>3.3879999999999999</v>
      </c>
      <c r="M100" s="61">
        <v>17.399999999999999</v>
      </c>
    </row>
    <row r="101" spans="7:13" x14ac:dyDescent="0.35">
      <c r="G101" s="61">
        <v>54.081000000000003</v>
      </c>
      <c r="J101" s="61">
        <v>1.1120000000000001</v>
      </c>
      <c r="M101" s="61">
        <v>6.3687158999999998</v>
      </c>
    </row>
    <row r="102" spans="7:13" x14ac:dyDescent="0.35">
      <c r="G102" s="61">
        <v>23.792999999999999</v>
      </c>
      <c r="J102" s="61">
        <v>4.25</v>
      </c>
      <c r="M102" s="61">
        <v>16.9145</v>
      </c>
    </row>
    <row r="103" spans="7:13" x14ac:dyDescent="0.35">
      <c r="G103" s="61">
        <v>18.979399999999998</v>
      </c>
      <c r="J103" s="61">
        <v>3.6</v>
      </c>
      <c r="M103" s="61">
        <v>9.8354999999999997</v>
      </c>
    </row>
    <row r="104" spans="7:13" x14ac:dyDescent="0.35">
      <c r="G104" s="61">
        <v>61.518784799999999</v>
      </c>
      <c r="J104" s="61">
        <v>1.75</v>
      </c>
      <c r="M104" s="61">
        <v>4.8941999999999997</v>
      </c>
    </row>
    <row r="105" spans="7:13" x14ac:dyDescent="0.35">
      <c r="G105" s="61">
        <v>75.765000000000001</v>
      </c>
      <c r="J105" s="61">
        <v>1.9877800000000001</v>
      </c>
      <c r="M105" s="61">
        <v>28.232250000000001</v>
      </c>
    </row>
    <row r="106" spans="7:13" x14ac:dyDescent="0.35">
      <c r="G106" s="61">
        <v>23.513000000000002</v>
      </c>
      <c r="J106" s="61">
        <v>4.5866400000000001</v>
      </c>
      <c r="M106" s="61">
        <v>5.7644799999999998</v>
      </c>
    </row>
    <row r="107" spans="7:13" x14ac:dyDescent="0.35">
      <c r="G107" s="61">
        <v>75.952500000000015</v>
      </c>
      <c r="J107" s="61">
        <v>5.4</v>
      </c>
      <c r="M107" s="61">
        <v>4.2355200000000002</v>
      </c>
    </row>
    <row r="108" spans="7:13" x14ac:dyDescent="0.35">
      <c r="G108" s="61">
        <v>64.188000000000002</v>
      </c>
      <c r="J108" s="61">
        <v>1.325</v>
      </c>
      <c r="M108" s="61">
        <v>42.058</v>
      </c>
    </row>
    <row r="109" spans="7:13" x14ac:dyDescent="0.35">
      <c r="G109" s="61">
        <v>84.950999999999993</v>
      </c>
      <c r="J109" s="61">
        <v>5.0039999999999996</v>
      </c>
      <c r="M109" s="61">
        <v>16.2576</v>
      </c>
    </row>
    <row r="110" spans="7:13" x14ac:dyDescent="0.35">
      <c r="G110" s="61">
        <v>58.782499999999999</v>
      </c>
      <c r="J110" s="61">
        <v>1.47889</v>
      </c>
      <c r="M110" s="61">
        <v>43.039749999999998</v>
      </c>
    </row>
    <row r="111" spans="7:13" x14ac:dyDescent="0.35">
      <c r="G111" s="61">
        <v>63.448</v>
      </c>
      <c r="J111" s="61">
        <v>4.2294999999999998</v>
      </c>
      <c r="M111" s="61">
        <v>23.531400000000001</v>
      </c>
    </row>
    <row r="112" spans="7:13" x14ac:dyDescent="0.35">
      <c r="G112" s="61">
        <v>16.712</v>
      </c>
      <c r="J112" s="61">
        <v>0.53332999999999997</v>
      </c>
      <c r="M112" s="61">
        <v>11.485250000000001</v>
      </c>
    </row>
    <row r="113" spans="7:13" x14ac:dyDescent="0.35">
      <c r="G113" s="61">
        <v>62.394500000000001</v>
      </c>
      <c r="J113" s="61">
        <v>2.6349999999999998</v>
      </c>
      <c r="M113" s="61">
        <v>6.7476500000000001</v>
      </c>
    </row>
    <row r="114" spans="7:13" x14ac:dyDescent="0.35">
      <c r="G114" s="61">
        <v>88.392499999999998</v>
      </c>
      <c r="J114" s="61">
        <v>0.625</v>
      </c>
      <c r="M114" s="61">
        <v>3.4432</v>
      </c>
    </row>
    <row r="115" spans="7:13" x14ac:dyDescent="0.35">
      <c r="G115" s="61">
        <v>35.573999999999998</v>
      </c>
      <c r="J115" s="61">
        <v>9.1638099999999998</v>
      </c>
      <c r="M115" s="61">
        <v>15.6876</v>
      </c>
    </row>
    <row r="116" spans="7:13" x14ac:dyDescent="0.35">
      <c r="G116" s="61">
        <v>186.32441408400001</v>
      </c>
      <c r="J116" s="61">
        <v>2.6850000000000001</v>
      </c>
      <c r="M116" s="61">
        <v>9.4</v>
      </c>
    </row>
    <row r="117" spans="7:13" x14ac:dyDescent="0.35">
      <c r="G117" s="61">
        <v>168.58660144599997</v>
      </c>
      <c r="J117" s="61">
        <v>1.496</v>
      </c>
      <c r="M117" s="61">
        <v>12.2143</v>
      </c>
    </row>
    <row r="118" spans="7:13" x14ac:dyDescent="0.35">
      <c r="G118" s="61">
        <v>120.037481916</v>
      </c>
      <c r="J118" s="61">
        <v>6.5</v>
      </c>
      <c r="M118" s="61">
        <v>11</v>
      </c>
    </row>
    <row r="119" spans="7:13" x14ac:dyDescent="0.35">
      <c r="G119" s="61">
        <v>71.147999999999996</v>
      </c>
      <c r="J119" s="61">
        <v>2.3820000000000001</v>
      </c>
      <c r="M119" s="61">
        <v>12</v>
      </c>
    </row>
    <row r="120" spans="7:13" x14ac:dyDescent="0.35">
      <c r="G120" s="61">
        <v>41.78</v>
      </c>
      <c r="J120" s="61">
        <v>1.3825000000000001</v>
      </c>
      <c r="M120" s="61">
        <v>22</v>
      </c>
    </row>
    <row r="121" spans="7:13" x14ac:dyDescent="0.35">
      <c r="G121" s="61">
        <v>178.27</v>
      </c>
      <c r="J121" s="61">
        <v>2.1447799999999999</v>
      </c>
      <c r="M121" s="61">
        <v>31.78125</v>
      </c>
    </row>
    <row r="122" spans="7:13" x14ac:dyDescent="0.35">
      <c r="G122" s="61">
        <v>30.175249999999998</v>
      </c>
      <c r="J122" s="61">
        <v>11.5</v>
      </c>
      <c r="M122" s="61">
        <v>21.1875</v>
      </c>
    </row>
    <row r="123" spans="7:13" x14ac:dyDescent="0.35">
      <c r="G123" s="61">
        <v>37.620800000000003</v>
      </c>
      <c r="J123" s="61">
        <v>1.8149999999999999</v>
      </c>
      <c r="M123" s="61">
        <v>30.303000000000001</v>
      </c>
    </row>
    <row r="124" spans="7:13" x14ac:dyDescent="0.35">
      <c r="G124" s="61">
        <v>21.553750000000001</v>
      </c>
      <c r="J124" s="61">
        <v>1.3811199999999999</v>
      </c>
      <c r="M124" s="61">
        <v>1.9906900000000001</v>
      </c>
    </row>
    <row r="125" spans="7:13" x14ac:dyDescent="0.35">
      <c r="G125" s="61">
        <v>35.269500000000008</v>
      </c>
      <c r="J125" s="61">
        <v>1.6645000000000001</v>
      </c>
      <c r="M125" s="61">
        <v>1.0093099999999999</v>
      </c>
    </row>
    <row r="126" spans="7:13" x14ac:dyDescent="0.35">
      <c r="G126" s="61">
        <v>10.941700000000001</v>
      </c>
      <c r="J126" s="61">
        <v>1.3025</v>
      </c>
      <c r="M126" s="61">
        <v>3.9340000000000002</v>
      </c>
    </row>
    <row r="127" spans="7:13" x14ac:dyDescent="0.35">
      <c r="G127" s="61">
        <v>15.956</v>
      </c>
      <c r="J127" s="61">
        <v>2.4741</v>
      </c>
      <c r="M127" s="61">
        <v>21.101600000000001</v>
      </c>
    </row>
    <row r="128" spans="7:13" x14ac:dyDescent="0.35">
      <c r="G128" s="61">
        <v>11.995200000000001</v>
      </c>
      <c r="J128" s="61">
        <v>2.8355000000000001</v>
      </c>
      <c r="M128" s="61">
        <v>14.837999999999999</v>
      </c>
    </row>
    <row r="129" spans="7:13" x14ac:dyDescent="0.35">
      <c r="G129" s="61">
        <v>35.600549999999998</v>
      </c>
      <c r="J129" s="61">
        <v>7.7272999999999996</v>
      </c>
      <c r="M129" s="61">
        <v>11.167999999999999</v>
      </c>
    </row>
    <row r="130" spans="7:13" x14ac:dyDescent="0.35">
      <c r="G130" s="61">
        <v>16.158999999999999</v>
      </c>
      <c r="J130" s="61">
        <v>3.8904000000000001</v>
      </c>
      <c r="M130" s="61">
        <v>13.3116</v>
      </c>
    </row>
    <row r="131" spans="7:13" x14ac:dyDescent="0.35">
      <c r="G131" s="61">
        <v>15.184049999999999</v>
      </c>
      <c r="J131" s="61">
        <v>18.2727</v>
      </c>
      <c r="M131" s="61">
        <v>13.315799999999999</v>
      </c>
    </row>
    <row r="132" spans="7:13" x14ac:dyDescent="0.35">
      <c r="G132" s="61">
        <v>26.716999999999999</v>
      </c>
      <c r="J132" s="61">
        <v>3.0831</v>
      </c>
      <c r="M132" s="61">
        <v>21.002999999999997</v>
      </c>
    </row>
    <row r="133" spans="7:13" x14ac:dyDescent="0.35">
      <c r="G133" s="61">
        <v>26.388500000000001</v>
      </c>
      <c r="J133" s="61">
        <v>3.0265</v>
      </c>
      <c r="M133" s="61">
        <v>10.5</v>
      </c>
    </row>
    <row r="134" spans="7:13" x14ac:dyDescent="0.35">
      <c r="G134" s="61">
        <v>33.141874999999999</v>
      </c>
      <c r="J134" s="61">
        <v>0.95699999999999996</v>
      </c>
      <c r="M134" s="61">
        <v>2.2187000000000001</v>
      </c>
    </row>
    <row r="135" spans="7:13" x14ac:dyDescent="0.35">
      <c r="G135" s="61">
        <v>10.286574999999999</v>
      </c>
      <c r="J135" s="61">
        <v>6.8726000000000003</v>
      </c>
      <c r="M135" s="61">
        <v>6.1021700000000001</v>
      </c>
    </row>
    <row r="136" spans="7:13" x14ac:dyDescent="0.35">
      <c r="G136" s="61">
        <v>10.469225</v>
      </c>
      <c r="J136" s="61">
        <v>3.9451999999999998</v>
      </c>
      <c r="M136" s="61">
        <v>2.2187999999999999</v>
      </c>
    </row>
    <row r="137" spans="7:13" x14ac:dyDescent="0.35">
      <c r="G137" s="61">
        <v>9.3222000000000005</v>
      </c>
      <c r="J137" s="61">
        <v>23.5</v>
      </c>
      <c r="M137" s="61">
        <v>4.8080999999999996</v>
      </c>
    </row>
    <row r="138" spans="7:13" x14ac:dyDescent="0.35">
      <c r="G138" s="61">
        <v>30.050999999999998</v>
      </c>
      <c r="J138" s="61">
        <v>16</v>
      </c>
      <c r="M138" s="61">
        <v>21.34535</v>
      </c>
    </row>
    <row r="139" spans="7:13" x14ac:dyDescent="0.35">
      <c r="G139" s="61">
        <v>50.048999999999999</v>
      </c>
      <c r="J139" s="61">
        <v>41.686019999999999</v>
      </c>
      <c r="M139" s="61">
        <v>33.627099999999999</v>
      </c>
    </row>
    <row r="140" spans="7:13" x14ac:dyDescent="0.35">
      <c r="G140" s="61">
        <v>39.733499999999992</v>
      </c>
      <c r="J140" s="61">
        <v>3.01</v>
      </c>
      <c r="M140" s="61">
        <v>15.719099999999999</v>
      </c>
    </row>
    <row r="141" spans="7:13" x14ac:dyDescent="0.35">
      <c r="G141" s="61">
        <v>26.091999999999999</v>
      </c>
      <c r="J141" s="61">
        <v>8.9839699999999993</v>
      </c>
      <c r="M141" s="61">
        <v>8.1300000000000008</v>
      </c>
    </row>
    <row r="142" spans="7:13" x14ac:dyDescent="0.35">
      <c r="G142" s="61">
        <v>16.1525</v>
      </c>
      <c r="J142" s="61">
        <v>15.29339</v>
      </c>
      <c r="M142" s="61">
        <v>7.8208000000000002</v>
      </c>
    </row>
    <row r="143" spans="7:13" x14ac:dyDescent="0.35">
      <c r="G143" s="61">
        <v>40.991</v>
      </c>
      <c r="J143" s="61">
        <v>10.89892</v>
      </c>
      <c r="M143" s="61">
        <v>3.9260000000000002</v>
      </c>
    </row>
    <row r="144" spans="7:13" x14ac:dyDescent="0.35">
      <c r="G144" s="61">
        <v>39.959000000000003</v>
      </c>
      <c r="J144" s="61">
        <v>16.94089</v>
      </c>
      <c r="M144" s="61">
        <v>2.8</v>
      </c>
    </row>
    <row r="145" spans="7:13" x14ac:dyDescent="0.35">
      <c r="G145" s="61">
        <v>9.9897500000000008</v>
      </c>
      <c r="J145" s="61">
        <v>14.7867</v>
      </c>
      <c r="M145" s="61">
        <v>26.832000000000001</v>
      </c>
    </row>
    <row r="146" spans="7:13" x14ac:dyDescent="0.35">
      <c r="G146" s="61">
        <v>6.2275999999999998</v>
      </c>
      <c r="J146" s="61">
        <v>33.46237</v>
      </c>
      <c r="M146" s="61">
        <v>19.1784</v>
      </c>
    </row>
    <row r="147" spans="7:13" x14ac:dyDescent="0.35">
      <c r="G147" s="61">
        <v>18.75</v>
      </c>
      <c r="J147" s="61">
        <v>10.075139999999999</v>
      </c>
      <c r="M147" s="61">
        <v>24.85</v>
      </c>
    </row>
    <row r="148" spans="7:13" x14ac:dyDescent="0.35">
      <c r="G148" s="61">
        <v>27.55125</v>
      </c>
      <c r="J148" s="61">
        <v>2.5169000000000001</v>
      </c>
      <c r="M148" s="61">
        <v>11.785500000000001</v>
      </c>
    </row>
    <row r="149" spans="7:13" x14ac:dyDescent="0.35">
      <c r="G149" s="61">
        <v>19.36</v>
      </c>
      <c r="J149" s="61">
        <v>0.95499999999999996</v>
      </c>
      <c r="M149" s="61">
        <v>1.75719</v>
      </c>
    </row>
    <row r="150" spans="7:13" x14ac:dyDescent="0.35">
      <c r="G150" s="61">
        <v>24.228000000000002</v>
      </c>
      <c r="J150" s="61">
        <v>0.84968640426999997</v>
      </c>
      <c r="M150" s="61">
        <v>1.68668</v>
      </c>
    </row>
    <row r="151" spans="7:13" x14ac:dyDescent="0.35">
      <c r="G151" s="61">
        <v>18.770150000000001</v>
      </c>
      <c r="J151" s="61">
        <v>1.05975</v>
      </c>
      <c r="M151" s="61">
        <v>1.6866699999999999</v>
      </c>
    </row>
    <row r="152" spans="7:13" x14ac:dyDescent="0.35">
      <c r="G152" s="61">
        <v>28.11225</v>
      </c>
      <c r="J152" s="61">
        <v>1.6951799999999999</v>
      </c>
      <c r="M152" s="61">
        <v>2.2233399999999999</v>
      </c>
    </row>
    <row r="153" spans="7:13" x14ac:dyDescent="0.35">
      <c r="G153" s="61">
        <v>80.213999999999999</v>
      </c>
      <c r="J153" s="61">
        <v>3.4</v>
      </c>
      <c r="M153" s="61">
        <v>1.03355</v>
      </c>
    </row>
    <row r="154" spans="7:13" x14ac:dyDescent="0.35">
      <c r="G154" s="61">
        <v>31.295999999999999</v>
      </c>
      <c r="J154" s="61">
        <v>3.0402499999999999</v>
      </c>
      <c r="M154" s="61">
        <v>1.0335399999999999</v>
      </c>
    </row>
    <row r="155" spans="7:13" x14ac:dyDescent="0.35">
      <c r="G155" s="61">
        <v>42.818750000000001</v>
      </c>
      <c r="J155" s="61">
        <v>25</v>
      </c>
      <c r="M155" s="61">
        <v>0.99207000000000001</v>
      </c>
    </row>
    <row r="156" spans="7:13" x14ac:dyDescent="0.35">
      <c r="G156" s="61">
        <v>40.59225</v>
      </c>
      <c r="J156" s="61">
        <v>5.3916000000000004</v>
      </c>
      <c r="M156" s="61">
        <v>0.99206000000000005</v>
      </c>
    </row>
    <row r="157" spans="7:13" x14ac:dyDescent="0.35">
      <c r="G157" s="61">
        <v>30.288</v>
      </c>
      <c r="J157" s="61">
        <v>1.4367482624000001</v>
      </c>
      <c r="M157" s="61">
        <v>1.3077300000000001</v>
      </c>
    </row>
    <row r="158" spans="7:13" x14ac:dyDescent="0.35">
      <c r="G158" s="61">
        <v>12.05925</v>
      </c>
      <c r="J158" s="61">
        <v>2.7084000000000001</v>
      </c>
      <c r="M158" s="61">
        <v>1.30772</v>
      </c>
    </row>
    <row r="159" spans="7:13" x14ac:dyDescent="0.35">
      <c r="G159" s="61">
        <v>8.6095000000000006</v>
      </c>
      <c r="J159" s="61">
        <v>2.1600146063999999</v>
      </c>
      <c r="M159" s="61">
        <v>3.0765199999999999</v>
      </c>
    </row>
    <row r="160" spans="7:13" x14ac:dyDescent="0.35">
      <c r="G160" s="61" t="s">
        <v>768</v>
      </c>
      <c r="J160" s="61">
        <v>9.0685599999999997</v>
      </c>
      <c r="M160" s="61">
        <v>3.0765099999999999</v>
      </c>
    </row>
    <row r="161" spans="10:13" x14ac:dyDescent="0.35">
      <c r="J161" s="61">
        <v>3.7652299999999999</v>
      </c>
      <c r="M161" s="61">
        <v>2.9530500000000002</v>
      </c>
    </row>
    <row r="162" spans="10:13" x14ac:dyDescent="0.35">
      <c r="J162" s="61">
        <v>7.84619</v>
      </c>
      <c r="M162" s="61">
        <v>3.8926599999999998</v>
      </c>
    </row>
    <row r="163" spans="10:13" x14ac:dyDescent="0.35">
      <c r="J163" s="61">
        <v>2.2227999999999999</v>
      </c>
      <c r="M163" s="61">
        <v>16.797750000000001</v>
      </c>
    </row>
    <row r="164" spans="10:13" x14ac:dyDescent="0.35">
      <c r="J164" s="61">
        <v>8.2347699999999993</v>
      </c>
      <c r="M164" s="61">
        <v>12.4</v>
      </c>
    </row>
    <row r="165" spans="10:13" x14ac:dyDescent="0.35">
      <c r="J165" s="61">
        <v>2.5881500000000002</v>
      </c>
      <c r="M165" s="61">
        <v>3.9773200000000002</v>
      </c>
    </row>
    <row r="166" spans="10:13" x14ac:dyDescent="0.35">
      <c r="J166" s="61">
        <v>1.1299999999999999</v>
      </c>
      <c r="M166" s="61">
        <v>3.3879999999999999</v>
      </c>
    </row>
    <row r="167" spans="10:13" x14ac:dyDescent="0.35">
      <c r="J167" s="61">
        <v>1.5242899999999999</v>
      </c>
      <c r="M167" s="61">
        <v>1.1120000000000001</v>
      </c>
    </row>
    <row r="168" spans="10:13" x14ac:dyDescent="0.35">
      <c r="J168" s="61">
        <v>1.6517500000000001</v>
      </c>
      <c r="M168" s="61">
        <v>20.884399999999999</v>
      </c>
    </row>
    <row r="169" spans="10:13" x14ac:dyDescent="0.35">
      <c r="J169" s="61">
        <v>0.62472000000000005</v>
      </c>
      <c r="M169" s="61">
        <v>19.215</v>
      </c>
    </row>
    <row r="170" spans="10:13" x14ac:dyDescent="0.35">
      <c r="J170" s="61">
        <v>0.71750999999999998</v>
      </c>
      <c r="M170" s="61">
        <v>27.3155</v>
      </c>
    </row>
    <row r="171" spans="10:13" x14ac:dyDescent="0.35">
      <c r="J171" s="61">
        <v>1.8509899999999999</v>
      </c>
      <c r="M171" s="61">
        <v>15.6585</v>
      </c>
    </row>
    <row r="172" spans="10:13" x14ac:dyDescent="0.35">
      <c r="J172" s="61">
        <v>1.6307400000000001</v>
      </c>
      <c r="M172" s="61">
        <v>11.093500000000001</v>
      </c>
    </row>
    <row r="173" spans="10:13" x14ac:dyDescent="0.35">
      <c r="J173" s="61">
        <v>3.4493999999999998</v>
      </c>
      <c r="M173" s="61">
        <v>8.4016000000000002</v>
      </c>
    </row>
    <row r="174" spans="10:13" x14ac:dyDescent="0.35">
      <c r="J174" s="61">
        <v>12.45</v>
      </c>
      <c r="M174" s="61">
        <v>9.3817500000000003</v>
      </c>
    </row>
    <row r="175" spans="10:13" x14ac:dyDescent="0.35">
      <c r="J175" s="61">
        <v>1.0506</v>
      </c>
      <c r="M175" s="61">
        <v>4.25</v>
      </c>
    </row>
    <row r="176" spans="10:13" x14ac:dyDescent="0.35">
      <c r="J176" s="61">
        <v>2.5499999999999998</v>
      </c>
      <c r="M176" s="61">
        <v>3.6</v>
      </c>
    </row>
    <row r="177" spans="10:13" x14ac:dyDescent="0.35">
      <c r="J177" s="61">
        <v>46.811</v>
      </c>
      <c r="M177" s="61">
        <v>1.75</v>
      </c>
    </row>
    <row r="178" spans="10:13" x14ac:dyDescent="0.35">
      <c r="J178" s="61">
        <v>40</v>
      </c>
      <c r="M178" s="61">
        <v>1.9877800000000001</v>
      </c>
    </row>
    <row r="179" spans="10:13" x14ac:dyDescent="0.35">
      <c r="J179" s="61">
        <v>17.25</v>
      </c>
      <c r="M179" s="61">
        <v>4.5866400000000001</v>
      </c>
    </row>
    <row r="180" spans="10:13" x14ac:dyDescent="0.35">
      <c r="J180" s="61">
        <v>13</v>
      </c>
      <c r="M180" s="61">
        <v>5.4</v>
      </c>
    </row>
    <row r="181" spans="10:13" x14ac:dyDescent="0.35">
      <c r="J181" s="61" t="s">
        <v>768</v>
      </c>
      <c r="M181" s="61">
        <v>1.325</v>
      </c>
    </row>
    <row r="182" spans="10:13" x14ac:dyDescent="0.35">
      <c r="M182" s="61">
        <v>5.0039999999999996</v>
      </c>
    </row>
    <row r="183" spans="10:13" x14ac:dyDescent="0.35">
      <c r="M183" s="61">
        <v>1.47889</v>
      </c>
    </row>
    <row r="184" spans="10:13" x14ac:dyDescent="0.35">
      <c r="M184" s="61">
        <v>4.2294999999999998</v>
      </c>
    </row>
    <row r="185" spans="10:13" x14ac:dyDescent="0.35">
      <c r="M185" s="61">
        <v>0.53332999999999997</v>
      </c>
    </row>
    <row r="186" spans="10:13" x14ac:dyDescent="0.35">
      <c r="M186" s="61">
        <v>2.6349999999999998</v>
      </c>
    </row>
    <row r="187" spans="10:13" x14ac:dyDescent="0.35">
      <c r="M187" s="61">
        <v>0.625</v>
      </c>
    </row>
    <row r="188" spans="10:13" x14ac:dyDescent="0.35">
      <c r="M188" s="61">
        <v>9.1638099999999998</v>
      </c>
    </row>
    <row r="189" spans="10:13" x14ac:dyDescent="0.35">
      <c r="M189" s="61">
        <v>2.6850000000000001</v>
      </c>
    </row>
    <row r="190" spans="10:13" x14ac:dyDescent="0.35">
      <c r="M190" s="61">
        <v>1.496</v>
      </c>
    </row>
    <row r="191" spans="10:13" x14ac:dyDescent="0.35">
      <c r="M191" s="61">
        <v>6.5</v>
      </c>
    </row>
    <row r="192" spans="10:13" x14ac:dyDescent="0.35">
      <c r="M192" s="61">
        <v>30.188400000000001</v>
      </c>
    </row>
    <row r="193" spans="13:13" x14ac:dyDescent="0.35">
      <c r="M193" s="61">
        <v>21.250800000000002</v>
      </c>
    </row>
    <row r="194" spans="13:13" x14ac:dyDescent="0.35">
      <c r="M194" s="61">
        <v>2.3820000000000001</v>
      </c>
    </row>
    <row r="195" spans="13:13" x14ac:dyDescent="0.35">
      <c r="M195" s="61">
        <v>82.129499999999993</v>
      </c>
    </row>
    <row r="196" spans="13:13" x14ac:dyDescent="0.35">
      <c r="M196" s="61">
        <v>32.081000000000003</v>
      </c>
    </row>
    <row r="197" spans="13:13" x14ac:dyDescent="0.35">
      <c r="M197" s="61">
        <v>23.71725</v>
      </c>
    </row>
    <row r="198" spans="13:13" x14ac:dyDescent="0.35">
      <c r="M198" s="61">
        <v>25.419</v>
      </c>
    </row>
    <row r="199" spans="13:13" x14ac:dyDescent="0.35">
      <c r="M199" s="61">
        <v>18.879349999999999</v>
      </c>
    </row>
    <row r="200" spans="13:13" x14ac:dyDescent="0.35">
      <c r="M200" s="61">
        <v>12.14325</v>
      </c>
    </row>
    <row r="201" spans="13:13" x14ac:dyDescent="0.35">
      <c r="M201" s="61">
        <v>8.8187999999999995</v>
      </c>
    </row>
    <row r="202" spans="13:13" x14ac:dyDescent="0.35">
      <c r="M202" s="61">
        <v>12.2028</v>
      </c>
    </row>
    <row r="203" spans="13:13" x14ac:dyDescent="0.35">
      <c r="M203" s="61">
        <v>39.781999999999996</v>
      </c>
    </row>
    <row r="204" spans="13:13" x14ac:dyDescent="0.35">
      <c r="M204" s="61">
        <v>19.8185</v>
      </c>
    </row>
    <row r="205" spans="13:13" x14ac:dyDescent="0.35">
      <c r="M205" s="61">
        <v>55.468000000000004</v>
      </c>
    </row>
    <row r="206" spans="13:13" x14ac:dyDescent="0.35">
      <c r="M206" s="61">
        <v>16.438500000000001</v>
      </c>
    </row>
    <row r="207" spans="13:13" x14ac:dyDescent="0.35">
      <c r="M207" s="61">
        <v>32.533999999999999</v>
      </c>
    </row>
    <row r="208" spans="13:13" x14ac:dyDescent="0.35">
      <c r="M208" s="61">
        <v>20.7056</v>
      </c>
    </row>
    <row r="209" spans="13:13" x14ac:dyDescent="0.35">
      <c r="M209" s="61">
        <v>16.89545</v>
      </c>
    </row>
    <row r="210" spans="13:13" x14ac:dyDescent="0.35">
      <c r="M210" s="61">
        <v>11.5101</v>
      </c>
    </row>
    <row r="211" spans="13:13" x14ac:dyDescent="0.35">
      <c r="M211" s="61">
        <v>1.8327</v>
      </c>
    </row>
    <row r="212" spans="13:13" x14ac:dyDescent="0.35">
      <c r="M212" s="61">
        <v>4.5087999999999999</v>
      </c>
    </row>
    <row r="213" spans="13:13" x14ac:dyDescent="0.35">
      <c r="M213" s="61">
        <v>6.0388999999999999</v>
      </c>
    </row>
    <row r="214" spans="13:13" x14ac:dyDescent="0.35">
      <c r="M214" s="61">
        <v>1.3825000000000001</v>
      </c>
    </row>
    <row r="215" spans="13:13" x14ac:dyDescent="0.35">
      <c r="M215" s="61">
        <v>2.1447799999999999</v>
      </c>
    </row>
    <row r="216" spans="13:13" x14ac:dyDescent="0.35">
      <c r="M216" s="61">
        <v>11.5</v>
      </c>
    </row>
    <row r="217" spans="13:13" x14ac:dyDescent="0.35">
      <c r="M217" s="61">
        <v>1.8149999999999999</v>
      </c>
    </row>
    <row r="218" spans="13:13" x14ac:dyDescent="0.35">
      <c r="M218" s="61">
        <v>1.3811199999999999</v>
      </c>
    </row>
    <row r="219" spans="13:13" x14ac:dyDescent="0.35">
      <c r="M219" s="61">
        <v>1.6645000000000001</v>
      </c>
    </row>
    <row r="220" spans="13:13" x14ac:dyDescent="0.35">
      <c r="M220" s="61">
        <v>1.3025</v>
      </c>
    </row>
    <row r="221" spans="13:13" x14ac:dyDescent="0.35">
      <c r="M221" s="61">
        <v>2.4741</v>
      </c>
    </row>
    <row r="222" spans="13:13" x14ac:dyDescent="0.35">
      <c r="M222" s="61">
        <v>2.8355000000000001</v>
      </c>
    </row>
    <row r="223" spans="13:13" x14ac:dyDescent="0.35">
      <c r="M223" s="61">
        <v>15.771000000000001</v>
      </c>
    </row>
    <row r="224" spans="13:13" x14ac:dyDescent="0.35">
      <c r="M224" s="61">
        <v>7.7272999999999996</v>
      </c>
    </row>
    <row r="225" spans="13:13" x14ac:dyDescent="0.35">
      <c r="M225" s="61">
        <v>3.8904000000000001</v>
      </c>
    </row>
    <row r="226" spans="13:13" x14ac:dyDescent="0.35">
      <c r="M226" s="61">
        <v>18.2727</v>
      </c>
    </row>
    <row r="227" spans="13:13" x14ac:dyDescent="0.35">
      <c r="M227" s="61">
        <v>3.0831</v>
      </c>
    </row>
    <row r="228" spans="13:13" x14ac:dyDescent="0.35">
      <c r="M228" s="61">
        <v>3.0265</v>
      </c>
    </row>
    <row r="229" spans="13:13" x14ac:dyDescent="0.35">
      <c r="M229" s="61">
        <v>0.95699999999999996</v>
      </c>
    </row>
    <row r="230" spans="13:13" x14ac:dyDescent="0.35">
      <c r="M230" s="61">
        <v>6.8726000000000003</v>
      </c>
    </row>
    <row r="231" spans="13:13" x14ac:dyDescent="0.35">
      <c r="M231" s="61">
        <v>3.9451999999999998</v>
      </c>
    </row>
    <row r="232" spans="13:13" x14ac:dyDescent="0.35">
      <c r="M232" s="61">
        <v>54.081000000000003</v>
      </c>
    </row>
    <row r="233" spans="13:13" x14ac:dyDescent="0.35">
      <c r="M233" s="61">
        <v>23.792999999999999</v>
      </c>
    </row>
    <row r="234" spans="13:13" x14ac:dyDescent="0.35">
      <c r="M234" s="61">
        <v>23.5</v>
      </c>
    </row>
    <row r="235" spans="13:13" x14ac:dyDescent="0.35">
      <c r="M235" s="61">
        <v>16</v>
      </c>
    </row>
    <row r="236" spans="13:13" x14ac:dyDescent="0.35">
      <c r="M236" s="61">
        <v>41.686019999999999</v>
      </c>
    </row>
    <row r="237" spans="13:13" x14ac:dyDescent="0.35">
      <c r="M237" s="61">
        <v>18.979399999999998</v>
      </c>
    </row>
    <row r="238" spans="13:13" x14ac:dyDescent="0.35">
      <c r="M238" s="61">
        <v>61.518784799999999</v>
      </c>
    </row>
    <row r="239" spans="13:13" x14ac:dyDescent="0.35">
      <c r="M239" s="61">
        <v>3.01</v>
      </c>
    </row>
    <row r="240" spans="13:13" x14ac:dyDescent="0.35">
      <c r="M240" s="61">
        <v>8.9839699999999993</v>
      </c>
    </row>
    <row r="241" spans="13:13" x14ac:dyDescent="0.35">
      <c r="M241" s="61">
        <v>15.29339</v>
      </c>
    </row>
    <row r="242" spans="13:13" x14ac:dyDescent="0.35">
      <c r="M242" s="61">
        <v>10.89892</v>
      </c>
    </row>
    <row r="243" spans="13:13" x14ac:dyDescent="0.35">
      <c r="M243" s="61">
        <v>16.94089</v>
      </c>
    </row>
    <row r="244" spans="13:13" x14ac:dyDescent="0.35">
      <c r="M244" s="61">
        <v>14.7867</v>
      </c>
    </row>
    <row r="245" spans="13:13" x14ac:dyDescent="0.35">
      <c r="M245" s="61">
        <v>33.46237</v>
      </c>
    </row>
    <row r="246" spans="13:13" x14ac:dyDescent="0.35">
      <c r="M246" s="61">
        <v>10.075139999999999</v>
      </c>
    </row>
    <row r="247" spans="13:13" x14ac:dyDescent="0.35">
      <c r="M247" s="61">
        <v>2.5169000000000001</v>
      </c>
    </row>
    <row r="248" spans="13:13" x14ac:dyDescent="0.35">
      <c r="M248" s="61">
        <v>75.765000000000001</v>
      </c>
    </row>
    <row r="249" spans="13:13" x14ac:dyDescent="0.35">
      <c r="M249" s="61">
        <v>23.513000000000002</v>
      </c>
    </row>
    <row r="250" spans="13:13" x14ac:dyDescent="0.35">
      <c r="M250" s="61">
        <v>75.952500000000015</v>
      </c>
    </row>
    <row r="251" spans="13:13" x14ac:dyDescent="0.35">
      <c r="M251" s="61">
        <v>64.188000000000002</v>
      </c>
    </row>
    <row r="252" spans="13:13" x14ac:dyDescent="0.35">
      <c r="M252" s="61">
        <v>84.950999999999993</v>
      </c>
    </row>
    <row r="253" spans="13:13" x14ac:dyDescent="0.35">
      <c r="M253" s="61">
        <v>58.782499999999999</v>
      </c>
    </row>
    <row r="254" spans="13:13" x14ac:dyDescent="0.35">
      <c r="M254" s="61">
        <v>63.448</v>
      </c>
    </row>
    <row r="255" spans="13:13" x14ac:dyDescent="0.35">
      <c r="M255" s="61">
        <v>16.712</v>
      </c>
    </row>
    <row r="256" spans="13:13" x14ac:dyDescent="0.35">
      <c r="M256" s="61">
        <v>62.394500000000001</v>
      </c>
    </row>
    <row r="257" spans="13:13" x14ac:dyDescent="0.35">
      <c r="M257" s="61">
        <v>88.392499999999998</v>
      </c>
    </row>
    <row r="258" spans="13:13" x14ac:dyDescent="0.35">
      <c r="M258" s="61">
        <v>35.573999999999998</v>
      </c>
    </row>
    <row r="259" spans="13:13" x14ac:dyDescent="0.35">
      <c r="M259" s="61">
        <v>186.32441408400001</v>
      </c>
    </row>
    <row r="260" spans="13:13" x14ac:dyDescent="0.35">
      <c r="M260" s="61">
        <v>168.58660144599997</v>
      </c>
    </row>
    <row r="261" spans="13:13" x14ac:dyDescent="0.35">
      <c r="M261" s="61">
        <v>120.037481916</v>
      </c>
    </row>
    <row r="262" spans="13:13" x14ac:dyDescent="0.35">
      <c r="M262" s="61">
        <v>71.147999999999996</v>
      </c>
    </row>
    <row r="263" spans="13:13" x14ac:dyDescent="0.35">
      <c r="M263" s="61">
        <v>41.78</v>
      </c>
    </row>
    <row r="264" spans="13:13" x14ac:dyDescent="0.35">
      <c r="M264" s="61">
        <v>178.27</v>
      </c>
    </row>
    <row r="265" spans="13:13" x14ac:dyDescent="0.35">
      <c r="M265" s="61">
        <v>30.175249999999998</v>
      </c>
    </row>
    <row r="266" spans="13:13" x14ac:dyDescent="0.35">
      <c r="M266" s="61">
        <v>37.620800000000003</v>
      </c>
    </row>
    <row r="267" spans="13:13" x14ac:dyDescent="0.35">
      <c r="M267" s="61">
        <v>21.553750000000001</v>
      </c>
    </row>
    <row r="268" spans="13:13" x14ac:dyDescent="0.35">
      <c r="M268" s="61">
        <v>35.269500000000008</v>
      </c>
    </row>
    <row r="269" spans="13:13" x14ac:dyDescent="0.35">
      <c r="M269" s="61">
        <v>0.95499999999999996</v>
      </c>
    </row>
    <row r="270" spans="13:13" x14ac:dyDescent="0.35">
      <c r="M270" s="61">
        <v>0.84968640426999997</v>
      </c>
    </row>
    <row r="271" spans="13:13" x14ac:dyDescent="0.35">
      <c r="M271" s="61">
        <v>10.941700000000001</v>
      </c>
    </row>
    <row r="272" spans="13:13" x14ac:dyDescent="0.35">
      <c r="M272" s="61">
        <v>1.05975</v>
      </c>
    </row>
    <row r="273" spans="13:13" x14ac:dyDescent="0.35">
      <c r="M273" s="61">
        <v>1.6951799999999999</v>
      </c>
    </row>
    <row r="274" spans="13:13" x14ac:dyDescent="0.35">
      <c r="M274" s="61">
        <v>3.4</v>
      </c>
    </row>
    <row r="275" spans="13:13" x14ac:dyDescent="0.35">
      <c r="M275" s="61">
        <v>3.0402499999999999</v>
      </c>
    </row>
    <row r="276" spans="13:13" x14ac:dyDescent="0.35">
      <c r="M276" s="61">
        <v>15.956</v>
      </c>
    </row>
    <row r="277" spans="13:13" x14ac:dyDescent="0.35">
      <c r="M277" s="61">
        <v>11.995200000000001</v>
      </c>
    </row>
    <row r="278" spans="13:13" x14ac:dyDescent="0.35">
      <c r="M278" s="61">
        <v>25</v>
      </c>
    </row>
    <row r="279" spans="13:13" x14ac:dyDescent="0.35">
      <c r="M279" s="61">
        <v>35.600549999999998</v>
      </c>
    </row>
    <row r="280" spans="13:13" x14ac:dyDescent="0.35">
      <c r="M280" s="61">
        <v>16.158999999999999</v>
      </c>
    </row>
    <row r="281" spans="13:13" x14ac:dyDescent="0.35">
      <c r="M281" s="61">
        <v>15.184049999999999</v>
      </c>
    </row>
    <row r="282" spans="13:13" x14ac:dyDescent="0.35">
      <c r="M282" s="61">
        <v>5.3916000000000004</v>
      </c>
    </row>
    <row r="283" spans="13:13" x14ac:dyDescent="0.35">
      <c r="M283" s="61">
        <v>1.4367482624000001</v>
      </c>
    </row>
    <row r="284" spans="13:13" x14ac:dyDescent="0.35">
      <c r="M284" s="61">
        <v>2.7084000000000001</v>
      </c>
    </row>
    <row r="285" spans="13:13" x14ac:dyDescent="0.35">
      <c r="M285" s="61">
        <v>2.1600146063999999</v>
      </c>
    </row>
    <row r="286" spans="13:13" x14ac:dyDescent="0.35">
      <c r="M286" s="61">
        <v>9.0685599999999997</v>
      </c>
    </row>
    <row r="287" spans="13:13" x14ac:dyDescent="0.35">
      <c r="M287" s="61">
        <v>3.7652299999999999</v>
      </c>
    </row>
    <row r="288" spans="13:13" x14ac:dyDescent="0.35">
      <c r="M288" s="61">
        <v>7.84619</v>
      </c>
    </row>
    <row r="289" spans="13:13" x14ac:dyDescent="0.35">
      <c r="M289" s="61">
        <v>2.2227999999999999</v>
      </c>
    </row>
    <row r="290" spans="13:13" x14ac:dyDescent="0.35">
      <c r="M290" s="61">
        <v>8.2347699999999993</v>
      </c>
    </row>
    <row r="291" spans="13:13" x14ac:dyDescent="0.35">
      <c r="M291" s="61">
        <v>2.5881500000000002</v>
      </c>
    </row>
    <row r="292" spans="13:13" x14ac:dyDescent="0.35">
      <c r="M292" s="61">
        <v>26.716999999999999</v>
      </c>
    </row>
    <row r="293" spans="13:13" x14ac:dyDescent="0.35">
      <c r="M293" s="61">
        <v>26.388500000000001</v>
      </c>
    </row>
    <row r="294" spans="13:13" x14ac:dyDescent="0.35">
      <c r="M294" s="61">
        <v>1.1299999999999999</v>
      </c>
    </row>
    <row r="295" spans="13:13" x14ac:dyDescent="0.35">
      <c r="M295" s="61">
        <v>1.5242899999999999</v>
      </c>
    </row>
    <row r="296" spans="13:13" x14ac:dyDescent="0.35">
      <c r="M296" s="61">
        <v>1.6517500000000001</v>
      </c>
    </row>
    <row r="297" spans="13:13" x14ac:dyDescent="0.35">
      <c r="M297" s="61">
        <v>0.62472000000000005</v>
      </c>
    </row>
    <row r="298" spans="13:13" x14ac:dyDescent="0.35">
      <c r="M298" s="61">
        <v>0.71750999999999998</v>
      </c>
    </row>
    <row r="299" spans="13:13" x14ac:dyDescent="0.35">
      <c r="M299" s="61">
        <v>1.8509899999999999</v>
      </c>
    </row>
    <row r="300" spans="13:13" x14ac:dyDescent="0.35">
      <c r="M300" s="61">
        <v>1.6307400000000001</v>
      </c>
    </row>
    <row r="301" spans="13:13" x14ac:dyDescent="0.35">
      <c r="M301" s="61">
        <v>3.4493999999999998</v>
      </c>
    </row>
    <row r="302" spans="13:13" x14ac:dyDescent="0.35">
      <c r="M302" s="61">
        <v>12.45</v>
      </c>
    </row>
    <row r="303" spans="13:13" x14ac:dyDescent="0.35">
      <c r="M303" s="61">
        <v>1.0506</v>
      </c>
    </row>
    <row r="304" spans="13:13" x14ac:dyDescent="0.35">
      <c r="M304" s="61">
        <v>2.5499999999999998</v>
      </c>
    </row>
    <row r="305" spans="13:13" x14ac:dyDescent="0.35">
      <c r="M305" s="61">
        <v>33.141874999999999</v>
      </c>
    </row>
    <row r="306" spans="13:13" x14ac:dyDescent="0.35">
      <c r="M306" s="61">
        <v>10.286574999999999</v>
      </c>
    </row>
    <row r="307" spans="13:13" x14ac:dyDescent="0.35">
      <c r="M307" s="61">
        <v>10.469225</v>
      </c>
    </row>
    <row r="308" spans="13:13" x14ac:dyDescent="0.35">
      <c r="M308" s="61">
        <v>46.811</v>
      </c>
    </row>
    <row r="309" spans="13:13" x14ac:dyDescent="0.35">
      <c r="M309" s="61">
        <v>40</v>
      </c>
    </row>
    <row r="310" spans="13:13" x14ac:dyDescent="0.35">
      <c r="M310" s="61">
        <v>9.3222000000000005</v>
      </c>
    </row>
    <row r="311" spans="13:13" x14ac:dyDescent="0.35">
      <c r="M311" s="61">
        <v>30.050999999999998</v>
      </c>
    </row>
    <row r="312" spans="13:13" x14ac:dyDescent="0.35">
      <c r="M312" s="61">
        <v>50.048999999999999</v>
      </c>
    </row>
    <row r="313" spans="13:13" x14ac:dyDescent="0.35">
      <c r="M313" s="61">
        <v>39.733499999999992</v>
      </c>
    </row>
    <row r="314" spans="13:13" x14ac:dyDescent="0.35">
      <c r="M314" s="61">
        <v>26.091999999999999</v>
      </c>
    </row>
    <row r="315" spans="13:13" x14ac:dyDescent="0.35">
      <c r="M315" s="61">
        <v>16.1525</v>
      </c>
    </row>
    <row r="316" spans="13:13" x14ac:dyDescent="0.35">
      <c r="M316" s="61">
        <v>40.991</v>
      </c>
    </row>
    <row r="317" spans="13:13" x14ac:dyDescent="0.35">
      <c r="M317" s="61">
        <v>39.959000000000003</v>
      </c>
    </row>
    <row r="318" spans="13:13" x14ac:dyDescent="0.35">
      <c r="M318" s="61">
        <v>9.9897500000000008</v>
      </c>
    </row>
    <row r="319" spans="13:13" x14ac:dyDescent="0.35">
      <c r="M319" s="61">
        <v>6.2275999999999998</v>
      </c>
    </row>
    <row r="320" spans="13:13" x14ac:dyDescent="0.35">
      <c r="M320" s="61">
        <v>18.75</v>
      </c>
    </row>
    <row r="321" spans="13:13" x14ac:dyDescent="0.35">
      <c r="M321" s="61">
        <v>27.55125</v>
      </c>
    </row>
    <row r="322" spans="13:13" x14ac:dyDescent="0.35">
      <c r="M322" s="61">
        <v>17.25</v>
      </c>
    </row>
    <row r="323" spans="13:13" x14ac:dyDescent="0.35">
      <c r="M323" s="61">
        <v>19.36</v>
      </c>
    </row>
    <row r="324" spans="13:13" x14ac:dyDescent="0.35">
      <c r="M324" s="61">
        <v>24.228000000000002</v>
      </c>
    </row>
    <row r="325" spans="13:13" x14ac:dyDescent="0.35">
      <c r="M325" s="61">
        <v>18.770150000000001</v>
      </c>
    </row>
    <row r="326" spans="13:13" x14ac:dyDescent="0.35">
      <c r="M326" s="61">
        <v>13</v>
      </c>
    </row>
    <row r="327" spans="13:13" x14ac:dyDescent="0.35">
      <c r="M327" s="61">
        <v>28.11225</v>
      </c>
    </row>
    <row r="328" spans="13:13" x14ac:dyDescent="0.35">
      <c r="M328" s="61">
        <v>80.213999999999999</v>
      </c>
    </row>
    <row r="329" spans="13:13" x14ac:dyDescent="0.35">
      <c r="M329" s="61">
        <v>31.295999999999999</v>
      </c>
    </row>
    <row r="330" spans="13:13" x14ac:dyDescent="0.35">
      <c r="M330" s="61">
        <v>42.818750000000001</v>
      </c>
    </row>
    <row r="331" spans="13:13" x14ac:dyDescent="0.35">
      <c r="M331" s="61">
        <v>40.59225</v>
      </c>
    </row>
    <row r="332" spans="13:13" x14ac:dyDescent="0.35">
      <c r="M332" s="61">
        <v>30.288</v>
      </c>
    </row>
    <row r="333" spans="13:13" x14ac:dyDescent="0.35">
      <c r="M333" s="61">
        <v>12.05925</v>
      </c>
    </row>
    <row r="334" spans="13:13" x14ac:dyDescent="0.35">
      <c r="M334" s="61">
        <v>8.6095000000000006</v>
      </c>
    </row>
    <row r="335" spans="13:13" x14ac:dyDescent="0.35">
      <c r="M335" s="61" t="s">
        <v>768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81EF-23C4-4CDA-B6D9-0FEB2A59DA89}">
  <dimension ref="B3:X388"/>
  <sheetViews>
    <sheetView showGridLines="0" workbookViewId="0">
      <selection activeCell="L9" sqref="L9"/>
    </sheetView>
  </sheetViews>
  <sheetFormatPr defaultRowHeight="14.5" x14ac:dyDescent="0.35"/>
  <cols>
    <col min="2" max="2" width="16.81640625" bestFit="1" customWidth="1"/>
    <col min="3" max="3" width="10.54296875" bestFit="1" customWidth="1"/>
    <col min="4" max="5" width="10.54296875" customWidth="1"/>
    <col min="6" max="6" width="10.1796875" customWidth="1"/>
    <col min="7" max="7" width="16.90625" customWidth="1"/>
    <col min="8" max="8" width="17" bestFit="1" customWidth="1"/>
    <col min="9" max="9" width="8.26953125" bestFit="1" customWidth="1"/>
    <col min="10" max="10" width="8.453125" customWidth="1"/>
    <col min="11" max="11" width="17" bestFit="1" customWidth="1"/>
    <col min="12" max="12" width="12.81640625" bestFit="1" customWidth="1"/>
    <col min="13" max="13" width="8.453125" customWidth="1"/>
    <col min="14" max="14" width="17" bestFit="1" customWidth="1"/>
    <col min="15" max="15" width="8.6328125" bestFit="1" customWidth="1"/>
    <col min="16" max="16" width="13.1796875" bestFit="1" customWidth="1"/>
    <col min="17" max="17" width="17.26953125" bestFit="1" customWidth="1"/>
    <col min="18" max="18" width="13.1796875" bestFit="1" customWidth="1"/>
    <col min="19" max="19" width="11.81640625" bestFit="1" customWidth="1"/>
    <col min="20" max="20" width="17.26953125" bestFit="1" customWidth="1"/>
    <col min="21" max="21" width="8.81640625" bestFit="1" customWidth="1"/>
    <col min="22" max="22" width="11.81640625" bestFit="1" customWidth="1"/>
    <col min="23" max="23" width="17.26953125" bestFit="1" customWidth="1"/>
    <col min="24" max="24" width="8.81640625" bestFit="1" customWidth="1"/>
    <col min="25" max="29" width="11.81640625" bestFit="1" customWidth="1"/>
    <col min="30" max="30" width="17" bestFit="1" customWidth="1"/>
    <col min="31" max="32" width="11.81640625" bestFit="1" customWidth="1"/>
    <col min="33" max="33" width="14" bestFit="1" customWidth="1"/>
    <col min="34" max="41" width="11.81640625" bestFit="1" customWidth="1"/>
    <col min="42" max="42" width="19.36328125" bestFit="1" customWidth="1"/>
    <col min="43" max="43" width="11.81640625" bestFit="1" customWidth="1"/>
    <col min="44" max="48" width="5.81640625" bestFit="1" customWidth="1"/>
    <col min="49" max="49" width="21.6328125" bestFit="1" customWidth="1"/>
    <col min="50" max="50" width="18.54296875" bestFit="1" customWidth="1"/>
    <col min="51" max="60" width="5.81640625" bestFit="1" customWidth="1"/>
    <col min="61" max="61" width="21.6328125" bestFit="1" customWidth="1"/>
    <col min="62" max="62" width="9.90625" bestFit="1" customWidth="1"/>
    <col min="63" max="81" width="5.81640625" bestFit="1" customWidth="1"/>
    <col min="82" max="82" width="12.90625" bestFit="1" customWidth="1"/>
    <col min="83" max="83" width="6.54296875" bestFit="1" customWidth="1"/>
    <col min="84" max="93" width="5.81640625" bestFit="1" customWidth="1"/>
    <col min="94" max="94" width="8.7265625" bestFit="1" customWidth="1"/>
    <col min="95" max="95" width="7.90625" bestFit="1" customWidth="1"/>
    <col min="96" max="114" width="5.81640625" bestFit="1" customWidth="1"/>
    <col min="115" max="115" width="10.90625" bestFit="1" customWidth="1"/>
    <col min="116" max="116" width="24.6328125" bestFit="1" customWidth="1"/>
    <col min="117" max="117" width="5.81640625" bestFit="1" customWidth="1"/>
    <col min="118" max="118" width="27.81640625" bestFit="1" customWidth="1"/>
    <col min="119" max="119" width="6.90625" bestFit="1" customWidth="1"/>
    <col min="120" max="121" width="5.81640625" bestFit="1" customWidth="1"/>
    <col min="122" max="122" width="9.90625" bestFit="1" customWidth="1"/>
    <col min="123" max="123" width="7.7265625" bestFit="1" customWidth="1"/>
    <col min="124" max="134" width="5.81640625" bestFit="1" customWidth="1"/>
    <col min="135" max="135" width="10.6328125" bestFit="1" customWidth="1"/>
    <col min="136" max="136" width="6" bestFit="1" customWidth="1"/>
    <col min="137" max="145" width="5.81640625" bestFit="1" customWidth="1"/>
    <col min="146" max="146" width="9" bestFit="1" customWidth="1"/>
    <col min="147" max="147" width="10.1796875" bestFit="1" customWidth="1"/>
    <col min="148" max="149" width="5.81640625" bestFit="1" customWidth="1"/>
    <col min="150" max="150" width="13.1796875" bestFit="1" customWidth="1"/>
    <col min="151" max="151" width="11.26953125" bestFit="1" customWidth="1"/>
    <col min="152" max="159" width="5.81640625" bestFit="1" customWidth="1"/>
    <col min="160" max="160" width="14.26953125" bestFit="1" customWidth="1"/>
    <col min="161" max="161" width="11.26953125" bestFit="1" customWidth="1"/>
    <col min="162" max="164" width="5.81640625" bestFit="1" customWidth="1"/>
    <col min="165" max="165" width="14.26953125" bestFit="1" customWidth="1"/>
    <col min="166" max="166" width="8.81640625" bestFit="1" customWidth="1"/>
    <col min="167" max="174" width="5.81640625" bestFit="1" customWidth="1"/>
    <col min="175" max="175" width="11.81640625" bestFit="1" customWidth="1"/>
    <col min="176" max="176" width="17.7265625" bestFit="1" customWidth="1"/>
    <col min="177" max="185" width="5.81640625" bestFit="1" customWidth="1"/>
    <col min="186" max="186" width="21" bestFit="1" customWidth="1"/>
    <col min="187" max="187" width="18.36328125" bestFit="1" customWidth="1"/>
    <col min="188" max="190" width="5.81640625" bestFit="1" customWidth="1"/>
    <col min="191" max="191" width="21.54296875" bestFit="1" customWidth="1"/>
    <col min="192" max="192" width="8.6328125" bestFit="1" customWidth="1"/>
    <col min="193" max="201" width="5.81640625" bestFit="1" customWidth="1"/>
    <col min="202" max="202" width="11.54296875" bestFit="1" customWidth="1"/>
    <col min="203" max="203" width="13.36328125" bestFit="1" customWidth="1"/>
    <col min="204" max="206" width="5.81640625" bestFit="1" customWidth="1"/>
    <col min="207" max="207" width="16.6328125" bestFit="1" customWidth="1"/>
    <col min="208" max="208" width="15.54296875" bestFit="1" customWidth="1"/>
    <col min="209" max="214" width="5.81640625" bestFit="1" customWidth="1"/>
    <col min="215" max="215" width="18.6328125" bestFit="1" customWidth="1"/>
    <col min="216" max="216" width="7.90625" bestFit="1" customWidth="1"/>
    <col min="217" max="223" width="5.81640625" bestFit="1" customWidth="1"/>
    <col min="224" max="224" width="10.90625" bestFit="1" customWidth="1"/>
    <col min="225" max="225" width="13.36328125" bestFit="1" customWidth="1"/>
    <col min="226" max="254" width="5.81640625" bestFit="1" customWidth="1"/>
    <col min="255" max="255" width="16.6328125" bestFit="1" customWidth="1"/>
    <col min="256" max="256" width="8.81640625" bestFit="1" customWidth="1"/>
    <col min="257" max="267" width="5.81640625" bestFit="1" customWidth="1"/>
    <col min="268" max="268" width="11.81640625" bestFit="1" customWidth="1"/>
    <col min="269" max="269" width="9.6328125" bestFit="1" customWidth="1"/>
    <col min="270" max="280" width="5.81640625" bestFit="1" customWidth="1"/>
    <col min="281" max="281" width="12.81640625" bestFit="1" customWidth="1"/>
    <col min="282" max="282" width="9" bestFit="1" customWidth="1"/>
    <col min="283" max="304" width="5.81640625" bestFit="1" customWidth="1"/>
    <col min="305" max="305" width="12" bestFit="1" customWidth="1"/>
    <col min="306" max="306" width="18.6328125" bestFit="1" customWidth="1"/>
    <col min="307" max="321" width="5.81640625" bestFit="1" customWidth="1"/>
    <col min="322" max="322" width="21.81640625" bestFit="1" customWidth="1"/>
    <col min="323" max="323" width="6.54296875" bestFit="1" customWidth="1"/>
    <col min="324" max="330" width="5.81640625" bestFit="1" customWidth="1"/>
    <col min="331" max="331" width="7.453125" bestFit="1" customWidth="1"/>
    <col min="332" max="332" width="10.90625" bestFit="1" customWidth="1"/>
    <col min="333" max="336" width="6.54296875" bestFit="1" customWidth="1"/>
    <col min="337" max="363" width="5.81640625" bestFit="1" customWidth="1"/>
    <col min="364" max="364" width="13.90625" bestFit="1" customWidth="1"/>
    <col min="365" max="365" width="15.6328125" bestFit="1" customWidth="1"/>
    <col min="366" max="373" width="5.81640625" bestFit="1" customWidth="1"/>
    <col min="374" max="374" width="18.81640625" bestFit="1" customWidth="1"/>
    <col min="375" max="375" width="8.1796875" bestFit="1" customWidth="1"/>
    <col min="376" max="381" width="5.81640625" bestFit="1" customWidth="1"/>
    <col min="382" max="382" width="11.1796875" bestFit="1" customWidth="1"/>
    <col min="383" max="383" width="10.90625" bestFit="1" customWidth="1"/>
    <col min="384" max="398" width="5.81640625" bestFit="1" customWidth="1"/>
    <col min="399" max="399" width="14" bestFit="1" customWidth="1"/>
    <col min="400" max="400" width="7.54296875" bestFit="1" customWidth="1"/>
    <col min="401" max="412" width="5.81640625" bestFit="1" customWidth="1"/>
    <col min="413" max="413" width="10.453125" bestFit="1" customWidth="1"/>
    <col min="414" max="414" width="8.453125" bestFit="1" customWidth="1"/>
    <col min="415" max="432" width="5.81640625" bestFit="1" customWidth="1"/>
    <col min="433" max="433" width="11.453125" bestFit="1" customWidth="1"/>
    <col min="434" max="434" width="8.6328125" bestFit="1" customWidth="1"/>
    <col min="435" max="449" width="5.81640625" bestFit="1" customWidth="1"/>
    <col min="450" max="450" width="11.54296875" bestFit="1" customWidth="1"/>
    <col min="451" max="451" width="9.6328125" bestFit="1" customWidth="1"/>
    <col min="452" max="456" width="5.81640625" bestFit="1" customWidth="1"/>
    <col min="457" max="457" width="12.6328125" bestFit="1" customWidth="1"/>
    <col min="458" max="458" width="10.36328125" bestFit="1" customWidth="1"/>
    <col min="459" max="461" width="5.81640625" bestFit="1" customWidth="1"/>
    <col min="462" max="462" width="13.453125" bestFit="1" customWidth="1"/>
    <col min="463" max="463" width="6.54296875" bestFit="1" customWidth="1"/>
    <col min="464" max="473" width="5.81640625" bestFit="1" customWidth="1"/>
    <col min="474" max="474" width="9.36328125" bestFit="1" customWidth="1"/>
    <col min="475" max="475" width="21" bestFit="1" customWidth="1"/>
    <col min="476" max="488" width="5.81640625" bestFit="1" customWidth="1"/>
    <col min="489" max="489" width="24.08984375" bestFit="1" customWidth="1"/>
    <col min="490" max="490" width="10.1796875" bestFit="1" customWidth="1"/>
  </cols>
  <sheetData>
    <row r="3" spans="2:24" x14ac:dyDescent="0.35">
      <c r="D3">
        <v>100</v>
      </c>
      <c r="H3" s="57" t="s">
        <v>3</v>
      </c>
      <c r="I3" t="s">
        <v>34</v>
      </c>
      <c r="K3" s="57" t="s">
        <v>3</v>
      </c>
      <c r="L3" t="s">
        <v>25</v>
      </c>
      <c r="N3" s="57" t="s">
        <v>3</v>
      </c>
      <c r="O3" t="s">
        <v>771</v>
      </c>
      <c r="R3" s="59"/>
      <c r="U3" s="59"/>
      <c r="X3" s="59"/>
    </row>
    <row r="5" spans="2:24" x14ac:dyDescent="0.35">
      <c r="B5" s="141"/>
      <c r="C5" s="139" t="s">
        <v>25</v>
      </c>
      <c r="D5" s="139" t="s">
        <v>34</v>
      </c>
      <c r="E5" s="140" t="s">
        <v>775</v>
      </c>
      <c r="H5" s="57" t="s">
        <v>769</v>
      </c>
      <c r="K5" s="57" t="s">
        <v>769</v>
      </c>
      <c r="N5" s="57" t="s">
        <v>769</v>
      </c>
    </row>
    <row r="6" spans="2:24" x14ac:dyDescent="0.35">
      <c r="B6" s="141"/>
      <c r="C6" s="139"/>
      <c r="D6" s="139"/>
      <c r="E6" s="140"/>
      <c r="H6" s="58">
        <v>-2.8946580467299476E-3</v>
      </c>
      <c r="K6" s="58">
        <v>-2.0816001846274228E-2</v>
      </c>
      <c r="N6" s="58">
        <v>-2.0816001846274228E-2</v>
      </c>
    </row>
    <row r="7" spans="2:24" x14ac:dyDescent="0.35">
      <c r="B7" t="s">
        <v>773</v>
      </c>
      <c r="C7" s="63">
        <f>(AVERAGE($K$6:$K$229))*100</f>
        <v>1.7147146294553279</v>
      </c>
      <c r="D7" s="63">
        <f>(AVERAGE($H$6:$H$163))*100</f>
        <v>2.7821154074882903</v>
      </c>
      <c r="E7" s="63">
        <f>(AVERAGE($N$6:$N$387))*100</f>
        <v>2.1562050036155584</v>
      </c>
      <c r="H7" s="58">
        <v>-4.1753560869517425E-4</v>
      </c>
      <c r="K7" s="58">
        <v>-4.1516193542532331E-3</v>
      </c>
      <c r="N7" s="58">
        <v>-4.1516193542532331E-3</v>
      </c>
    </row>
    <row r="8" spans="2:24" x14ac:dyDescent="0.35">
      <c r="B8" t="s">
        <v>772</v>
      </c>
      <c r="C8" s="64">
        <f>(MEDIAN($K$6:$K$229))*100</f>
        <v>1.4139726478444388</v>
      </c>
      <c r="D8" s="64">
        <f>(MEDIAN($H$6:$H$163))*100</f>
        <v>2.5403122203770723</v>
      </c>
      <c r="E8" s="64">
        <f>(MEDIAN($N$6:$N$387))*100</f>
        <v>1.8282052415247829</v>
      </c>
      <c r="H8" s="58">
        <v>-3.8286906505957674E-4</v>
      </c>
      <c r="K8" s="58">
        <v>-3.5346357219493418E-3</v>
      </c>
      <c r="N8" s="58">
        <v>-3.5346357219493418E-3</v>
      </c>
    </row>
    <row r="9" spans="2:24" x14ac:dyDescent="0.35">
      <c r="B9" t="s">
        <v>778</v>
      </c>
      <c r="C9" s="64">
        <f>(MAX($K$6:$K$229))*100</f>
        <v>5.4</v>
      </c>
      <c r="D9" s="64">
        <f>(MAX($H$6:$H$163))*100</f>
        <v>8.0867187505597968</v>
      </c>
      <c r="E9" s="64">
        <f>(MAX($N$6:$N$387))*100</f>
        <v>8.0867187505597968</v>
      </c>
      <c r="H9" s="58">
        <v>4.1188055372809451E-4</v>
      </c>
      <c r="K9" s="58">
        <v>-1.2812260942345834E-3</v>
      </c>
      <c r="N9" s="58">
        <v>-2.8946580467299476E-3</v>
      </c>
    </row>
    <row r="10" spans="2:24" x14ac:dyDescent="0.35">
      <c r="B10" t="s">
        <v>779</v>
      </c>
      <c r="C10" s="64">
        <f>(MIN($K$6:$K$229))*100</f>
        <v>-2.081600184627423</v>
      </c>
      <c r="D10" s="64">
        <f>(MIN($H$6:$H$163))*100</f>
        <v>-0.28946580467299476</v>
      </c>
      <c r="E10" s="64">
        <f>(MIN($N$6:$N$387))*100</f>
        <v>-2.081600184627423</v>
      </c>
      <c r="H10" s="58">
        <v>1.0791639435281386E-3</v>
      </c>
      <c r="K10" s="58">
        <v>-1.1025469042358349E-3</v>
      </c>
      <c r="N10" s="58">
        <v>-1.2812260942345834E-3</v>
      </c>
    </row>
    <row r="11" spans="2:24" x14ac:dyDescent="0.35">
      <c r="B11" t="s">
        <v>780</v>
      </c>
      <c r="C11" s="64">
        <f>_xlfn.STDEV.S($K$6:$K$229)</f>
        <v>1.2038213816601298E-2</v>
      </c>
      <c r="D11" s="64">
        <f>_xlfn.STDEV.S($H$6:$H$163)</f>
        <v>1.7371742917075016E-2</v>
      </c>
      <c r="E11" s="64">
        <f>_xlfn.STDEV.S($N$6:$N$387)</f>
        <v>1.5390954371682999E-2</v>
      </c>
      <c r="H11" s="58">
        <v>1.4181478949022441E-3</v>
      </c>
      <c r="K11" s="58">
        <v>-1.1284162663882658E-4</v>
      </c>
      <c r="N11" s="58">
        <v>-1.1025469042358349E-3</v>
      </c>
    </row>
    <row r="12" spans="2:24" x14ac:dyDescent="0.35">
      <c r="B12" t="s">
        <v>781</v>
      </c>
      <c r="C12" s="64">
        <f>SKEW($K$6:$K$229)</f>
        <v>0.75875358743207999</v>
      </c>
      <c r="D12" s="64">
        <f>SKEW($H$6:$H$163)</f>
        <v>0.80756028429371807</v>
      </c>
      <c r="E12" s="64">
        <f>SKEW($N$6:$N$387)</f>
        <v>1.0348129646985029</v>
      </c>
      <c r="H12" s="58">
        <v>2.8543755705650042E-3</v>
      </c>
      <c r="K12" s="58">
        <v>2.4544996723085966E-4</v>
      </c>
      <c r="N12" s="58">
        <v>-4.1753560869517425E-4</v>
      </c>
    </row>
    <row r="13" spans="2:24" x14ac:dyDescent="0.35">
      <c r="B13" s="62" t="s">
        <v>782</v>
      </c>
      <c r="C13" s="65">
        <f>KURT($K$6:$K$229)</f>
        <v>0.72738690611027712</v>
      </c>
      <c r="D13" s="65">
        <f>KURT($H$6:$H$163)</f>
        <v>0.58759769597574119</v>
      </c>
      <c r="E13" s="65">
        <f>KURT($N$6:$N$387)</f>
        <v>1.4361833477195041</v>
      </c>
      <c r="H13" s="58">
        <v>2.9739089651910078E-3</v>
      </c>
      <c r="K13" s="58">
        <v>8.6028476264177201E-4</v>
      </c>
      <c r="N13" s="58">
        <v>-3.8286906505957674E-4</v>
      </c>
    </row>
    <row r="14" spans="2:24" x14ac:dyDescent="0.35">
      <c r="H14" s="58">
        <v>3.0723252824105263E-3</v>
      </c>
      <c r="K14" s="58">
        <v>9.6104995909662705E-4</v>
      </c>
      <c r="N14" s="58">
        <v>-1.1284162663882658E-4</v>
      </c>
    </row>
    <row r="15" spans="2:24" x14ac:dyDescent="0.35">
      <c r="H15" s="58">
        <v>3.165859118178016E-3</v>
      </c>
      <c r="K15" s="58">
        <v>1.2331886793079949E-3</v>
      </c>
      <c r="N15" s="58">
        <v>2.4544996723085966E-4</v>
      </c>
    </row>
    <row r="16" spans="2:24" x14ac:dyDescent="0.35">
      <c r="H16" s="58">
        <v>4.7333622949210508E-3</v>
      </c>
      <c r="K16" s="58">
        <v>1.5348639145729148E-3</v>
      </c>
      <c r="N16" s="58">
        <v>4.1188055372809451E-4</v>
      </c>
    </row>
    <row r="17" spans="8:14" x14ac:dyDescent="0.35">
      <c r="H17" s="58">
        <v>6.35581542044239E-3</v>
      </c>
      <c r="K17" s="58">
        <v>1.8373437826946226E-3</v>
      </c>
      <c r="N17" s="58">
        <v>8.6028476264177201E-4</v>
      </c>
    </row>
    <row r="18" spans="8:14" x14ac:dyDescent="0.35">
      <c r="H18" s="58">
        <v>6.4483573642899472E-3</v>
      </c>
      <c r="K18" s="58">
        <v>1.9761106845022744E-3</v>
      </c>
      <c r="N18" s="58">
        <v>9.6104995909662705E-4</v>
      </c>
    </row>
    <row r="19" spans="8:14" x14ac:dyDescent="0.35">
      <c r="H19" s="58">
        <v>6.5381578677621288E-3</v>
      </c>
      <c r="K19" s="58">
        <v>2.1918542666863328E-3</v>
      </c>
      <c r="N19" s="58">
        <v>1.0791639435281386E-3</v>
      </c>
    </row>
    <row r="20" spans="8:14" x14ac:dyDescent="0.35">
      <c r="H20" s="58">
        <v>7.7868652583821252E-3</v>
      </c>
      <c r="K20" s="58">
        <v>2.4006291517652606E-3</v>
      </c>
      <c r="N20" s="58">
        <v>1.2331886793079949E-3</v>
      </c>
    </row>
    <row r="21" spans="8:14" x14ac:dyDescent="0.35">
      <c r="H21" s="58">
        <v>7.9904938668893255E-3</v>
      </c>
      <c r="K21" s="58">
        <v>3.0341799518824875E-3</v>
      </c>
      <c r="N21" s="58">
        <v>1.4181478949022441E-3</v>
      </c>
    </row>
    <row r="22" spans="8:14" x14ac:dyDescent="0.35">
      <c r="H22" s="58">
        <v>8.3817677559336889E-3</v>
      </c>
      <c r="K22" s="58">
        <v>3.2883220489348108E-3</v>
      </c>
      <c r="N22" s="58">
        <v>1.5348639145729148E-3</v>
      </c>
    </row>
    <row r="23" spans="8:14" x14ac:dyDescent="0.35">
      <c r="H23" s="58">
        <v>8.5579889134503873E-3</v>
      </c>
      <c r="K23" s="58">
        <v>3.5893393102754967E-3</v>
      </c>
      <c r="N23" s="58">
        <v>1.8373437826946226E-3</v>
      </c>
    </row>
    <row r="24" spans="8:14" x14ac:dyDescent="0.35">
      <c r="H24" s="58">
        <v>8.7451265491358399E-3</v>
      </c>
      <c r="K24" s="58">
        <v>4.0206608393469345E-3</v>
      </c>
      <c r="N24" s="58">
        <v>1.9761106845022744E-3</v>
      </c>
    </row>
    <row r="25" spans="8:14" x14ac:dyDescent="0.35">
      <c r="H25" s="58">
        <v>9.0513681464847728E-3</v>
      </c>
      <c r="K25" s="58">
        <v>4.1325287443632064E-3</v>
      </c>
      <c r="N25" s="58">
        <v>2.1918542666863328E-3</v>
      </c>
    </row>
    <row r="26" spans="8:14" x14ac:dyDescent="0.35">
      <c r="H26" s="58">
        <v>9.4556217395396214E-3</v>
      </c>
      <c r="K26" s="58">
        <v>4.1822530079089759E-3</v>
      </c>
      <c r="N26" s="58">
        <v>2.4006291517652606E-3</v>
      </c>
    </row>
    <row r="27" spans="8:14" x14ac:dyDescent="0.35">
      <c r="H27" s="58">
        <v>9.7562734682465901E-3</v>
      </c>
      <c r="K27" s="58">
        <v>4.3576180954415858E-3</v>
      </c>
      <c r="N27" s="58">
        <v>2.8543755705650042E-3</v>
      </c>
    </row>
    <row r="28" spans="8:14" x14ac:dyDescent="0.35">
      <c r="H28" s="58">
        <v>1.1553595392548743E-2</v>
      </c>
      <c r="K28" s="58">
        <v>4.5399999999999998E-3</v>
      </c>
      <c r="N28" s="58">
        <v>2.9739089651910078E-3</v>
      </c>
    </row>
    <row r="29" spans="8:14" x14ac:dyDescent="0.35">
      <c r="H29" s="58">
        <v>1.1766151987582685E-2</v>
      </c>
      <c r="K29" s="58">
        <v>4.5577590836291355E-3</v>
      </c>
      <c r="N29" s="58">
        <v>3.0341799518824875E-3</v>
      </c>
    </row>
    <row r="30" spans="8:14" x14ac:dyDescent="0.35">
      <c r="H30" s="58">
        <v>1.2190923266410802E-2</v>
      </c>
      <c r="K30" s="58">
        <v>4.8186262296113719E-3</v>
      </c>
      <c r="N30" s="58">
        <v>3.0723252824105263E-3</v>
      </c>
    </row>
    <row r="31" spans="8:14" x14ac:dyDescent="0.35">
      <c r="H31" s="58">
        <v>1.2194609831299053E-2</v>
      </c>
      <c r="K31" s="58">
        <v>5.2837497010265371E-3</v>
      </c>
      <c r="N31" s="58">
        <v>3.165859118178016E-3</v>
      </c>
    </row>
    <row r="32" spans="8:14" x14ac:dyDescent="0.35">
      <c r="H32" s="58">
        <v>1.2443403559372346E-2</v>
      </c>
      <c r="K32" s="58">
        <v>5.5261974590611537E-3</v>
      </c>
      <c r="N32" s="58">
        <v>3.2883220489348108E-3</v>
      </c>
    </row>
    <row r="33" spans="8:14" x14ac:dyDescent="0.35">
      <c r="H33" s="58">
        <v>1.2449799526929706E-2</v>
      </c>
      <c r="K33" s="58">
        <v>5.7480659251790966E-3</v>
      </c>
      <c r="N33" s="58">
        <v>3.5893393102754967E-3</v>
      </c>
    </row>
    <row r="34" spans="8:14" x14ac:dyDescent="0.35">
      <c r="H34" s="58">
        <v>1.2773335320889867E-2</v>
      </c>
      <c r="K34" s="58">
        <v>5.908266142141877E-3</v>
      </c>
      <c r="N34" s="58">
        <v>4.0206608393469345E-3</v>
      </c>
    </row>
    <row r="35" spans="8:14" x14ac:dyDescent="0.35">
      <c r="H35" s="58">
        <v>1.3286814777627276E-2</v>
      </c>
      <c r="K35" s="58">
        <v>6.2185755510817398E-3</v>
      </c>
      <c r="N35" s="58">
        <v>4.1325287443632064E-3</v>
      </c>
    </row>
    <row r="36" spans="8:14" x14ac:dyDescent="0.35">
      <c r="H36" s="58">
        <v>1.3480780535695791E-2</v>
      </c>
      <c r="K36" s="58">
        <v>6.2943663344020183E-3</v>
      </c>
      <c r="N36" s="58">
        <v>4.1822530079089759E-3</v>
      </c>
    </row>
    <row r="37" spans="8:14" x14ac:dyDescent="0.35">
      <c r="H37" s="58">
        <v>1.3518927037481143E-2</v>
      </c>
      <c r="K37" s="58">
        <v>6.433802739494357E-3</v>
      </c>
      <c r="N37" s="58">
        <v>4.3576180954415858E-3</v>
      </c>
    </row>
    <row r="38" spans="8:14" x14ac:dyDescent="0.35">
      <c r="H38" s="58">
        <v>1.3810003622565459E-2</v>
      </c>
      <c r="K38" s="58">
        <v>6.6759137794922272E-3</v>
      </c>
      <c r="N38" s="58">
        <v>4.5399999999999998E-3</v>
      </c>
    </row>
    <row r="39" spans="8:14" x14ac:dyDescent="0.35">
      <c r="H39" s="58">
        <v>1.3981539578857394E-2</v>
      </c>
      <c r="K39" s="58">
        <v>6.8613025290367169E-3</v>
      </c>
      <c r="N39" s="58">
        <v>4.5577590836291355E-3</v>
      </c>
    </row>
    <row r="40" spans="8:14" x14ac:dyDescent="0.35">
      <c r="H40" s="58">
        <v>1.4076687668435506E-2</v>
      </c>
      <c r="K40" s="58">
        <v>6.8807341954011392E-3</v>
      </c>
      <c r="N40" s="58">
        <v>4.7333622949210508E-3</v>
      </c>
    </row>
    <row r="41" spans="8:14" x14ac:dyDescent="0.35">
      <c r="H41" s="58">
        <v>1.4190824862453599E-2</v>
      </c>
      <c r="K41" s="58">
        <v>6.8999999999999999E-3</v>
      </c>
      <c r="N41" s="58">
        <v>4.8186262296113719E-3</v>
      </c>
    </row>
    <row r="42" spans="8:14" x14ac:dyDescent="0.35">
      <c r="H42" s="58">
        <v>1.4423597626045614E-2</v>
      </c>
      <c r="K42" s="58">
        <v>6.9999999999999993E-3</v>
      </c>
      <c r="N42" s="58">
        <v>5.2837497010265371E-3</v>
      </c>
    </row>
    <row r="43" spans="8:14" x14ac:dyDescent="0.35">
      <c r="H43" s="58">
        <v>1.4865820908918748E-2</v>
      </c>
      <c r="K43" s="58">
        <v>7.2281627997561326E-3</v>
      </c>
      <c r="N43" s="58">
        <v>5.5261974590611537E-3</v>
      </c>
    </row>
    <row r="44" spans="8:14" x14ac:dyDescent="0.35">
      <c r="H44" s="58">
        <v>1.5244251038439627E-2</v>
      </c>
      <c r="K44" s="58">
        <v>7.4150203878619323E-3</v>
      </c>
      <c r="N44" s="58">
        <v>5.7480659251790966E-3</v>
      </c>
    </row>
    <row r="45" spans="8:14" x14ac:dyDescent="0.35">
      <c r="H45" s="58">
        <v>1.5655636247780658E-2</v>
      </c>
      <c r="K45" s="58">
        <v>7.4582735496095606E-3</v>
      </c>
      <c r="N45" s="58">
        <v>5.908266142141877E-3</v>
      </c>
    </row>
    <row r="46" spans="8:14" x14ac:dyDescent="0.35">
      <c r="H46" s="58">
        <v>1.5981106764594299E-2</v>
      </c>
      <c r="K46" s="58">
        <v>7.4999999999999997E-3</v>
      </c>
      <c r="N46" s="58">
        <v>6.2185755510817398E-3</v>
      </c>
    </row>
    <row r="47" spans="8:14" x14ac:dyDescent="0.35">
      <c r="H47" s="58">
        <v>1.6201249241704074E-2</v>
      </c>
      <c r="K47" s="58">
        <v>7.5067311753969079E-3</v>
      </c>
      <c r="N47" s="58">
        <v>6.2943663344020183E-3</v>
      </c>
    </row>
    <row r="48" spans="8:14" x14ac:dyDescent="0.35">
      <c r="H48" s="58">
        <v>1.6306716609078009E-2</v>
      </c>
      <c r="K48" s="58">
        <v>7.5205878770552292E-3</v>
      </c>
      <c r="N48" s="58">
        <v>6.35581542044239E-3</v>
      </c>
    </row>
    <row r="49" spans="8:14" x14ac:dyDescent="0.35">
      <c r="H49" s="58">
        <v>1.6374834684147466E-2</v>
      </c>
      <c r="K49" s="58">
        <v>7.5441064164305741E-3</v>
      </c>
      <c r="N49" s="58">
        <v>6.433802739494357E-3</v>
      </c>
    </row>
    <row r="50" spans="8:14" x14ac:dyDescent="0.35">
      <c r="H50" s="58">
        <v>1.6377653273914383E-2</v>
      </c>
      <c r="K50" s="58">
        <v>7.6999024418418216E-3</v>
      </c>
      <c r="N50" s="58">
        <v>6.4483573642899472E-3</v>
      </c>
    </row>
    <row r="51" spans="8:14" x14ac:dyDescent="0.35">
      <c r="H51" s="58">
        <v>1.6699915905651563E-2</v>
      </c>
      <c r="K51" s="58">
        <v>7.9000000000000008E-3</v>
      </c>
      <c r="N51" s="58">
        <v>6.5381578677621288E-3</v>
      </c>
    </row>
    <row r="52" spans="8:14" x14ac:dyDescent="0.35">
      <c r="H52" s="58">
        <v>1.7126975598439342E-2</v>
      </c>
      <c r="K52" s="58">
        <v>8.0000000000000002E-3</v>
      </c>
      <c r="N52" s="58">
        <v>6.6759137794922272E-3</v>
      </c>
    </row>
    <row r="53" spans="8:14" x14ac:dyDescent="0.35">
      <c r="H53" s="58">
        <v>1.7567539926467424E-2</v>
      </c>
      <c r="K53" s="58">
        <v>8.1521380967564117E-3</v>
      </c>
      <c r="N53" s="58">
        <v>6.8613025290367169E-3</v>
      </c>
    </row>
    <row r="54" spans="8:14" x14ac:dyDescent="0.35">
      <c r="H54" s="58">
        <v>1.7587056110925259E-2</v>
      </c>
      <c r="K54" s="58">
        <v>8.4341361251929481E-3</v>
      </c>
      <c r="N54" s="58">
        <v>6.8807341954011392E-3</v>
      </c>
    </row>
    <row r="55" spans="8:14" x14ac:dyDescent="0.35">
      <c r="H55" s="58">
        <v>1.7976200985041269E-2</v>
      </c>
      <c r="K55" s="58">
        <v>8.4788981808620427E-3</v>
      </c>
      <c r="N55" s="58">
        <v>6.8999999999999999E-3</v>
      </c>
    </row>
    <row r="56" spans="8:14" x14ac:dyDescent="0.35">
      <c r="H56" s="58">
        <v>1.8023954684549093E-2</v>
      </c>
      <c r="K56" s="58">
        <v>8.5000000000000006E-3</v>
      </c>
      <c r="N56" s="58">
        <v>6.9999999999999993E-3</v>
      </c>
    </row>
    <row r="57" spans="8:14" x14ac:dyDescent="0.35">
      <c r="H57" s="58">
        <v>1.803324538990414E-2</v>
      </c>
      <c r="K57" s="58">
        <v>8.52775741801645E-3</v>
      </c>
      <c r="N57" s="58">
        <v>7.2281627997561326E-3</v>
      </c>
    </row>
    <row r="58" spans="8:14" x14ac:dyDescent="0.35">
      <c r="H58" s="58">
        <v>1.805013833392799E-2</v>
      </c>
      <c r="K58" s="58">
        <v>8.7377622129751632E-3</v>
      </c>
      <c r="N58" s="58">
        <v>7.4150203878619323E-3</v>
      </c>
    </row>
    <row r="59" spans="8:14" x14ac:dyDescent="0.35">
      <c r="H59" s="58">
        <v>1.8243284135623039E-2</v>
      </c>
      <c r="K59" s="58">
        <v>8.79967786004659E-3</v>
      </c>
      <c r="N59" s="58">
        <v>7.4582735496095606E-3</v>
      </c>
    </row>
    <row r="60" spans="8:14" x14ac:dyDescent="0.35">
      <c r="H60" s="58">
        <v>1.8277996246921946E-2</v>
      </c>
      <c r="K60" s="58">
        <v>8.8213961141190914E-3</v>
      </c>
      <c r="N60" s="58">
        <v>7.4999999999999997E-3</v>
      </c>
    </row>
    <row r="61" spans="8:14" x14ac:dyDescent="0.35">
      <c r="H61" s="58">
        <v>1.8286108583573712E-2</v>
      </c>
      <c r="K61" s="58">
        <v>8.8398325053484772E-3</v>
      </c>
      <c r="N61" s="58">
        <v>7.5067311753969079E-3</v>
      </c>
    </row>
    <row r="62" spans="8:14" x14ac:dyDescent="0.35">
      <c r="H62" s="58">
        <v>1.8362899748158856E-2</v>
      </c>
      <c r="K62" s="58">
        <v>8.8999999999999999E-3</v>
      </c>
      <c r="N62" s="58">
        <v>7.5205878770552292E-3</v>
      </c>
    </row>
    <row r="63" spans="8:14" x14ac:dyDescent="0.35">
      <c r="H63" s="58">
        <v>1.8719447467970385E-2</v>
      </c>
      <c r="K63" s="58">
        <v>9.0000000000000011E-3</v>
      </c>
      <c r="N63" s="58">
        <v>7.5441064164305741E-3</v>
      </c>
    </row>
    <row r="64" spans="8:14" x14ac:dyDescent="0.35">
      <c r="H64" s="58">
        <v>1.8972618106170458E-2</v>
      </c>
      <c r="K64" s="58">
        <v>9.0285496807668147E-3</v>
      </c>
      <c r="N64" s="58">
        <v>7.6999024418418216E-3</v>
      </c>
    </row>
    <row r="65" spans="8:14" x14ac:dyDescent="0.35">
      <c r="H65" s="58">
        <v>1.9129053004034224E-2</v>
      </c>
      <c r="K65" s="58">
        <v>9.2460075600163446E-3</v>
      </c>
      <c r="N65" s="58">
        <v>7.7868652583821252E-3</v>
      </c>
    </row>
    <row r="66" spans="8:14" x14ac:dyDescent="0.35">
      <c r="H66" s="58">
        <v>1.9452624262604967E-2</v>
      </c>
      <c r="K66" s="58">
        <v>9.3999999999999986E-3</v>
      </c>
      <c r="N66" s="58">
        <v>7.9000000000000008E-3</v>
      </c>
    </row>
    <row r="67" spans="8:14" x14ac:dyDescent="0.35">
      <c r="H67" s="58">
        <v>1.958697356956085E-2</v>
      </c>
      <c r="K67" s="58">
        <v>9.4818592281103488E-3</v>
      </c>
      <c r="N67" s="58">
        <v>7.9904938668893255E-3</v>
      </c>
    </row>
    <row r="68" spans="8:14" x14ac:dyDescent="0.35">
      <c r="H68" s="58">
        <v>2.033447348682027E-2</v>
      </c>
      <c r="K68" s="58">
        <v>9.4999999999999998E-3</v>
      </c>
      <c r="N68" s="58">
        <v>8.0000000000000002E-3</v>
      </c>
    </row>
    <row r="69" spans="8:14" x14ac:dyDescent="0.35">
      <c r="H69" s="58">
        <v>2.0409370729472132E-2</v>
      </c>
      <c r="K69" s="58">
        <v>9.5028440230666006E-3</v>
      </c>
      <c r="N69" s="58">
        <v>8.1521380967564117E-3</v>
      </c>
    </row>
    <row r="70" spans="8:14" x14ac:dyDescent="0.35">
      <c r="H70" s="58">
        <v>2.0530424709657602E-2</v>
      </c>
      <c r="K70" s="58">
        <v>9.5540485226726091E-3</v>
      </c>
      <c r="N70" s="58">
        <v>8.3817677559336889E-3</v>
      </c>
    </row>
    <row r="71" spans="8:14" x14ac:dyDescent="0.35">
      <c r="H71" s="58">
        <v>2.0824236100700722E-2</v>
      </c>
      <c r="K71" s="58">
        <v>9.7810905659582829E-3</v>
      </c>
      <c r="N71" s="58">
        <v>8.4341361251929481E-3</v>
      </c>
    </row>
    <row r="72" spans="8:14" x14ac:dyDescent="0.35">
      <c r="H72" s="58">
        <v>2.11059573457959E-2</v>
      </c>
      <c r="K72" s="58">
        <v>9.840006657273942E-3</v>
      </c>
      <c r="N72" s="58">
        <v>8.4788981808620427E-3</v>
      </c>
    </row>
    <row r="73" spans="8:14" x14ac:dyDescent="0.35">
      <c r="H73" s="58">
        <v>2.1179202871856706E-2</v>
      </c>
      <c r="K73" s="58">
        <v>9.9579739307182093E-3</v>
      </c>
      <c r="N73" s="58">
        <v>8.5000000000000006E-3</v>
      </c>
    </row>
    <row r="74" spans="8:14" x14ac:dyDescent="0.35">
      <c r="H74" s="58">
        <v>2.143565323755614E-2</v>
      </c>
      <c r="K74" s="58">
        <v>9.9580365641116497E-3</v>
      </c>
      <c r="N74" s="58">
        <v>8.52775741801645E-3</v>
      </c>
    </row>
    <row r="75" spans="8:14" x14ac:dyDescent="0.35">
      <c r="H75" s="58">
        <v>2.1628928786174617E-2</v>
      </c>
      <c r="K75" s="58">
        <v>0.01</v>
      </c>
      <c r="N75" s="58">
        <v>8.5579889134503873E-3</v>
      </c>
    </row>
    <row r="76" spans="8:14" x14ac:dyDescent="0.35">
      <c r="H76" s="58">
        <v>2.1758156496881842E-2</v>
      </c>
      <c r="K76" s="58">
        <v>1.0154394942621438E-2</v>
      </c>
      <c r="N76" s="58">
        <v>8.7377622129751632E-3</v>
      </c>
    </row>
    <row r="77" spans="8:14" x14ac:dyDescent="0.35">
      <c r="H77" s="58">
        <v>2.2161454320951623E-2</v>
      </c>
      <c r="K77" s="58">
        <v>1.0180001104728262E-2</v>
      </c>
      <c r="N77" s="58">
        <v>8.7451265491358399E-3</v>
      </c>
    </row>
    <row r="78" spans="8:14" x14ac:dyDescent="0.35">
      <c r="H78" s="58">
        <v>2.2628024356858401E-2</v>
      </c>
      <c r="K78" s="58">
        <v>1.0185622550690443E-2</v>
      </c>
      <c r="N78" s="58">
        <v>8.79967786004659E-3</v>
      </c>
    </row>
    <row r="79" spans="8:14" x14ac:dyDescent="0.35">
      <c r="H79" s="58">
        <v>2.3432653155916805E-2</v>
      </c>
      <c r="K79" s="58">
        <v>1.0200000000000001E-2</v>
      </c>
      <c r="N79" s="58">
        <v>8.8213961141190914E-3</v>
      </c>
    </row>
    <row r="80" spans="8:14" x14ac:dyDescent="0.35">
      <c r="H80" s="58">
        <v>2.3698309243131543E-2</v>
      </c>
      <c r="K80" s="58">
        <v>1.03E-2</v>
      </c>
      <c r="N80" s="58">
        <v>8.8398325053484772E-3</v>
      </c>
    </row>
    <row r="81" spans="8:14" x14ac:dyDescent="0.35">
      <c r="H81" s="58">
        <v>2.3777894020265089E-2</v>
      </c>
      <c r="K81" s="58">
        <v>1.0354764919061399E-2</v>
      </c>
      <c r="N81" s="58">
        <v>8.8999999999999999E-3</v>
      </c>
    </row>
    <row r="82" spans="8:14" x14ac:dyDescent="0.35">
      <c r="H82" s="58">
        <v>2.3966635794522739E-2</v>
      </c>
      <c r="K82" s="58">
        <v>1.081201627685595E-2</v>
      </c>
      <c r="N82" s="58">
        <v>9.0000000000000011E-3</v>
      </c>
    </row>
    <row r="83" spans="8:14" x14ac:dyDescent="0.35">
      <c r="H83" s="58">
        <v>2.424881051711214E-2</v>
      </c>
      <c r="K83" s="58">
        <v>1.087163456281659E-2</v>
      </c>
      <c r="N83" s="58">
        <v>9.0285496807668147E-3</v>
      </c>
    </row>
    <row r="84" spans="8:14" x14ac:dyDescent="0.35">
      <c r="H84" s="58">
        <v>2.5288359312976905E-2</v>
      </c>
      <c r="K84" s="58">
        <v>1.09E-2</v>
      </c>
      <c r="N84" s="58">
        <v>9.0513681464847728E-3</v>
      </c>
    </row>
    <row r="85" spans="8:14" x14ac:dyDescent="0.35">
      <c r="H85" s="58">
        <v>2.5517885094564541E-2</v>
      </c>
      <c r="K85" s="58">
        <v>1.0989691938876599E-2</v>
      </c>
      <c r="N85" s="58">
        <v>9.2460075600163446E-3</v>
      </c>
    </row>
    <row r="86" spans="8:14" x14ac:dyDescent="0.35">
      <c r="H86" s="58">
        <v>2.5937831332745409E-2</v>
      </c>
      <c r="K86" s="58">
        <v>1.1077013807165486E-2</v>
      </c>
      <c r="N86" s="58">
        <v>9.3999999999999986E-3</v>
      </c>
    </row>
    <row r="87" spans="8:14" x14ac:dyDescent="0.35">
      <c r="H87" s="58">
        <v>2.6064604795942081E-2</v>
      </c>
      <c r="K87" s="58">
        <v>1.1199780455757058E-2</v>
      </c>
      <c r="N87" s="58">
        <v>9.4556217395396214E-3</v>
      </c>
    </row>
    <row r="88" spans="8:14" x14ac:dyDescent="0.35">
      <c r="H88" s="58">
        <v>2.6399463532976508E-2</v>
      </c>
      <c r="K88" s="58">
        <v>1.142545649491189E-2</v>
      </c>
      <c r="N88" s="58">
        <v>9.4818592281103488E-3</v>
      </c>
    </row>
    <row r="89" spans="8:14" x14ac:dyDescent="0.35">
      <c r="H89" s="58">
        <v>2.7610563309885761E-2</v>
      </c>
      <c r="K89" s="58">
        <v>1.15E-2</v>
      </c>
      <c r="N89" s="58">
        <v>9.4999999999999998E-3</v>
      </c>
    </row>
    <row r="90" spans="8:14" x14ac:dyDescent="0.35">
      <c r="H90" s="58">
        <v>2.7650555444061808E-2</v>
      </c>
      <c r="K90" s="58">
        <v>1.18E-2</v>
      </c>
      <c r="N90" s="58">
        <v>9.5028440230666006E-3</v>
      </c>
    </row>
    <row r="91" spans="8:14" x14ac:dyDescent="0.35">
      <c r="H91" s="58">
        <v>2.7905437766002184E-2</v>
      </c>
      <c r="K91" s="58">
        <v>1.1812850252158391E-2</v>
      </c>
      <c r="N91" s="58">
        <v>9.5540485226726091E-3</v>
      </c>
    </row>
    <row r="92" spans="8:14" x14ac:dyDescent="0.35">
      <c r="H92" s="58">
        <v>2.9568365235058458E-2</v>
      </c>
      <c r="K92" s="58">
        <v>1.192847043520584E-2</v>
      </c>
      <c r="N92" s="58">
        <v>9.7562734682465901E-3</v>
      </c>
    </row>
    <row r="93" spans="8:14" x14ac:dyDescent="0.35">
      <c r="H93" s="58">
        <v>3.0164443942955366E-2</v>
      </c>
      <c r="K93" s="58">
        <v>1.1940699254376463E-2</v>
      </c>
      <c r="N93" s="58">
        <v>9.7810905659582829E-3</v>
      </c>
    </row>
    <row r="94" spans="8:14" x14ac:dyDescent="0.35">
      <c r="H94" s="58">
        <v>3.0171006128791644E-2</v>
      </c>
      <c r="K94" s="58">
        <v>1.2E-2</v>
      </c>
      <c r="N94" s="58">
        <v>9.840006657273942E-3</v>
      </c>
    </row>
    <row r="95" spans="8:14" x14ac:dyDescent="0.35">
      <c r="H95" s="58">
        <v>3.0281665583921757E-2</v>
      </c>
      <c r="K95" s="58">
        <v>1.2010042098670064E-2</v>
      </c>
      <c r="N95" s="58">
        <v>9.9579739307182093E-3</v>
      </c>
    </row>
    <row r="96" spans="8:14" x14ac:dyDescent="0.35">
      <c r="H96" s="58">
        <v>3.0551174246535862E-2</v>
      </c>
      <c r="K96" s="58">
        <v>1.2125318250302497E-2</v>
      </c>
      <c r="N96" s="58">
        <v>9.9580365641116497E-3</v>
      </c>
    </row>
    <row r="97" spans="8:14" x14ac:dyDescent="0.35">
      <c r="H97" s="58">
        <v>3.0748646073593067E-2</v>
      </c>
      <c r="K97" s="58">
        <v>1.2301859665232232E-2</v>
      </c>
      <c r="N97" s="58">
        <v>0.01</v>
      </c>
    </row>
    <row r="98" spans="8:14" x14ac:dyDescent="0.35">
      <c r="H98" s="58">
        <v>3.1304109926429291E-2</v>
      </c>
      <c r="K98" s="58">
        <v>1.2374478439314052E-2</v>
      </c>
      <c r="N98" s="58">
        <v>1.0154394942621438E-2</v>
      </c>
    </row>
    <row r="99" spans="8:14" x14ac:dyDescent="0.35">
      <c r="H99" s="58">
        <v>3.1322493570187238E-2</v>
      </c>
      <c r="K99" s="58">
        <v>1.2500000000000001E-2</v>
      </c>
      <c r="N99" s="58">
        <v>1.0180001104728262E-2</v>
      </c>
    </row>
    <row r="100" spans="8:14" x14ac:dyDescent="0.35">
      <c r="H100" s="58">
        <v>3.1506175639021139E-2</v>
      </c>
      <c r="K100" s="58">
        <v>1.2509766887391249E-2</v>
      </c>
      <c r="N100" s="58">
        <v>1.0185622550690443E-2</v>
      </c>
    </row>
    <row r="101" spans="8:14" x14ac:dyDescent="0.35">
      <c r="H101" s="58">
        <v>3.1559344107938925E-2</v>
      </c>
      <c r="K101" s="58">
        <v>1.2548325769659373E-2</v>
      </c>
      <c r="N101" s="58">
        <v>1.0200000000000001E-2</v>
      </c>
    </row>
    <row r="102" spans="8:14" x14ac:dyDescent="0.35">
      <c r="H102" s="58">
        <v>3.2106564280990568E-2</v>
      </c>
      <c r="K102" s="58">
        <v>1.270252601352384E-2</v>
      </c>
      <c r="N102" s="58">
        <v>1.03E-2</v>
      </c>
    </row>
    <row r="103" spans="8:14" x14ac:dyDescent="0.35">
      <c r="H103" s="58">
        <v>3.2445691227251272E-2</v>
      </c>
      <c r="K103" s="58">
        <v>1.29E-2</v>
      </c>
      <c r="N103" s="58">
        <v>1.0354764919061399E-2</v>
      </c>
    </row>
    <row r="104" spans="8:14" x14ac:dyDescent="0.35">
      <c r="H104" s="58">
        <v>3.2679352680916152E-2</v>
      </c>
      <c r="K104" s="58">
        <v>1.3000000000000001E-2</v>
      </c>
      <c r="N104" s="58">
        <v>1.081201627685595E-2</v>
      </c>
    </row>
    <row r="105" spans="8:14" x14ac:dyDescent="0.35">
      <c r="H105" s="58">
        <v>3.2888592540073924E-2</v>
      </c>
      <c r="K105" s="58">
        <v>1.301109180961219E-2</v>
      </c>
      <c r="N105" s="58">
        <v>1.087163456281659E-2</v>
      </c>
    </row>
    <row r="106" spans="8:14" x14ac:dyDescent="0.35">
      <c r="H106" s="58">
        <v>3.3065159368694585E-2</v>
      </c>
      <c r="K106" s="58">
        <v>1.3189020710146215E-2</v>
      </c>
      <c r="N106" s="58">
        <v>1.09E-2</v>
      </c>
    </row>
    <row r="107" spans="8:14" x14ac:dyDescent="0.35">
      <c r="H107" s="58">
        <v>3.3068475659474794E-2</v>
      </c>
      <c r="K107" s="58">
        <v>1.3197724978515095E-2</v>
      </c>
      <c r="N107" s="58">
        <v>1.0989691938876599E-2</v>
      </c>
    </row>
    <row r="108" spans="8:14" x14ac:dyDescent="0.35">
      <c r="H108" s="58">
        <v>3.3568350216095499E-2</v>
      </c>
      <c r="K108" s="58">
        <v>1.3205942263497262E-2</v>
      </c>
      <c r="N108" s="58">
        <v>1.1077013807165486E-2</v>
      </c>
    </row>
    <row r="109" spans="8:14" x14ac:dyDescent="0.35">
      <c r="H109" s="58">
        <v>3.3622968399086073E-2</v>
      </c>
      <c r="K109" s="58">
        <v>1.3258711060067339E-2</v>
      </c>
      <c r="N109" s="58">
        <v>1.1199780455757058E-2</v>
      </c>
    </row>
    <row r="110" spans="8:14" x14ac:dyDescent="0.35">
      <c r="H110" s="58">
        <v>3.4199026263797672E-2</v>
      </c>
      <c r="K110" s="58">
        <v>1.3334596901974803E-2</v>
      </c>
      <c r="N110" s="58">
        <v>1.142545649491189E-2</v>
      </c>
    </row>
    <row r="111" spans="8:14" x14ac:dyDescent="0.35">
      <c r="H111" s="58">
        <v>3.4371682858379105E-2</v>
      </c>
      <c r="K111" s="58">
        <v>1.3500000000000002E-2</v>
      </c>
      <c r="N111" s="58">
        <v>1.15E-2</v>
      </c>
    </row>
    <row r="112" spans="8:14" x14ac:dyDescent="0.35">
      <c r="H112" s="58">
        <v>3.4508060670419782E-2</v>
      </c>
      <c r="K112" s="58">
        <v>1.3728575122936541E-2</v>
      </c>
      <c r="N112" s="58">
        <v>1.1553595392548743E-2</v>
      </c>
    </row>
    <row r="113" spans="8:14" x14ac:dyDescent="0.35">
      <c r="H113" s="58">
        <v>3.4534885764128553E-2</v>
      </c>
      <c r="K113" s="58">
        <v>1.3730194668303969E-2</v>
      </c>
      <c r="N113" s="58">
        <v>1.1766151987582685E-2</v>
      </c>
    </row>
    <row r="114" spans="8:14" x14ac:dyDescent="0.35">
      <c r="H114" s="58">
        <v>3.4909510387220566E-2</v>
      </c>
      <c r="K114" s="58">
        <v>1.3999999999999999E-2</v>
      </c>
      <c r="N114" s="58">
        <v>1.18E-2</v>
      </c>
    </row>
    <row r="115" spans="8:14" x14ac:dyDescent="0.35">
      <c r="H115" s="58">
        <v>3.5294796357836722E-2</v>
      </c>
      <c r="K115" s="58">
        <v>1.4098648233335002E-2</v>
      </c>
      <c r="N115" s="58">
        <v>1.1812850252158391E-2</v>
      </c>
    </row>
    <row r="116" spans="8:14" x14ac:dyDescent="0.35">
      <c r="H116" s="58">
        <v>3.5403578924644963E-2</v>
      </c>
      <c r="K116" s="58">
        <v>1.41124262469337E-2</v>
      </c>
      <c r="N116" s="58">
        <v>1.192847043520584E-2</v>
      </c>
    </row>
    <row r="117" spans="8:14" x14ac:dyDescent="0.35">
      <c r="H117" s="58">
        <v>3.544129370823601E-2</v>
      </c>
      <c r="K117" s="58">
        <v>1.4115161866876289E-2</v>
      </c>
      <c r="N117" s="58">
        <v>1.1940699254376463E-2</v>
      </c>
    </row>
    <row r="118" spans="8:14" x14ac:dyDescent="0.35">
      <c r="H118" s="58">
        <v>3.5467931354284499E-2</v>
      </c>
      <c r="K118" s="58">
        <v>1.4164291090012484E-2</v>
      </c>
      <c r="N118" s="58">
        <v>1.2E-2</v>
      </c>
    </row>
    <row r="119" spans="8:14" x14ac:dyDescent="0.35">
      <c r="H119" s="58">
        <v>3.5770224885680824E-2</v>
      </c>
      <c r="K119" s="58">
        <v>1.4475248313748024E-2</v>
      </c>
      <c r="N119" s="58">
        <v>1.2010042098670064E-2</v>
      </c>
    </row>
    <row r="120" spans="8:14" x14ac:dyDescent="0.35">
      <c r="H120" s="58">
        <v>3.5874829767077676E-2</v>
      </c>
      <c r="K120" s="58">
        <v>1.4499999999999999E-2</v>
      </c>
      <c r="N120" s="58">
        <v>1.2125318250302497E-2</v>
      </c>
    </row>
    <row r="121" spans="8:14" x14ac:dyDescent="0.35">
      <c r="H121" s="58">
        <v>3.6085786666145925E-2</v>
      </c>
      <c r="K121" s="58">
        <v>1.4667591244999861E-2</v>
      </c>
      <c r="N121" s="58">
        <v>1.2190923266410802E-2</v>
      </c>
    </row>
    <row r="122" spans="8:14" x14ac:dyDescent="0.35">
      <c r="H122" s="58">
        <v>3.6100445862176533E-2</v>
      </c>
      <c r="K122" s="58">
        <v>1.4775311220029147E-2</v>
      </c>
      <c r="N122" s="58">
        <v>1.2194609831299053E-2</v>
      </c>
    </row>
    <row r="123" spans="8:14" x14ac:dyDescent="0.35">
      <c r="H123" s="58">
        <v>3.6943968404894223E-2</v>
      </c>
      <c r="K123" s="58">
        <v>1.4999999999999999E-2</v>
      </c>
      <c r="N123" s="58">
        <v>1.2301859665232232E-2</v>
      </c>
    </row>
    <row r="124" spans="8:14" x14ac:dyDescent="0.35">
      <c r="H124" s="58">
        <v>3.7083175447063077E-2</v>
      </c>
      <c r="K124" s="58">
        <v>1.5132821505853046E-2</v>
      </c>
      <c r="N124" s="58">
        <v>1.2374478439314052E-2</v>
      </c>
    </row>
    <row r="125" spans="8:14" x14ac:dyDescent="0.35">
      <c r="H125" s="58">
        <v>3.7178928481767404E-2</v>
      </c>
      <c r="K125" s="58">
        <v>1.5236903832019529E-2</v>
      </c>
      <c r="N125" s="58">
        <v>1.2443403559372346E-2</v>
      </c>
    </row>
    <row r="126" spans="8:14" x14ac:dyDescent="0.35">
      <c r="H126" s="58">
        <v>3.7635157834776889E-2</v>
      </c>
      <c r="K126" s="58">
        <v>1.5342850392917606E-2</v>
      </c>
      <c r="N126" s="58">
        <v>1.2449799526929706E-2</v>
      </c>
    </row>
    <row r="127" spans="8:14" x14ac:dyDescent="0.35">
      <c r="H127" s="58">
        <v>3.7734363683545658E-2</v>
      </c>
      <c r="K127" s="58">
        <v>1.5428548827166107E-2</v>
      </c>
      <c r="N127" s="58">
        <v>1.2500000000000001E-2</v>
      </c>
    </row>
    <row r="128" spans="8:14" x14ac:dyDescent="0.35">
      <c r="H128" s="58">
        <v>3.8252856066533836E-2</v>
      </c>
      <c r="K128" s="58">
        <v>1.55E-2</v>
      </c>
      <c r="N128" s="58">
        <v>1.2509766887391249E-2</v>
      </c>
    </row>
    <row r="129" spans="8:14" x14ac:dyDescent="0.35">
      <c r="H129" s="58">
        <v>3.8369561739408864E-2</v>
      </c>
      <c r="K129" s="58">
        <v>1.5707999980897322E-2</v>
      </c>
      <c r="N129" s="58">
        <v>1.2548325769659373E-2</v>
      </c>
    </row>
    <row r="130" spans="8:14" x14ac:dyDescent="0.35">
      <c r="H130" s="58">
        <v>3.9182267411901339E-2</v>
      </c>
      <c r="K130" s="58">
        <v>1.5727705203647968E-2</v>
      </c>
      <c r="N130" s="58">
        <v>1.270252601352384E-2</v>
      </c>
    </row>
    <row r="131" spans="8:14" x14ac:dyDescent="0.35">
      <c r="H131" s="58">
        <v>3.9238069640534556E-2</v>
      </c>
      <c r="K131" s="58">
        <v>1.6E-2</v>
      </c>
      <c r="N131" s="58">
        <v>1.2773335320889867E-2</v>
      </c>
    </row>
    <row r="132" spans="8:14" x14ac:dyDescent="0.35">
      <c r="H132" s="58">
        <v>3.9936663477124101E-2</v>
      </c>
      <c r="K132" s="58">
        <v>1.609587357932396E-2</v>
      </c>
      <c r="N132" s="58">
        <v>1.29E-2</v>
      </c>
    </row>
    <row r="133" spans="8:14" x14ac:dyDescent="0.35">
      <c r="H133" s="58">
        <v>3.9972371689434905E-2</v>
      </c>
      <c r="K133" s="58">
        <v>1.6247324630025539E-2</v>
      </c>
      <c r="N133" s="58">
        <v>1.3000000000000001E-2</v>
      </c>
    </row>
    <row r="134" spans="8:14" x14ac:dyDescent="0.35">
      <c r="H134" s="58">
        <v>4.015736044542062E-2</v>
      </c>
      <c r="K134" s="58">
        <v>1.6500000000000001E-2</v>
      </c>
      <c r="N134" s="58">
        <v>1.301109180961219E-2</v>
      </c>
    </row>
    <row r="135" spans="8:14" x14ac:dyDescent="0.35">
      <c r="H135" s="58">
        <v>4.023753387741702E-2</v>
      </c>
      <c r="K135" s="58">
        <v>1.7000000000000001E-2</v>
      </c>
      <c r="N135" s="58">
        <v>1.3189020710146215E-2</v>
      </c>
    </row>
    <row r="136" spans="8:14" x14ac:dyDescent="0.35">
      <c r="H136" s="58">
        <v>4.0312141728838569E-2</v>
      </c>
      <c r="K136" s="58">
        <v>1.7105466406881067E-2</v>
      </c>
      <c r="N136" s="58">
        <v>1.3197724978515095E-2</v>
      </c>
    </row>
    <row r="137" spans="8:14" x14ac:dyDescent="0.35">
      <c r="H137" s="58">
        <v>4.1031330001819244E-2</v>
      </c>
      <c r="K137" s="58">
        <v>1.7299889270069091E-2</v>
      </c>
      <c r="N137" s="58">
        <v>1.3205942263497262E-2</v>
      </c>
    </row>
    <row r="138" spans="8:14" x14ac:dyDescent="0.35">
      <c r="H138" s="58">
        <v>4.1470649175676666E-2</v>
      </c>
      <c r="K138" s="58">
        <v>1.7500000000000002E-2</v>
      </c>
      <c r="N138" s="58">
        <v>1.3258711060067339E-2</v>
      </c>
    </row>
    <row r="139" spans="8:14" x14ac:dyDescent="0.35">
      <c r="H139" s="58">
        <v>4.1526636118506266E-2</v>
      </c>
      <c r="K139" s="58">
        <v>1.7597398896003959E-2</v>
      </c>
      <c r="N139" s="58">
        <v>1.3286814777627276E-2</v>
      </c>
    </row>
    <row r="140" spans="8:14" x14ac:dyDescent="0.35">
      <c r="H140" s="58">
        <v>4.1836218274165615E-2</v>
      </c>
      <c r="K140" s="58">
        <v>1.7820376526369006E-2</v>
      </c>
      <c r="N140" s="58">
        <v>1.3334596901974803E-2</v>
      </c>
    </row>
    <row r="141" spans="8:14" x14ac:dyDescent="0.35">
      <c r="H141" s="58">
        <v>4.2369839199843939E-2</v>
      </c>
      <c r="K141" s="58">
        <v>1.8000000000000002E-2</v>
      </c>
      <c r="N141" s="58">
        <v>1.3480780535695791E-2</v>
      </c>
    </row>
    <row r="142" spans="8:14" x14ac:dyDescent="0.35">
      <c r="H142" s="58">
        <v>4.2921095395236586E-2</v>
      </c>
      <c r="K142" s="58">
        <v>1.8500000000000003E-2</v>
      </c>
      <c r="N142" s="58">
        <v>1.3500000000000002E-2</v>
      </c>
    </row>
    <row r="143" spans="8:14" x14ac:dyDescent="0.35">
      <c r="H143" s="58">
        <v>4.5432526897638104E-2</v>
      </c>
      <c r="K143" s="58">
        <v>1.8529427683058642E-2</v>
      </c>
      <c r="N143" s="58">
        <v>1.3518927037481143E-2</v>
      </c>
    </row>
    <row r="144" spans="8:14" x14ac:dyDescent="0.35">
      <c r="H144" s="58">
        <v>4.6014971236980839E-2</v>
      </c>
      <c r="K144" s="58">
        <v>1.8582648043217409E-2</v>
      </c>
      <c r="N144" s="58">
        <v>1.3728575122936541E-2</v>
      </c>
    </row>
    <row r="145" spans="8:14" x14ac:dyDescent="0.35">
      <c r="H145" s="58">
        <v>4.6185498059376995E-2</v>
      </c>
      <c r="K145" s="58">
        <v>1.8651845037651275E-2</v>
      </c>
      <c r="N145" s="58">
        <v>1.3730194668303969E-2</v>
      </c>
    </row>
    <row r="146" spans="8:14" x14ac:dyDescent="0.35">
      <c r="H146" s="58">
        <v>4.7873274823730716E-2</v>
      </c>
      <c r="K146" s="58">
        <v>1.8736446205041373E-2</v>
      </c>
      <c r="N146" s="58">
        <v>1.3810003622565459E-2</v>
      </c>
    </row>
    <row r="147" spans="8:14" x14ac:dyDescent="0.35">
      <c r="H147" s="58">
        <v>4.9276563587330902E-2</v>
      </c>
      <c r="K147" s="58">
        <v>1.8882530055031443E-2</v>
      </c>
      <c r="N147" s="58">
        <v>1.3981539578857394E-2</v>
      </c>
    </row>
    <row r="148" spans="8:14" x14ac:dyDescent="0.35">
      <c r="H148" s="58">
        <v>4.9964836445694827E-2</v>
      </c>
      <c r="K148" s="58">
        <v>1.9E-2</v>
      </c>
      <c r="N148" s="58">
        <v>1.3999999999999999E-2</v>
      </c>
    </row>
    <row r="149" spans="8:14" x14ac:dyDescent="0.35">
      <c r="H149" s="58">
        <v>5.0095109176576447E-2</v>
      </c>
      <c r="K149" s="58">
        <v>1.9018154910432673E-2</v>
      </c>
      <c r="N149" s="58">
        <v>1.4076687668435506E-2</v>
      </c>
    </row>
    <row r="150" spans="8:14" x14ac:dyDescent="0.35">
      <c r="H150" s="58">
        <v>5.3772411338334658E-2</v>
      </c>
      <c r="K150" s="58">
        <v>1.9193198348066431E-2</v>
      </c>
      <c r="N150" s="58">
        <v>1.4098648233335002E-2</v>
      </c>
    </row>
    <row r="151" spans="8:14" x14ac:dyDescent="0.35">
      <c r="H151" s="58">
        <v>5.5905388633823883E-2</v>
      </c>
      <c r="K151" s="58">
        <v>1.9299999999999998E-2</v>
      </c>
      <c r="N151" s="58">
        <v>1.41124262469337E-2</v>
      </c>
    </row>
    <row r="152" spans="8:14" x14ac:dyDescent="0.35">
      <c r="H152" s="58">
        <v>5.7849645880048151E-2</v>
      </c>
      <c r="K152" s="58">
        <v>1.95E-2</v>
      </c>
      <c r="N152" s="58">
        <v>1.4115161866876289E-2</v>
      </c>
    </row>
    <row r="153" spans="8:14" x14ac:dyDescent="0.35">
      <c r="H153" s="58">
        <v>6.2383573989025498E-2</v>
      </c>
      <c r="K153" s="58">
        <v>1.9581088218107286E-2</v>
      </c>
      <c r="N153" s="58">
        <v>1.4164291090012484E-2</v>
      </c>
    </row>
    <row r="154" spans="8:14" x14ac:dyDescent="0.35">
      <c r="H154" s="58">
        <v>6.287704603173716E-2</v>
      </c>
      <c r="K154" s="58">
        <v>1.9763618005311328E-2</v>
      </c>
      <c r="N154" s="58">
        <v>1.4190824862453599E-2</v>
      </c>
    </row>
    <row r="155" spans="8:14" x14ac:dyDescent="0.35">
      <c r="H155" s="58">
        <v>6.3056578334491187E-2</v>
      </c>
      <c r="K155" s="58">
        <v>1.9798020773846181E-2</v>
      </c>
      <c r="N155" s="58">
        <v>1.4423597626045614E-2</v>
      </c>
    </row>
    <row r="156" spans="8:14" x14ac:dyDescent="0.35">
      <c r="H156" s="58">
        <v>6.765181369987272E-2</v>
      </c>
      <c r="K156" s="58">
        <v>0.02</v>
      </c>
      <c r="N156" s="58">
        <v>1.4475248313748024E-2</v>
      </c>
    </row>
    <row r="157" spans="8:14" x14ac:dyDescent="0.35">
      <c r="H157" s="58">
        <v>6.8343820082715778E-2</v>
      </c>
      <c r="K157" s="58">
        <v>2.0154403245554658E-2</v>
      </c>
      <c r="N157" s="58">
        <v>1.4499999999999999E-2</v>
      </c>
    </row>
    <row r="158" spans="8:14" x14ac:dyDescent="0.35">
      <c r="H158" s="58">
        <v>6.9273082454898605E-2</v>
      </c>
      <c r="K158" s="58">
        <v>2.0465598430974351E-2</v>
      </c>
      <c r="N158" s="58">
        <v>1.4667591244999861E-2</v>
      </c>
    </row>
    <row r="159" spans="8:14" x14ac:dyDescent="0.35">
      <c r="H159" s="58">
        <v>6.965528671008081E-2</v>
      </c>
      <c r="K159" s="58">
        <v>2.0499999999999997E-2</v>
      </c>
      <c r="N159" s="58">
        <v>1.4775311220029147E-2</v>
      </c>
    </row>
    <row r="160" spans="8:14" x14ac:dyDescent="0.35">
      <c r="H160" s="58">
        <v>7.0491951816031628E-2</v>
      </c>
      <c r="K160" s="58">
        <v>2.1000000000000001E-2</v>
      </c>
      <c r="N160" s="58">
        <v>1.4865820908918748E-2</v>
      </c>
    </row>
    <row r="161" spans="8:14" x14ac:dyDescent="0.35">
      <c r="H161" s="58">
        <v>7.405760536218442E-2</v>
      </c>
      <c r="K161" s="58">
        <v>2.1109162423284023E-2</v>
      </c>
      <c r="N161" s="58">
        <v>1.4999999999999999E-2</v>
      </c>
    </row>
    <row r="162" spans="8:14" x14ac:dyDescent="0.35">
      <c r="H162" s="58">
        <v>7.8918372935750769E-2</v>
      </c>
      <c r="K162" s="58">
        <v>2.1297387243117472E-2</v>
      </c>
      <c r="N162" s="58">
        <v>1.5132821505853046E-2</v>
      </c>
    </row>
    <row r="163" spans="8:14" x14ac:dyDescent="0.35">
      <c r="H163" s="58">
        <v>8.0867187505597959E-2</v>
      </c>
      <c r="K163" s="58">
        <v>2.1499999999999998E-2</v>
      </c>
      <c r="N163" s="58">
        <v>1.5236903832019529E-2</v>
      </c>
    </row>
    <row r="164" spans="8:14" x14ac:dyDescent="0.35">
      <c r="H164" s="58" t="s">
        <v>768</v>
      </c>
      <c r="K164" s="58">
        <v>2.1536877034549897E-2</v>
      </c>
      <c r="N164" s="58">
        <v>1.5244251038439627E-2</v>
      </c>
    </row>
    <row r="165" spans="8:14" x14ac:dyDescent="0.35">
      <c r="K165" s="58">
        <v>2.1962358542059985E-2</v>
      </c>
      <c r="N165" s="58">
        <v>1.5342850392917606E-2</v>
      </c>
    </row>
    <row r="166" spans="8:14" x14ac:dyDescent="0.35">
      <c r="K166" s="58">
        <v>2.2000000000000002E-2</v>
      </c>
      <c r="N166" s="58">
        <v>1.5428548827166107E-2</v>
      </c>
    </row>
    <row r="167" spans="8:14" x14ac:dyDescent="0.35">
      <c r="K167" s="58">
        <v>2.2092331408492878E-2</v>
      </c>
      <c r="N167" s="58">
        <v>1.55E-2</v>
      </c>
    </row>
    <row r="168" spans="8:14" x14ac:dyDescent="0.35">
      <c r="K168" s="58">
        <v>2.2142673285790431E-2</v>
      </c>
      <c r="N168" s="58">
        <v>1.5655636247780658E-2</v>
      </c>
    </row>
    <row r="169" spans="8:14" x14ac:dyDescent="0.35">
      <c r="K169" s="58">
        <v>2.2258713158324065E-2</v>
      </c>
      <c r="N169" s="58">
        <v>1.5707999980897322E-2</v>
      </c>
    </row>
    <row r="170" spans="8:14" x14ac:dyDescent="0.35">
      <c r="K170" s="58">
        <v>2.233316455374515E-2</v>
      </c>
      <c r="N170" s="58">
        <v>1.5727705203647968E-2</v>
      </c>
    </row>
    <row r="171" spans="8:14" x14ac:dyDescent="0.35">
      <c r="K171" s="58">
        <v>2.2765255468301326E-2</v>
      </c>
      <c r="N171" s="58">
        <v>1.5981106764594299E-2</v>
      </c>
    </row>
    <row r="172" spans="8:14" x14ac:dyDescent="0.35">
      <c r="K172" s="58">
        <v>2.3E-2</v>
      </c>
      <c r="N172" s="58">
        <v>1.6E-2</v>
      </c>
    </row>
    <row r="173" spans="8:14" x14ac:dyDescent="0.35">
      <c r="K173" s="58">
        <v>2.3068193821138241E-2</v>
      </c>
      <c r="N173" s="58">
        <v>1.609587357932396E-2</v>
      </c>
    </row>
    <row r="174" spans="8:14" x14ac:dyDescent="0.35">
      <c r="K174" s="58">
        <v>2.343930710942525E-2</v>
      </c>
      <c r="N174" s="58">
        <v>1.6201249241704074E-2</v>
      </c>
    </row>
    <row r="175" spans="8:14" x14ac:dyDescent="0.35">
      <c r="K175" s="58">
        <v>2.349734366634082E-2</v>
      </c>
      <c r="N175" s="58">
        <v>1.6247324630025539E-2</v>
      </c>
    </row>
    <row r="176" spans="8:14" x14ac:dyDescent="0.35">
      <c r="K176" s="58">
        <v>2.4E-2</v>
      </c>
      <c r="N176" s="58">
        <v>1.6306716609078009E-2</v>
      </c>
    </row>
    <row r="177" spans="11:14" x14ac:dyDescent="0.35">
      <c r="K177" s="58">
        <v>2.4094206287527543E-2</v>
      </c>
      <c r="N177" s="58">
        <v>1.6374834684147466E-2</v>
      </c>
    </row>
    <row r="178" spans="11:14" x14ac:dyDescent="0.35">
      <c r="K178" s="58">
        <v>2.4482383374950623E-2</v>
      </c>
      <c r="N178" s="58">
        <v>1.6377653273914383E-2</v>
      </c>
    </row>
    <row r="179" spans="11:14" x14ac:dyDescent="0.35">
      <c r="K179" s="58">
        <v>2.5000000000000001E-2</v>
      </c>
      <c r="N179" s="58">
        <v>1.6500000000000001E-2</v>
      </c>
    </row>
    <row r="180" spans="11:14" x14ac:dyDescent="0.35">
      <c r="K180" s="58">
        <v>2.5099999999999997E-2</v>
      </c>
      <c r="N180" s="58">
        <v>1.6699915905651563E-2</v>
      </c>
    </row>
    <row r="181" spans="11:14" x14ac:dyDescent="0.35">
      <c r="K181" s="58">
        <v>2.5499999999999998E-2</v>
      </c>
      <c r="N181" s="58">
        <v>1.7000000000000001E-2</v>
      </c>
    </row>
    <row r="182" spans="11:14" x14ac:dyDescent="0.35">
      <c r="K182" s="58">
        <v>2.5918275031720832E-2</v>
      </c>
      <c r="N182" s="58">
        <v>1.7105466406881067E-2</v>
      </c>
    </row>
    <row r="183" spans="11:14" x14ac:dyDescent="0.35">
      <c r="K183" s="58">
        <v>2.6000000000000002E-2</v>
      </c>
      <c r="N183" s="58">
        <v>1.7126975598439342E-2</v>
      </c>
    </row>
    <row r="184" spans="11:14" x14ac:dyDescent="0.35">
      <c r="K184" s="58">
        <v>2.6438609515595513E-2</v>
      </c>
      <c r="N184" s="58">
        <v>1.7299889270069091E-2</v>
      </c>
    </row>
    <row r="185" spans="11:14" x14ac:dyDescent="0.35">
      <c r="K185" s="58">
        <v>2.6499999999999999E-2</v>
      </c>
      <c r="N185" s="58">
        <v>1.7500000000000002E-2</v>
      </c>
    </row>
    <row r="186" spans="11:14" x14ac:dyDescent="0.35">
      <c r="K186" s="58">
        <v>2.6847053391805136E-2</v>
      </c>
      <c r="N186" s="58">
        <v>1.7567539926467424E-2</v>
      </c>
    </row>
    <row r="187" spans="11:14" x14ac:dyDescent="0.35">
      <c r="K187" s="58">
        <v>2.7000000000000003E-2</v>
      </c>
      <c r="N187" s="58">
        <v>1.7587056110925259E-2</v>
      </c>
    </row>
    <row r="188" spans="11:14" x14ac:dyDescent="0.35">
      <c r="K188" s="58">
        <v>2.75E-2</v>
      </c>
      <c r="N188" s="58">
        <v>1.7597398896003959E-2</v>
      </c>
    </row>
    <row r="189" spans="11:14" x14ac:dyDescent="0.35">
      <c r="K189" s="58">
        <v>2.8072431015108812E-2</v>
      </c>
      <c r="N189" s="58">
        <v>1.7820376526369006E-2</v>
      </c>
    </row>
    <row r="190" spans="11:14" x14ac:dyDescent="0.35">
      <c r="K190" s="58">
        <v>2.8500000000000001E-2</v>
      </c>
      <c r="N190" s="58">
        <v>1.7976200985041269E-2</v>
      </c>
    </row>
    <row r="191" spans="11:14" x14ac:dyDescent="0.35">
      <c r="K191" s="58">
        <v>2.8576984540753747E-2</v>
      </c>
      <c r="N191" s="58">
        <v>1.8000000000000002E-2</v>
      </c>
    </row>
    <row r="192" spans="11:14" x14ac:dyDescent="0.35">
      <c r="K192" s="58">
        <v>2.8884797597171996E-2</v>
      </c>
      <c r="N192" s="58">
        <v>1.8023954684549093E-2</v>
      </c>
    </row>
    <row r="193" spans="11:14" x14ac:dyDescent="0.35">
      <c r="K193" s="58">
        <v>2.8999999999999998E-2</v>
      </c>
      <c r="N193" s="58">
        <v>1.803324538990414E-2</v>
      </c>
    </row>
    <row r="194" spans="11:14" x14ac:dyDescent="0.35">
      <c r="K194" s="58">
        <v>2.9500000000000002E-2</v>
      </c>
      <c r="N194" s="58">
        <v>1.805013833392799E-2</v>
      </c>
    </row>
    <row r="195" spans="11:14" x14ac:dyDescent="0.35">
      <c r="K195" s="58">
        <v>2.959836153967476E-2</v>
      </c>
      <c r="N195" s="58">
        <v>1.8243284135623039E-2</v>
      </c>
    </row>
    <row r="196" spans="11:14" x14ac:dyDescent="0.35">
      <c r="K196" s="58">
        <v>2.9883486935029069E-2</v>
      </c>
      <c r="N196" s="58">
        <v>1.8277996246921946E-2</v>
      </c>
    </row>
    <row r="197" spans="11:14" x14ac:dyDescent="0.35">
      <c r="K197" s="58">
        <v>0.03</v>
      </c>
      <c r="N197" s="58">
        <v>1.8286108583573712E-2</v>
      </c>
    </row>
    <row r="198" spans="11:14" x14ac:dyDescent="0.35">
      <c r="K198" s="58">
        <v>3.0202927202235993E-2</v>
      </c>
      <c r="N198" s="58">
        <v>1.8362899748158856E-2</v>
      </c>
    </row>
    <row r="199" spans="11:14" x14ac:dyDescent="0.35">
      <c r="K199" s="58">
        <v>3.0695966659125551E-2</v>
      </c>
      <c r="N199" s="58">
        <v>1.8500000000000003E-2</v>
      </c>
    </row>
    <row r="200" spans="11:14" x14ac:dyDescent="0.35">
      <c r="K200" s="58">
        <v>3.1475868118271078E-2</v>
      </c>
      <c r="N200" s="58">
        <v>1.8529427683058642E-2</v>
      </c>
    </row>
    <row r="201" spans="11:14" x14ac:dyDescent="0.35">
      <c r="K201" s="58">
        <v>3.2000000000000001E-2</v>
      </c>
      <c r="N201" s="58">
        <v>1.8582648043217409E-2</v>
      </c>
    </row>
    <row r="202" spans="11:14" x14ac:dyDescent="0.35">
      <c r="K202" s="58">
        <v>3.3301888425993686E-2</v>
      </c>
      <c r="N202" s="58">
        <v>1.8651845037651275E-2</v>
      </c>
    </row>
    <row r="203" spans="11:14" x14ac:dyDescent="0.35">
      <c r="K203" s="58">
        <v>3.3341303280623673E-2</v>
      </c>
      <c r="N203" s="58">
        <v>1.8719447467970385E-2</v>
      </c>
    </row>
    <row r="204" spans="11:14" x14ac:dyDescent="0.35">
      <c r="K204" s="58">
        <v>3.3896976234699429E-2</v>
      </c>
      <c r="N204" s="58">
        <v>1.8736446205041373E-2</v>
      </c>
    </row>
    <row r="205" spans="11:14" x14ac:dyDescent="0.35">
      <c r="K205" s="58">
        <v>3.4315254502407466E-2</v>
      </c>
      <c r="N205" s="58">
        <v>1.8882530055031443E-2</v>
      </c>
    </row>
    <row r="206" spans="11:14" x14ac:dyDescent="0.35">
      <c r="K206" s="58">
        <v>3.465399115130971E-2</v>
      </c>
      <c r="N206" s="58">
        <v>1.8972618106170458E-2</v>
      </c>
    </row>
    <row r="207" spans="11:14" x14ac:dyDescent="0.35">
      <c r="K207" s="58">
        <v>3.5000000000000003E-2</v>
      </c>
      <c r="N207" s="58">
        <v>1.9E-2</v>
      </c>
    </row>
    <row r="208" spans="11:14" x14ac:dyDescent="0.35">
      <c r="K208" s="58">
        <v>3.5658030132180718E-2</v>
      </c>
      <c r="N208" s="58">
        <v>1.9018154910432673E-2</v>
      </c>
    </row>
    <row r="209" spans="11:14" x14ac:dyDescent="0.35">
      <c r="K209" s="58">
        <v>3.5820001863068891E-2</v>
      </c>
      <c r="N209" s="58">
        <v>1.9129053004034224E-2</v>
      </c>
    </row>
    <row r="210" spans="11:14" x14ac:dyDescent="0.35">
      <c r="K210" s="58">
        <v>3.6142913974750446E-2</v>
      </c>
      <c r="N210" s="58">
        <v>1.9193198348066431E-2</v>
      </c>
    </row>
    <row r="211" spans="11:14" x14ac:dyDescent="0.35">
      <c r="K211" s="58">
        <v>3.7000000000000005E-2</v>
      </c>
      <c r="N211" s="58">
        <v>1.9299999999999998E-2</v>
      </c>
    </row>
    <row r="212" spans="11:14" x14ac:dyDescent="0.35">
      <c r="K212" s="58">
        <v>3.7302364716141012E-2</v>
      </c>
      <c r="N212" s="58">
        <v>1.9452624262604967E-2</v>
      </c>
    </row>
    <row r="213" spans="11:14" x14ac:dyDescent="0.35">
      <c r="K213" s="58">
        <v>3.7499999999999999E-2</v>
      </c>
      <c r="N213" s="58">
        <v>1.95E-2</v>
      </c>
    </row>
    <row r="214" spans="11:14" x14ac:dyDescent="0.35">
      <c r="K214" s="58">
        <v>3.752599291835601E-2</v>
      </c>
      <c r="N214" s="58">
        <v>1.9581088218107286E-2</v>
      </c>
    </row>
    <row r="215" spans="11:14" x14ac:dyDescent="0.35">
      <c r="K215" s="58">
        <v>3.7999999999999999E-2</v>
      </c>
      <c r="N215" s="58">
        <v>1.958697356956085E-2</v>
      </c>
    </row>
    <row r="216" spans="11:14" x14ac:dyDescent="0.35">
      <c r="K216" s="58">
        <v>3.9040698438589816E-2</v>
      </c>
      <c r="N216" s="58">
        <v>1.9763618005311328E-2</v>
      </c>
    </row>
    <row r="217" spans="11:14" x14ac:dyDescent="0.35">
      <c r="K217" s="58">
        <v>0.04</v>
      </c>
      <c r="N217" s="58">
        <v>1.9798020773846181E-2</v>
      </c>
    </row>
    <row r="218" spans="11:14" x14ac:dyDescent="0.35">
      <c r="K218" s="58">
        <v>4.0417528558939264E-2</v>
      </c>
      <c r="N218" s="58">
        <v>0.02</v>
      </c>
    </row>
    <row r="219" spans="11:14" x14ac:dyDescent="0.35">
      <c r="K219" s="58">
        <v>4.0500000000000001E-2</v>
      </c>
      <c r="N219" s="58">
        <v>2.0154403245554658E-2</v>
      </c>
    </row>
    <row r="220" spans="11:14" x14ac:dyDescent="0.35">
      <c r="K220" s="58">
        <v>4.0999999999999995E-2</v>
      </c>
      <c r="N220" s="58">
        <v>2.033447348682027E-2</v>
      </c>
    </row>
    <row r="221" spans="11:14" x14ac:dyDescent="0.35">
      <c r="K221" s="58">
        <v>4.2000000000000003E-2</v>
      </c>
      <c r="N221" s="58">
        <v>2.0409370729472132E-2</v>
      </c>
    </row>
    <row r="222" spans="11:14" x14ac:dyDescent="0.35">
      <c r="K222" s="58">
        <v>4.4999999999999998E-2</v>
      </c>
      <c r="N222" s="58">
        <v>2.0465598430974351E-2</v>
      </c>
    </row>
    <row r="223" spans="11:14" x14ac:dyDescent="0.35">
      <c r="K223" s="58">
        <v>4.6189209405952517E-2</v>
      </c>
      <c r="N223" s="58">
        <v>2.0499999999999997E-2</v>
      </c>
    </row>
    <row r="224" spans="11:14" x14ac:dyDescent="0.35">
      <c r="K224" s="58">
        <v>4.6923739593280958E-2</v>
      </c>
      <c r="N224" s="58">
        <v>2.0530424709657602E-2</v>
      </c>
    </row>
    <row r="225" spans="11:14" x14ac:dyDescent="0.35">
      <c r="K225" s="58">
        <v>4.9623241768894877E-2</v>
      </c>
      <c r="N225" s="58">
        <v>2.0824236100700722E-2</v>
      </c>
    </row>
    <row r="226" spans="11:14" x14ac:dyDescent="0.35">
      <c r="K226" s="58">
        <v>0.05</v>
      </c>
      <c r="N226" s="58">
        <v>2.1000000000000001E-2</v>
      </c>
    </row>
    <row r="227" spans="11:14" x14ac:dyDescent="0.35">
      <c r="K227" s="58">
        <v>5.1819030804687721E-2</v>
      </c>
      <c r="N227" s="58">
        <v>2.11059573457959E-2</v>
      </c>
    </row>
    <row r="228" spans="11:14" x14ac:dyDescent="0.35">
      <c r="K228" s="58">
        <v>5.243613224615664E-2</v>
      </c>
      <c r="N228" s="58">
        <v>2.1109162423284023E-2</v>
      </c>
    </row>
    <row r="229" spans="11:14" x14ac:dyDescent="0.35">
      <c r="K229" s="58">
        <v>5.4000000000000006E-2</v>
      </c>
      <c r="N229" s="58">
        <v>2.1179202871856706E-2</v>
      </c>
    </row>
    <row r="230" spans="11:14" x14ac:dyDescent="0.35">
      <c r="K230" s="58" t="s">
        <v>768</v>
      </c>
      <c r="N230" s="58">
        <v>2.1297387243117472E-2</v>
      </c>
    </row>
    <row r="231" spans="11:14" x14ac:dyDescent="0.35">
      <c r="N231" s="58">
        <v>2.143565323755614E-2</v>
      </c>
    </row>
    <row r="232" spans="11:14" x14ac:dyDescent="0.35">
      <c r="N232" s="58">
        <v>2.1499999999999998E-2</v>
      </c>
    </row>
    <row r="233" spans="11:14" x14ac:dyDescent="0.35">
      <c r="N233" s="58">
        <v>2.1536877034549897E-2</v>
      </c>
    </row>
    <row r="234" spans="11:14" x14ac:dyDescent="0.35">
      <c r="N234" s="58">
        <v>2.1628928786174617E-2</v>
      </c>
    </row>
    <row r="235" spans="11:14" x14ac:dyDescent="0.35">
      <c r="N235" s="58">
        <v>2.1758156496881842E-2</v>
      </c>
    </row>
    <row r="236" spans="11:14" x14ac:dyDescent="0.35">
      <c r="N236" s="58">
        <v>2.1962358542059985E-2</v>
      </c>
    </row>
    <row r="237" spans="11:14" x14ac:dyDescent="0.35">
      <c r="N237" s="58">
        <v>2.2000000000000002E-2</v>
      </c>
    </row>
    <row r="238" spans="11:14" x14ac:dyDescent="0.35">
      <c r="N238" s="58">
        <v>2.2092331408492878E-2</v>
      </c>
    </row>
    <row r="239" spans="11:14" x14ac:dyDescent="0.35">
      <c r="N239" s="58">
        <v>2.2142673285790431E-2</v>
      </c>
    </row>
    <row r="240" spans="11:14" x14ac:dyDescent="0.35">
      <c r="N240" s="58">
        <v>2.2161454320951623E-2</v>
      </c>
    </row>
    <row r="241" spans="14:14" x14ac:dyDescent="0.35">
      <c r="N241" s="58">
        <v>2.2258713158324065E-2</v>
      </c>
    </row>
    <row r="242" spans="14:14" x14ac:dyDescent="0.35">
      <c r="N242" s="58">
        <v>2.233316455374515E-2</v>
      </c>
    </row>
    <row r="243" spans="14:14" x14ac:dyDescent="0.35">
      <c r="N243" s="58">
        <v>2.2628024356858401E-2</v>
      </c>
    </row>
    <row r="244" spans="14:14" x14ac:dyDescent="0.35">
      <c r="N244" s="58">
        <v>2.2765255468301326E-2</v>
      </c>
    </row>
    <row r="245" spans="14:14" x14ac:dyDescent="0.35">
      <c r="N245" s="58">
        <v>2.3E-2</v>
      </c>
    </row>
    <row r="246" spans="14:14" x14ac:dyDescent="0.35">
      <c r="N246" s="58">
        <v>2.3068193821138241E-2</v>
      </c>
    </row>
    <row r="247" spans="14:14" x14ac:dyDescent="0.35">
      <c r="N247" s="58">
        <v>2.3432653155916805E-2</v>
      </c>
    </row>
    <row r="248" spans="14:14" x14ac:dyDescent="0.35">
      <c r="N248" s="58">
        <v>2.343930710942525E-2</v>
      </c>
    </row>
    <row r="249" spans="14:14" x14ac:dyDescent="0.35">
      <c r="N249" s="58">
        <v>2.349734366634082E-2</v>
      </c>
    </row>
    <row r="250" spans="14:14" x14ac:dyDescent="0.35">
      <c r="N250" s="58">
        <v>2.3698309243131543E-2</v>
      </c>
    </row>
    <row r="251" spans="14:14" x14ac:dyDescent="0.35">
      <c r="N251" s="58">
        <v>2.3777894020265089E-2</v>
      </c>
    </row>
    <row r="252" spans="14:14" x14ac:dyDescent="0.35">
      <c r="N252" s="58">
        <v>2.3966635794522739E-2</v>
      </c>
    </row>
    <row r="253" spans="14:14" x14ac:dyDescent="0.35">
      <c r="N253" s="58">
        <v>2.4E-2</v>
      </c>
    </row>
    <row r="254" spans="14:14" x14ac:dyDescent="0.35">
      <c r="N254" s="58">
        <v>2.4094206287527543E-2</v>
      </c>
    </row>
    <row r="255" spans="14:14" x14ac:dyDescent="0.35">
      <c r="N255" s="58">
        <v>2.424881051711214E-2</v>
      </c>
    </row>
    <row r="256" spans="14:14" x14ac:dyDescent="0.35">
      <c r="N256" s="58">
        <v>2.4482383374950623E-2</v>
      </c>
    </row>
    <row r="257" spans="14:14" x14ac:dyDescent="0.35">
      <c r="N257" s="58">
        <v>2.5000000000000001E-2</v>
      </c>
    </row>
    <row r="258" spans="14:14" x14ac:dyDescent="0.35">
      <c r="N258" s="58">
        <v>2.5099999999999997E-2</v>
      </c>
    </row>
    <row r="259" spans="14:14" x14ac:dyDescent="0.35">
      <c r="N259" s="58">
        <v>2.5288359312976905E-2</v>
      </c>
    </row>
    <row r="260" spans="14:14" x14ac:dyDescent="0.35">
      <c r="N260" s="58">
        <v>2.5499999999999998E-2</v>
      </c>
    </row>
    <row r="261" spans="14:14" x14ac:dyDescent="0.35">
      <c r="N261" s="58">
        <v>2.5517885094564541E-2</v>
      </c>
    </row>
    <row r="262" spans="14:14" x14ac:dyDescent="0.35">
      <c r="N262" s="58">
        <v>2.5918275031720832E-2</v>
      </c>
    </row>
    <row r="263" spans="14:14" x14ac:dyDescent="0.35">
      <c r="N263" s="58">
        <v>2.5937831332745409E-2</v>
      </c>
    </row>
    <row r="264" spans="14:14" x14ac:dyDescent="0.35">
      <c r="N264" s="58">
        <v>2.6000000000000002E-2</v>
      </c>
    </row>
    <row r="265" spans="14:14" x14ac:dyDescent="0.35">
      <c r="N265" s="58">
        <v>2.6064604795942081E-2</v>
      </c>
    </row>
    <row r="266" spans="14:14" x14ac:dyDescent="0.35">
      <c r="N266" s="58">
        <v>2.6399463532976508E-2</v>
      </c>
    </row>
    <row r="267" spans="14:14" x14ac:dyDescent="0.35">
      <c r="N267" s="58">
        <v>2.6438609515595513E-2</v>
      </c>
    </row>
    <row r="268" spans="14:14" x14ac:dyDescent="0.35">
      <c r="N268" s="58">
        <v>2.6499999999999999E-2</v>
      </c>
    </row>
    <row r="269" spans="14:14" x14ac:dyDescent="0.35">
      <c r="N269" s="58">
        <v>2.6847053391805136E-2</v>
      </c>
    </row>
    <row r="270" spans="14:14" x14ac:dyDescent="0.35">
      <c r="N270" s="58">
        <v>2.7000000000000003E-2</v>
      </c>
    </row>
    <row r="271" spans="14:14" x14ac:dyDescent="0.35">
      <c r="N271" s="58">
        <v>2.75E-2</v>
      </c>
    </row>
    <row r="272" spans="14:14" x14ac:dyDescent="0.35">
      <c r="N272" s="58">
        <v>2.7610563309885761E-2</v>
      </c>
    </row>
    <row r="273" spans="14:14" x14ac:dyDescent="0.35">
      <c r="N273" s="58">
        <v>2.7650555444061808E-2</v>
      </c>
    </row>
    <row r="274" spans="14:14" x14ac:dyDescent="0.35">
      <c r="N274" s="58">
        <v>2.7905437766002184E-2</v>
      </c>
    </row>
    <row r="275" spans="14:14" x14ac:dyDescent="0.35">
      <c r="N275" s="58">
        <v>2.8072431015108812E-2</v>
      </c>
    </row>
    <row r="276" spans="14:14" x14ac:dyDescent="0.35">
      <c r="N276" s="58">
        <v>2.8500000000000001E-2</v>
      </c>
    </row>
    <row r="277" spans="14:14" x14ac:dyDescent="0.35">
      <c r="N277" s="58">
        <v>2.8576984540753747E-2</v>
      </c>
    </row>
    <row r="278" spans="14:14" x14ac:dyDescent="0.35">
      <c r="N278" s="58">
        <v>2.8884797597171996E-2</v>
      </c>
    </row>
    <row r="279" spans="14:14" x14ac:dyDescent="0.35">
      <c r="N279" s="58">
        <v>2.8999999999999998E-2</v>
      </c>
    </row>
    <row r="280" spans="14:14" x14ac:dyDescent="0.35">
      <c r="N280" s="58">
        <v>2.9500000000000002E-2</v>
      </c>
    </row>
    <row r="281" spans="14:14" x14ac:dyDescent="0.35">
      <c r="N281" s="58">
        <v>2.9568365235058458E-2</v>
      </c>
    </row>
    <row r="282" spans="14:14" x14ac:dyDescent="0.35">
      <c r="N282" s="58">
        <v>2.959836153967476E-2</v>
      </c>
    </row>
    <row r="283" spans="14:14" x14ac:dyDescent="0.35">
      <c r="N283" s="58">
        <v>2.9883486935029069E-2</v>
      </c>
    </row>
    <row r="284" spans="14:14" x14ac:dyDescent="0.35">
      <c r="N284" s="58">
        <v>0.03</v>
      </c>
    </row>
    <row r="285" spans="14:14" x14ac:dyDescent="0.35">
      <c r="N285" s="58">
        <v>3.0164443942955366E-2</v>
      </c>
    </row>
    <row r="286" spans="14:14" x14ac:dyDescent="0.35">
      <c r="N286" s="58">
        <v>3.0171006128791644E-2</v>
      </c>
    </row>
    <row r="287" spans="14:14" x14ac:dyDescent="0.35">
      <c r="N287" s="58">
        <v>3.0202927202235993E-2</v>
      </c>
    </row>
    <row r="288" spans="14:14" x14ac:dyDescent="0.35">
      <c r="N288" s="58">
        <v>3.0281665583921757E-2</v>
      </c>
    </row>
    <row r="289" spans="14:14" x14ac:dyDescent="0.35">
      <c r="N289" s="58">
        <v>3.0551174246535862E-2</v>
      </c>
    </row>
    <row r="290" spans="14:14" x14ac:dyDescent="0.35">
      <c r="N290" s="58">
        <v>3.0695966659125551E-2</v>
      </c>
    </row>
    <row r="291" spans="14:14" x14ac:dyDescent="0.35">
      <c r="N291" s="58">
        <v>3.0748646073593067E-2</v>
      </c>
    </row>
    <row r="292" spans="14:14" x14ac:dyDescent="0.35">
      <c r="N292" s="58">
        <v>3.1304109926429291E-2</v>
      </c>
    </row>
    <row r="293" spans="14:14" x14ac:dyDescent="0.35">
      <c r="N293" s="58">
        <v>3.1322493570187238E-2</v>
      </c>
    </row>
    <row r="294" spans="14:14" x14ac:dyDescent="0.35">
      <c r="N294" s="58">
        <v>3.1475868118271078E-2</v>
      </c>
    </row>
    <row r="295" spans="14:14" x14ac:dyDescent="0.35">
      <c r="N295" s="58">
        <v>3.1506175639021139E-2</v>
      </c>
    </row>
    <row r="296" spans="14:14" x14ac:dyDescent="0.35">
      <c r="N296" s="58">
        <v>3.1559344107938925E-2</v>
      </c>
    </row>
    <row r="297" spans="14:14" x14ac:dyDescent="0.35">
      <c r="N297" s="58">
        <v>3.2000000000000001E-2</v>
      </c>
    </row>
    <row r="298" spans="14:14" x14ac:dyDescent="0.35">
      <c r="N298" s="58">
        <v>3.2106564280990568E-2</v>
      </c>
    </row>
    <row r="299" spans="14:14" x14ac:dyDescent="0.35">
      <c r="N299" s="58">
        <v>3.2445691227251272E-2</v>
      </c>
    </row>
    <row r="300" spans="14:14" x14ac:dyDescent="0.35">
      <c r="N300" s="58">
        <v>3.2679352680916152E-2</v>
      </c>
    </row>
    <row r="301" spans="14:14" x14ac:dyDescent="0.35">
      <c r="N301" s="58">
        <v>3.2888592540073924E-2</v>
      </c>
    </row>
    <row r="302" spans="14:14" x14ac:dyDescent="0.35">
      <c r="N302" s="58">
        <v>3.3065159368694585E-2</v>
      </c>
    </row>
    <row r="303" spans="14:14" x14ac:dyDescent="0.35">
      <c r="N303" s="58">
        <v>3.3068475659474794E-2</v>
      </c>
    </row>
    <row r="304" spans="14:14" x14ac:dyDescent="0.35">
      <c r="N304" s="58">
        <v>3.3301888425993686E-2</v>
      </c>
    </row>
    <row r="305" spans="14:14" x14ac:dyDescent="0.35">
      <c r="N305" s="58">
        <v>3.3341303280623673E-2</v>
      </c>
    </row>
    <row r="306" spans="14:14" x14ac:dyDescent="0.35">
      <c r="N306" s="58">
        <v>3.3568350216095499E-2</v>
      </c>
    </row>
    <row r="307" spans="14:14" x14ac:dyDescent="0.35">
      <c r="N307" s="58">
        <v>3.3622968399086073E-2</v>
      </c>
    </row>
    <row r="308" spans="14:14" x14ac:dyDescent="0.35">
      <c r="N308" s="58">
        <v>3.3896976234699429E-2</v>
      </c>
    </row>
    <row r="309" spans="14:14" x14ac:dyDescent="0.35">
      <c r="N309" s="58">
        <v>3.4199026263797672E-2</v>
      </c>
    </row>
    <row r="310" spans="14:14" x14ac:dyDescent="0.35">
      <c r="N310" s="58">
        <v>3.4315254502407466E-2</v>
      </c>
    </row>
    <row r="311" spans="14:14" x14ac:dyDescent="0.35">
      <c r="N311" s="58">
        <v>3.4371682858379105E-2</v>
      </c>
    </row>
    <row r="312" spans="14:14" x14ac:dyDescent="0.35">
      <c r="N312" s="58">
        <v>3.4508060670419782E-2</v>
      </c>
    </row>
    <row r="313" spans="14:14" x14ac:dyDescent="0.35">
      <c r="N313" s="58">
        <v>3.4534885764128553E-2</v>
      </c>
    </row>
    <row r="314" spans="14:14" x14ac:dyDescent="0.35">
      <c r="N314" s="58">
        <v>3.465399115130971E-2</v>
      </c>
    </row>
    <row r="315" spans="14:14" x14ac:dyDescent="0.35">
      <c r="N315" s="58">
        <v>3.4909510387220566E-2</v>
      </c>
    </row>
    <row r="316" spans="14:14" x14ac:dyDescent="0.35">
      <c r="N316" s="58">
        <v>3.5000000000000003E-2</v>
      </c>
    </row>
    <row r="317" spans="14:14" x14ac:dyDescent="0.35">
      <c r="N317" s="58">
        <v>3.5294796357836722E-2</v>
      </c>
    </row>
    <row r="318" spans="14:14" x14ac:dyDescent="0.35">
      <c r="N318" s="58">
        <v>3.5403578924644963E-2</v>
      </c>
    </row>
    <row r="319" spans="14:14" x14ac:dyDescent="0.35">
      <c r="N319" s="58">
        <v>3.544129370823601E-2</v>
      </c>
    </row>
    <row r="320" spans="14:14" x14ac:dyDescent="0.35">
      <c r="N320" s="58">
        <v>3.5467931354284499E-2</v>
      </c>
    </row>
    <row r="321" spans="14:14" x14ac:dyDescent="0.35">
      <c r="N321" s="58">
        <v>3.5658030132180718E-2</v>
      </c>
    </row>
    <row r="322" spans="14:14" x14ac:dyDescent="0.35">
      <c r="N322" s="58">
        <v>3.5770224885680824E-2</v>
      </c>
    </row>
    <row r="323" spans="14:14" x14ac:dyDescent="0.35">
      <c r="N323" s="58">
        <v>3.5820001863068891E-2</v>
      </c>
    </row>
    <row r="324" spans="14:14" x14ac:dyDescent="0.35">
      <c r="N324" s="58">
        <v>3.5874829767077676E-2</v>
      </c>
    </row>
    <row r="325" spans="14:14" x14ac:dyDescent="0.35">
      <c r="N325" s="58">
        <v>3.6085786666145925E-2</v>
      </c>
    </row>
    <row r="326" spans="14:14" x14ac:dyDescent="0.35">
      <c r="N326" s="58">
        <v>3.6100445862176533E-2</v>
      </c>
    </row>
    <row r="327" spans="14:14" x14ac:dyDescent="0.35">
      <c r="N327" s="58">
        <v>3.6142913974750446E-2</v>
      </c>
    </row>
    <row r="328" spans="14:14" x14ac:dyDescent="0.35">
      <c r="N328" s="58">
        <v>3.6943968404894223E-2</v>
      </c>
    </row>
    <row r="329" spans="14:14" x14ac:dyDescent="0.35">
      <c r="N329" s="58">
        <v>3.7000000000000005E-2</v>
      </c>
    </row>
    <row r="330" spans="14:14" x14ac:dyDescent="0.35">
      <c r="N330" s="58">
        <v>3.7083175447063077E-2</v>
      </c>
    </row>
    <row r="331" spans="14:14" x14ac:dyDescent="0.35">
      <c r="N331" s="58">
        <v>3.7178928481767404E-2</v>
      </c>
    </row>
    <row r="332" spans="14:14" x14ac:dyDescent="0.35">
      <c r="N332" s="58">
        <v>3.7302364716141012E-2</v>
      </c>
    </row>
    <row r="333" spans="14:14" x14ac:dyDescent="0.35">
      <c r="N333" s="58">
        <v>3.7499999999999999E-2</v>
      </c>
    </row>
    <row r="334" spans="14:14" x14ac:dyDescent="0.35">
      <c r="N334" s="58">
        <v>3.752599291835601E-2</v>
      </c>
    </row>
    <row r="335" spans="14:14" x14ac:dyDescent="0.35">
      <c r="N335" s="58">
        <v>3.7635157834776889E-2</v>
      </c>
    </row>
    <row r="336" spans="14:14" x14ac:dyDescent="0.35">
      <c r="N336" s="58">
        <v>3.7734363683545658E-2</v>
      </c>
    </row>
    <row r="337" spans="14:14" x14ac:dyDescent="0.35">
      <c r="N337" s="58">
        <v>3.7999999999999999E-2</v>
      </c>
    </row>
    <row r="338" spans="14:14" x14ac:dyDescent="0.35">
      <c r="N338" s="58">
        <v>3.8252856066533836E-2</v>
      </c>
    </row>
    <row r="339" spans="14:14" x14ac:dyDescent="0.35">
      <c r="N339" s="58">
        <v>3.8369561739408864E-2</v>
      </c>
    </row>
    <row r="340" spans="14:14" x14ac:dyDescent="0.35">
      <c r="N340" s="58">
        <v>3.9040698438589816E-2</v>
      </c>
    </row>
    <row r="341" spans="14:14" x14ac:dyDescent="0.35">
      <c r="N341" s="58">
        <v>3.9182267411901339E-2</v>
      </c>
    </row>
    <row r="342" spans="14:14" x14ac:dyDescent="0.35">
      <c r="N342" s="58">
        <v>3.9238069640534556E-2</v>
      </c>
    </row>
    <row r="343" spans="14:14" x14ac:dyDescent="0.35">
      <c r="N343" s="58">
        <v>3.9936663477124101E-2</v>
      </c>
    </row>
    <row r="344" spans="14:14" x14ac:dyDescent="0.35">
      <c r="N344" s="58">
        <v>3.9972371689434905E-2</v>
      </c>
    </row>
    <row r="345" spans="14:14" x14ac:dyDescent="0.35">
      <c r="N345" s="58">
        <v>0.04</v>
      </c>
    </row>
    <row r="346" spans="14:14" x14ac:dyDescent="0.35">
      <c r="N346" s="58">
        <v>4.015736044542062E-2</v>
      </c>
    </row>
    <row r="347" spans="14:14" x14ac:dyDescent="0.35">
      <c r="N347" s="58">
        <v>4.023753387741702E-2</v>
      </c>
    </row>
    <row r="348" spans="14:14" x14ac:dyDescent="0.35">
      <c r="N348" s="58">
        <v>4.0312141728838569E-2</v>
      </c>
    </row>
    <row r="349" spans="14:14" x14ac:dyDescent="0.35">
      <c r="N349" s="58">
        <v>4.0417528558939264E-2</v>
      </c>
    </row>
    <row r="350" spans="14:14" x14ac:dyDescent="0.35">
      <c r="N350" s="58">
        <v>4.0500000000000001E-2</v>
      </c>
    </row>
    <row r="351" spans="14:14" x14ac:dyDescent="0.35">
      <c r="N351" s="58">
        <v>4.0999999999999995E-2</v>
      </c>
    </row>
    <row r="352" spans="14:14" x14ac:dyDescent="0.35">
      <c r="N352" s="58">
        <v>4.1031330001819244E-2</v>
      </c>
    </row>
    <row r="353" spans="14:14" x14ac:dyDescent="0.35">
      <c r="N353" s="58">
        <v>4.1470649175676666E-2</v>
      </c>
    </row>
    <row r="354" spans="14:14" x14ac:dyDescent="0.35">
      <c r="N354" s="58">
        <v>4.1526636118506266E-2</v>
      </c>
    </row>
    <row r="355" spans="14:14" x14ac:dyDescent="0.35">
      <c r="N355" s="58">
        <v>4.1836218274165615E-2</v>
      </c>
    </row>
    <row r="356" spans="14:14" x14ac:dyDescent="0.35">
      <c r="N356" s="58">
        <v>4.2000000000000003E-2</v>
      </c>
    </row>
    <row r="357" spans="14:14" x14ac:dyDescent="0.35">
      <c r="N357" s="58">
        <v>4.2369839199843939E-2</v>
      </c>
    </row>
    <row r="358" spans="14:14" x14ac:dyDescent="0.35">
      <c r="N358" s="58">
        <v>4.2921095395236586E-2</v>
      </c>
    </row>
    <row r="359" spans="14:14" x14ac:dyDescent="0.35">
      <c r="N359" s="58">
        <v>4.4999999999999998E-2</v>
      </c>
    </row>
    <row r="360" spans="14:14" x14ac:dyDescent="0.35">
      <c r="N360" s="58">
        <v>4.5432526897638104E-2</v>
      </c>
    </row>
    <row r="361" spans="14:14" x14ac:dyDescent="0.35">
      <c r="N361" s="58">
        <v>4.6014971236980839E-2</v>
      </c>
    </row>
    <row r="362" spans="14:14" x14ac:dyDescent="0.35">
      <c r="N362" s="58">
        <v>4.6185498059376995E-2</v>
      </c>
    </row>
    <row r="363" spans="14:14" x14ac:dyDescent="0.35">
      <c r="N363" s="58">
        <v>4.6189209405952517E-2</v>
      </c>
    </row>
    <row r="364" spans="14:14" x14ac:dyDescent="0.35">
      <c r="N364" s="58">
        <v>4.6923739593280958E-2</v>
      </c>
    </row>
    <row r="365" spans="14:14" x14ac:dyDescent="0.35">
      <c r="N365" s="58">
        <v>4.7873274823730716E-2</v>
      </c>
    </row>
    <row r="366" spans="14:14" x14ac:dyDescent="0.35">
      <c r="N366" s="58">
        <v>4.9276563587330902E-2</v>
      </c>
    </row>
    <row r="367" spans="14:14" x14ac:dyDescent="0.35">
      <c r="N367" s="58">
        <v>4.9623241768894877E-2</v>
      </c>
    </row>
    <row r="368" spans="14:14" x14ac:dyDescent="0.35">
      <c r="N368" s="58">
        <v>4.9964836445694827E-2</v>
      </c>
    </row>
    <row r="369" spans="14:14" x14ac:dyDescent="0.35">
      <c r="N369" s="58">
        <v>0.05</v>
      </c>
    </row>
    <row r="370" spans="14:14" x14ac:dyDescent="0.35">
      <c r="N370" s="58">
        <v>5.0095109176576447E-2</v>
      </c>
    </row>
    <row r="371" spans="14:14" x14ac:dyDescent="0.35">
      <c r="N371" s="58">
        <v>5.1819030804687721E-2</v>
      </c>
    </row>
    <row r="372" spans="14:14" x14ac:dyDescent="0.35">
      <c r="N372" s="58">
        <v>5.243613224615664E-2</v>
      </c>
    </row>
    <row r="373" spans="14:14" x14ac:dyDescent="0.35">
      <c r="N373" s="58">
        <v>5.3772411338334658E-2</v>
      </c>
    </row>
    <row r="374" spans="14:14" x14ac:dyDescent="0.35">
      <c r="N374" s="58">
        <v>5.4000000000000006E-2</v>
      </c>
    </row>
    <row r="375" spans="14:14" x14ac:dyDescent="0.35">
      <c r="N375" s="58">
        <v>5.5905388633823883E-2</v>
      </c>
    </row>
    <row r="376" spans="14:14" x14ac:dyDescent="0.35">
      <c r="N376" s="58">
        <v>5.7849645880048151E-2</v>
      </c>
    </row>
    <row r="377" spans="14:14" x14ac:dyDescent="0.35">
      <c r="N377" s="58">
        <v>6.2383573989025498E-2</v>
      </c>
    </row>
    <row r="378" spans="14:14" x14ac:dyDescent="0.35">
      <c r="N378" s="58">
        <v>6.287704603173716E-2</v>
      </c>
    </row>
    <row r="379" spans="14:14" x14ac:dyDescent="0.35">
      <c r="N379" s="58">
        <v>6.3056578334491187E-2</v>
      </c>
    </row>
    <row r="380" spans="14:14" x14ac:dyDescent="0.35">
      <c r="N380" s="58">
        <v>6.765181369987272E-2</v>
      </c>
    </row>
    <row r="381" spans="14:14" x14ac:dyDescent="0.35">
      <c r="N381" s="58">
        <v>6.8343820082715778E-2</v>
      </c>
    </row>
    <row r="382" spans="14:14" x14ac:dyDescent="0.35">
      <c r="N382" s="58">
        <v>6.9273082454898605E-2</v>
      </c>
    </row>
    <row r="383" spans="14:14" x14ac:dyDescent="0.35">
      <c r="N383" s="58">
        <v>6.965528671008081E-2</v>
      </c>
    </row>
    <row r="384" spans="14:14" x14ac:dyDescent="0.35">
      <c r="N384" s="58">
        <v>7.0491951816031628E-2</v>
      </c>
    </row>
    <row r="385" spans="14:14" x14ac:dyDescent="0.35">
      <c r="N385" s="58">
        <v>7.405760536218442E-2</v>
      </c>
    </row>
    <row r="386" spans="14:14" x14ac:dyDescent="0.35">
      <c r="N386" s="58">
        <v>7.8918372935750769E-2</v>
      </c>
    </row>
    <row r="387" spans="14:14" x14ac:dyDescent="0.35">
      <c r="N387" s="58">
        <v>8.0867187505597959E-2</v>
      </c>
    </row>
    <row r="388" spans="14:14" x14ac:dyDescent="0.35">
      <c r="N388" s="58" t="s">
        <v>768</v>
      </c>
    </row>
  </sheetData>
  <mergeCells count="4">
    <mergeCell ref="C5:C6"/>
    <mergeCell ref="D5:D6"/>
    <mergeCell ref="E5:E6"/>
    <mergeCell ref="B5:B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17</vt:i4>
      </vt:variant>
    </vt:vector>
  </HeadingPairs>
  <TitlesOfParts>
    <vt:vector size="17" baseType="lpstr">
      <vt:lpstr>Base</vt:lpstr>
      <vt:lpstr>Bonds</vt:lpstr>
      <vt:lpstr>Debs %CDI</vt:lpstr>
      <vt:lpstr>Debs IPCA</vt:lpstr>
      <vt:lpstr>Feriados</vt:lpstr>
      <vt:lpstr>EMBI+</vt:lpstr>
      <vt:lpstr>Dólar Spot</vt:lpstr>
      <vt:lpstr>Ratings</vt:lpstr>
      <vt:lpstr>Estatística Descritiva Rating</vt:lpstr>
      <vt:lpstr>Estatística Descritiva Rating2</vt:lpstr>
      <vt:lpstr>Estatística Descritiva Incentiv</vt:lpstr>
      <vt:lpstr>Estatística Descritiva Garantia</vt:lpstr>
      <vt:lpstr>Estatística Descritiva Call</vt:lpstr>
      <vt:lpstr>Estatística Descritiva Prazo</vt:lpstr>
      <vt:lpstr>Estatística Descritiva Ano</vt:lpstr>
      <vt:lpstr>Estatística Descritiva Volume</vt:lpstr>
      <vt:lpstr>Estatística Descritiva Spread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Bellodi</dc:creator>
  <cp:lastModifiedBy>Felipe Bellodi</cp:lastModifiedBy>
  <dcterms:created xsi:type="dcterms:W3CDTF">2022-12-04T22:35:25Z</dcterms:created>
  <dcterms:modified xsi:type="dcterms:W3CDTF">2023-05-23T11:45:23Z</dcterms:modified>
</cp:coreProperties>
</file>